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mc:AlternateContent xmlns:mc="http://schemas.openxmlformats.org/markup-compatibility/2006">
    <mc:Choice Requires="x15">
      <x15ac:absPath xmlns:x15ac="http://schemas.microsoft.com/office/spreadsheetml/2010/11/ac" url="/Users/jennaolsen/Library/CloudStorage/Dropbox/PhD/Polymath1 Project/"/>
    </mc:Choice>
  </mc:AlternateContent>
  <xr:revisionPtr revIDLastSave="0" documentId="13_ncr:1_{A381DC60-A8CE-7446-8355-9FDBD650A6FF}" xr6:coauthVersionLast="47" xr6:coauthVersionMax="47" xr10:uidLastSave="{00000000-0000-0000-0000-000000000000}"/>
  <bookViews>
    <workbookView xWindow="32040" yWindow="-8260" windowWidth="28800" windowHeight="16640" activeTab="3" xr2:uid="{00000000-000D-0000-FFFF-FFFF00000000}"/>
  </bookViews>
  <sheets>
    <sheet name="USE ME - LOOKUP CODES &amp; DATA he" sheetId="1" r:id="rId1"/>
    <sheet name="Topological Range - where are p" sheetId="2" r:id="rId2"/>
    <sheet name="coded as no response" sheetId="9" r:id="rId3"/>
    <sheet name="coded as multi response" sheetId="8" r:id="rId4"/>
    <sheet name="Thread Overlap" sheetId="3" r:id="rId5"/>
    <sheet name="Code Book (from IRR file)" sheetId="4" r:id="rId6"/>
    <sheet name="post_url_lookup_codes" sheetId="5" r:id="rId7"/>
    <sheet name="removed at quant prep stage" sheetId="6" r:id="rId8"/>
  </sheets>
  <definedNames>
    <definedName name="_xlnm._FilterDatabase" localSheetId="4" hidden="1">'Thread Overlap'!$A$1:$S$2129</definedName>
    <definedName name="_xlnm._FilterDatabase" localSheetId="1" hidden="1">'Topological Range - where are p'!$A$1:$T$2129</definedName>
    <definedName name="_xlnm._FilterDatabase" localSheetId="0" hidden="1">'USE ME - LOOKUP CODES &amp; DATA he'!$A$1:$Z$2129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2129" i="2" l="1"/>
  <c r="G2128" i="2"/>
  <c r="G2127" i="2"/>
  <c r="G2126" i="2"/>
  <c r="G2125" i="2"/>
  <c r="G2124" i="2"/>
  <c r="G2123" i="2"/>
  <c r="G2122" i="2"/>
  <c r="G2121" i="2"/>
  <c r="G2120" i="2"/>
  <c r="G2119" i="2"/>
  <c r="G2118" i="2"/>
  <c r="G2117" i="2"/>
  <c r="G2116" i="2"/>
  <c r="G2115" i="2"/>
  <c r="G2114" i="2"/>
  <c r="G2113" i="2"/>
  <c r="G2112" i="2"/>
  <c r="G2111" i="2"/>
  <c r="G2110" i="2"/>
  <c r="G2109" i="2"/>
  <c r="G2108" i="2"/>
  <c r="G2107" i="2"/>
  <c r="G2106" i="2"/>
  <c r="G2105" i="2"/>
  <c r="G2104" i="2"/>
  <c r="G2103" i="2"/>
  <c r="G2102" i="2"/>
  <c r="G2101" i="2"/>
  <c r="G2100" i="2"/>
  <c r="G2099" i="2"/>
  <c r="G2098" i="2"/>
  <c r="G2097" i="2"/>
  <c r="G2096" i="2"/>
  <c r="G2095" i="2"/>
  <c r="G2094" i="2"/>
  <c r="G2093" i="2"/>
  <c r="G2092" i="2"/>
  <c r="G2091" i="2"/>
  <c r="G2090" i="2"/>
  <c r="G2089" i="2"/>
  <c r="G2088" i="2"/>
  <c r="G2087" i="2"/>
  <c r="G2086" i="2"/>
  <c r="G2085" i="2"/>
  <c r="G2084" i="2"/>
  <c r="G2083" i="2"/>
  <c r="G2082" i="2"/>
  <c r="G2081" i="2"/>
  <c r="G2080" i="2"/>
  <c r="G2079" i="2"/>
  <c r="G2078" i="2"/>
  <c r="G2077" i="2"/>
  <c r="G2076" i="2"/>
  <c r="G2075" i="2"/>
  <c r="G2074" i="2"/>
  <c r="G2073" i="2"/>
  <c r="G2072" i="2"/>
  <c r="G2071" i="2"/>
  <c r="G2070" i="2"/>
  <c r="G2069" i="2"/>
  <c r="G2068" i="2"/>
  <c r="G2067" i="2"/>
  <c r="G2066" i="2"/>
  <c r="G2065" i="2"/>
  <c r="G2064" i="2"/>
  <c r="G2063" i="2"/>
  <c r="G2062" i="2"/>
  <c r="G2061" i="2"/>
  <c r="G2060" i="2"/>
  <c r="G2059" i="2"/>
  <c r="G2058" i="2"/>
  <c r="G2057" i="2"/>
  <c r="G2056" i="2"/>
  <c r="G2055" i="2"/>
  <c r="G2054" i="2"/>
  <c r="G2053" i="2"/>
  <c r="G2052" i="2"/>
  <c r="G2051" i="2"/>
  <c r="G2050" i="2"/>
  <c r="G2049" i="2"/>
  <c r="G2048" i="2"/>
  <c r="G2047" i="2"/>
  <c r="G2046" i="2"/>
  <c r="G2045" i="2"/>
  <c r="G2044" i="2"/>
  <c r="G2043" i="2"/>
  <c r="G2042" i="2"/>
  <c r="G2041" i="2"/>
  <c r="G2040" i="2"/>
  <c r="G2039" i="2"/>
  <c r="G2038" i="2"/>
  <c r="G2037" i="2"/>
  <c r="G2036" i="2"/>
  <c r="G2035" i="2"/>
  <c r="G2034" i="2"/>
  <c r="G2033" i="2"/>
  <c r="G2032" i="2"/>
  <c r="G2031" i="2"/>
  <c r="G2030" i="2"/>
  <c r="G2029" i="2"/>
  <c r="G2028" i="2"/>
  <c r="G2027" i="2"/>
  <c r="G2026" i="2"/>
  <c r="G2025" i="2"/>
  <c r="G2024" i="2"/>
  <c r="G2023" i="2"/>
  <c r="G2022" i="2"/>
  <c r="G2021" i="2"/>
  <c r="G2020" i="2"/>
  <c r="G2019" i="2"/>
  <c r="G2018" i="2"/>
  <c r="G2017" i="2"/>
  <c r="G2016" i="2"/>
  <c r="G2015" i="2"/>
  <c r="G2014" i="2"/>
  <c r="G2013" i="2"/>
  <c r="G2012" i="2"/>
  <c r="G2011" i="2"/>
  <c r="G2010" i="2"/>
  <c r="G2009" i="2"/>
  <c r="G2008" i="2"/>
  <c r="G2007" i="2"/>
  <c r="G2006" i="2"/>
  <c r="G2005" i="2"/>
  <c r="G2004" i="2"/>
  <c r="G2003" i="2"/>
  <c r="G2002" i="2"/>
  <c r="G2001" i="2"/>
  <c r="G2000" i="2"/>
  <c r="G1999" i="2"/>
  <c r="G1998" i="2"/>
  <c r="G1997" i="2"/>
  <c r="G1996" i="2"/>
  <c r="G1995" i="2"/>
  <c r="G1994" i="2"/>
  <c r="G1993" i="2"/>
  <c r="G1992" i="2"/>
  <c r="G1991" i="2"/>
  <c r="G1990" i="2"/>
  <c r="G1989" i="2"/>
  <c r="G1988" i="2"/>
  <c r="G1987" i="2"/>
  <c r="G1986" i="2"/>
  <c r="G1985" i="2"/>
  <c r="G1984" i="2"/>
  <c r="G1983" i="2"/>
  <c r="G1982" i="2"/>
  <c r="G1981" i="2"/>
  <c r="G1980" i="2"/>
  <c r="G1979" i="2"/>
  <c r="G1978" i="2"/>
  <c r="G1977" i="2"/>
  <c r="G1976" i="2"/>
  <c r="G1975" i="2"/>
  <c r="G1974" i="2"/>
  <c r="G1973" i="2"/>
  <c r="G1972" i="2"/>
  <c r="G1971" i="2"/>
  <c r="G1970" i="2"/>
  <c r="G1969" i="2"/>
  <c r="G1968" i="2"/>
  <c r="G1967" i="2"/>
  <c r="G1966" i="2"/>
  <c r="G1965" i="2"/>
  <c r="G1964" i="2"/>
  <c r="G1963" i="2"/>
  <c r="G1962" i="2"/>
  <c r="G1961" i="2"/>
  <c r="G1960" i="2"/>
  <c r="G1959" i="2"/>
  <c r="G1958" i="2"/>
  <c r="G1957" i="2"/>
  <c r="G1956" i="2"/>
  <c r="G1955" i="2"/>
  <c r="G1954" i="2"/>
  <c r="G1953" i="2"/>
  <c r="G1952" i="2"/>
  <c r="G1951" i="2"/>
  <c r="G1950" i="2"/>
  <c r="G1949" i="2"/>
  <c r="G1948" i="2"/>
  <c r="G1947" i="2"/>
  <c r="G1946" i="2"/>
  <c r="G1945" i="2"/>
  <c r="G1944" i="2"/>
  <c r="G1943" i="2"/>
  <c r="G1942" i="2"/>
  <c r="G1941" i="2"/>
  <c r="G1940" i="2"/>
  <c r="G1939" i="2"/>
  <c r="G1938" i="2"/>
  <c r="G1937" i="2"/>
  <c r="G1936" i="2"/>
  <c r="G1935" i="2"/>
  <c r="G1934" i="2"/>
  <c r="G1933" i="2"/>
  <c r="G1932" i="2"/>
  <c r="G1931" i="2"/>
  <c r="G1930" i="2"/>
  <c r="G1929" i="2"/>
  <c r="G1928" i="2"/>
  <c r="G1927" i="2"/>
  <c r="G1926" i="2"/>
  <c r="G1925" i="2"/>
  <c r="G1924" i="2"/>
  <c r="G1923" i="2"/>
  <c r="G1922" i="2"/>
  <c r="G1921" i="2"/>
  <c r="G1920" i="2"/>
  <c r="G1919" i="2"/>
  <c r="G1918" i="2"/>
  <c r="G1917" i="2"/>
  <c r="G1916" i="2"/>
  <c r="G1915" i="2"/>
  <c r="G1914" i="2"/>
  <c r="G1913" i="2"/>
  <c r="G1912" i="2"/>
  <c r="G1911" i="2"/>
  <c r="G1910" i="2"/>
  <c r="G1909" i="2"/>
  <c r="G1908" i="2"/>
  <c r="G1907" i="2"/>
  <c r="G1906" i="2"/>
  <c r="G1905" i="2"/>
  <c r="G1904" i="2"/>
  <c r="G1903" i="2"/>
  <c r="G1902" i="2"/>
  <c r="G1901" i="2"/>
  <c r="G1900" i="2"/>
  <c r="G1899" i="2"/>
  <c r="G1898" i="2"/>
  <c r="G1897" i="2"/>
  <c r="G1896" i="2"/>
  <c r="G1895" i="2"/>
  <c r="G1894" i="2"/>
  <c r="G1893" i="2"/>
  <c r="G1892" i="2"/>
  <c r="G1891" i="2"/>
  <c r="G1890" i="2"/>
  <c r="G1889" i="2"/>
  <c r="G1888" i="2"/>
  <c r="G1887" i="2"/>
  <c r="G1886" i="2"/>
  <c r="G1885" i="2"/>
  <c r="G1884" i="2"/>
  <c r="G1883" i="2"/>
  <c r="G1882" i="2"/>
  <c r="G1881" i="2"/>
  <c r="G1880" i="2"/>
  <c r="G1879" i="2"/>
  <c r="G1878" i="2"/>
  <c r="G1877" i="2"/>
  <c r="G1876" i="2"/>
  <c r="G1875" i="2"/>
  <c r="G1874" i="2"/>
  <c r="G1873" i="2"/>
  <c r="G1872" i="2"/>
  <c r="G1871" i="2"/>
  <c r="G1870" i="2"/>
  <c r="G1869" i="2"/>
  <c r="G1868" i="2"/>
  <c r="G1867" i="2"/>
  <c r="G1866" i="2"/>
  <c r="G1865" i="2"/>
  <c r="G1864" i="2"/>
  <c r="G1863" i="2"/>
  <c r="G1862" i="2"/>
  <c r="G1861" i="2"/>
  <c r="G1860" i="2"/>
  <c r="G1859" i="2"/>
  <c r="G1858" i="2"/>
  <c r="G1857" i="2"/>
  <c r="G1856" i="2"/>
  <c r="G1855" i="2"/>
  <c r="G1854" i="2"/>
  <c r="G1853" i="2"/>
  <c r="G1852" i="2"/>
  <c r="G1851" i="2"/>
  <c r="G1850" i="2"/>
  <c r="G1849" i="2"/>
  <c r="G1848" i="2"/>
  <c r="G1847" i="2"/>
  <c r="G1846" i="2"/>
  <c r="G1845" i="2"/>
  <c r="G1844" i="2"/>
  <c r="G1843" i="2"/>
  <c r="G1842" i="2"/>
  <c r="G1841" i="2"/>
  <c r="G1840" i="2"/>
  <c r="G1839" i="2"/>
  <c r="G1838" i="2"/>
  <c r="G1837" i="2"/>
  <c r="G1836" i="2"/>
  <c r="G1835" i="2"/>
  <c r="G1834" i="2"/>
  <c r="G1833" i="2"/>
  <c r="G1832" i="2"/>
  <c r="G1831" i="2"/>
  <c r="G1830" i="2"/>
  <c r="G1829" i="2"/>
  <c r="G1828" i="2"/>
  <c r="G1827" i="2"/>
  <c r="G1826" i="2"/>
  <c r="G1825" i="2"/>
  <c r="G1824" i="2"/>
  <c r="G1823" i="2"/>
  <c r="G1822" i="2"/>
  <c r="G1821" i="2"/>
  <c r="G1820" i="2"/>
  <c r="G1819" i="2"/>
  <c r="G1818" i="2"/>
  <c r="G1817" i="2"/>
  <c r="G1816" i="2"/>
  <c r="G1815" i="2"/>
  <c r="G1814" i="2"/>
  <c r="G1813" i="2"/>
  <c r="G1812" i="2"/>
  <c r="G1811" i="2"/>
  <c r="G1810" i="2"/>
  <c r="G1809" i="2"/>
  <c r="G1808" i="2"/>
  <c r="G1807" i="2"/>
  <c r="G1806" i="2"/>
  <c r="G1805" i="2"/>
  <c r="G1804" i="2"/>
  <c r="G1803" i="2"/>
  <c r="G1802" i="2"/>
  <c r="G1801" i="2"/>
  <c r="G1800" i="2"/>
  <c r="G1799" i="2"/>
  <c r="G1798" i="2"/>
  <c r="G1797" i="2"/>
  <c r="G1796" i="2"/>
  <c r="G1795" i="2"/>
  <c r="G1794" i="2"/>
  <c r="G1793" i="2"/>
  <c r="G1792" i="2"/>
  <c r="G1791" i="2"/>
  <c r="G1790" i="2"/>
  <c r="G1789" i="2"/>
  <c r="G1788" i="2"/>
  <c r="G1787" i="2"/>
  <c r="G1786" i="2"/>
  <c r="G1785" i="2"/>
  <c r="G1784" i="2"/>
  <c r="G1783" i="2"/>
  <c r="G1782" i="2"/>
  <c r="G1781" i="2"/>
  <c r="G1780" i="2"/>
  <c r="G1779" i="2"/>
  <c r="G1778" i="2"/>
  <c r="G1777" i="2"/>
  <c r="G1776" i="2"/>
  <c r="G1775" i="2"/>
  <c r="G1774" i="2"/>
  <c r="G1773" i="2"/>
  <c r="G1772" i="2"/>
  <c r="G1771" i="2"/>
  <c r="G1770" i="2"/>
  <c r="G1769" i="2"/>
  <c r="G1768" i="2"/>
  <c r="G1767" i="2"/>
  <c r="G1766" i="2"/>
  <c r="G1765" i="2"/>
  <c r="G1764" i="2"/>
  <c r="G1763" i="2"/>
  <c r="G1762" i="2"/>
  <c r="G1761" i="2"/>
  <c r="G1760" i="2"/>
  <c r="G1759" i="2"/>
  <c r="G1758" i="2"/>
  <c r="G1757" i="2"/>
  <c r="G1756" i="2"/>
  <c r="G1755" i="2"/>
  <c r="G1754" i="2"/>
  <c r="G1753" i="2"/>
  <c r="G1752" i="2"/>
  <c r="G1751" i="2"/>
  <c r="G1750" i="2"/>
  <c r="G1749" i="2"/>
  <c r="G1748" i="2"/>
  <c r="G1747" i="2"/>
  <c r="G1746" i="2"/>
  <c r="G1745" i="2"/>
  <c r="G1744" i="2"/>
  <c r="G1743" i="2"/>
  <c r="G1742" i="2"/>
  <c r="G1741" i="2"/>
  <c r="G1740" i="2"/>
  <c r="G1739" i="2"/>
  <c r="G1738" i="2"/>
  <c r="G1737" i="2"/>
  <c r="G1736" i="2"/>
  <c r="G1735" i="2"/>
  <c r="G1734" i="2"/>
  <c r="G1733" i="2"/>
  <c r="G1732" i="2"/>
  <c r="G1731" i="2"/>
  <c r="G1730" i="2"/>
  <c r="G1729" i="2"/>
  <c r="G1728" i="2"/>
  <c r="G1727" i="2"/>
  <c r="G1726" i="2"/>
  <c r="G1725" i="2"/>
  <c r="G1724" i="2"/>
  <c r="G1723" i="2"/>
  <c r="G1722" i="2"/>
  <c r="G1721" i="2"/>
  <c r="G1720" i="2"/>
  <c r="G1719" i="2"/>
  <c r="G1718" i="2"/>
  <c r="G1717" i="2"/>
  <c r="G1716" i="2"/>
  <c r="G1715" i="2"/>
  <c r="G1714" i="2"/>
  <c r="G1713" i="2"/>
  <c r="G1712" i="2"/>
  <c r="G1711" i="2"/>
  <c r="G1710" i="2"/>
  <c r="G1709" i="2"/>
  <c r="G1708" i="2"/>
  <c r="G1707" i="2"/>
  <c r="G1706" i="2"/>
  <c r="G1705" i="2"/>
  <c r="G1704" i="2"/>
  <c r="G1703" i="2"/>
  <c r="G1702" i="2"/>
  <c r="G1701" i="2"/>
  <c r="G1700" i="2"/>
  <c r="G1699" i="2"/>
  <c r="G1698" i="2"/>
  <c r="G1697" i="2"/>
  <c r="G1696" i="2"/>
  <c r="G1695" i="2"/>
  <c r="G1694" i="2"/>
  <c r="G1693" i="2"/>
  <c r="G1692" i="2"/>
  <c r="G1691" i="2"/>
  <c r="G1690" i="2"/>
  <c r="G1689" i="2"/>
  <c r="G1688" i="2"/>
  <c r="G1687" i="2"/>
  <c r="G1686" i="2"/>
  <c r="G1685" i="2"/>
  <c r="G1684" i="2"/>
  <c r="G1683" i="2"/>
  <c r="G1682" i="2"/>
  <c r="G1681" i="2"/>
  <c r="G1680" i="2"/>
  <c r="G1679" i="2"/>
  <c r="G1678" i="2"/>
  <c r="G1677" i="2"/>
  <c r="G1676" i="2"/>
  <c r="G1675" i="2"/>
  <c r="G1674" i="2"/>
  <c r="G1673" i="2"/>
  <c r="G1672" i="2"/>
  <c r="G1671" i="2"/>
  <c r="G1670" i="2"/>
  <c r="G1669" i="2"/>
  <c r="G1668" i="2"/>
  <c r="G1667" i="2"/>
  <c r="G1666" i="2"/>
  <c r="G1665" i="2"/>
  <c r="G1664" i="2"/>
  <c r="G1663" i="2"/>
  <c r="G1662" i="2"/>
  <c r="G1661" i="2"/>
  <c r="G1660" i="2"/>
  <c r="G1659" i="2"/>
  <c r="G1658" i="2"/>
  <c r="G1657" i="2"/>
  <c r="G1656" i="2"/>
  <c r="G1655" i="2"/>
  <c r="G1654" i="2"/>
  <c r="G1653" i="2"/>
  <c r="G1652" i="2"/>
  <c r="G1651" i="2"/>
  <c r="G1650" i="2"/>
  <c r="G1649" i="2"/>
  <c r="G1648" i="2"/>
  <c r="G1647" i="2"/>
  <c r="G1646" i="2"/>
  <c r="G1645" i="2"/>
  <c r="G1644" i="2"/>
  <c r="G1643" i="2"/>
  <c r="G1642" i="2"/>
  <c r="G1641" i="2"/>
  <c r="G1640" i="2"/>
  <c r="G1639" i="2"/>
  <c r="G1638" i="2"/>
  <c r="G1637" i="2"/>
  <c r="G1636" i="2"/>
  <c r="G1635" i="2"/>
  <c r="G1634" i="2"/>
  <c r="G1633" i="2"/>
  <c r="G1632" i="2"/>
  <c r="G1631" i="2"/>
  <c r="G1630" i="2"/>
  <c r="G1629" i="2"/>
  <c r="G1628" i="2"/>
  <c r="G1627" i="2"/>
  <c r="G1626" i="2"/>
  <c r="G1625" i="2"/>
  <c r="G1624" i="2"/>
  <c r="G1623" i="2"/>
  <c r="G1622" i="2"/>
  <c r="G1621" i="2"/>
  <c r="G1620" i="2"/>
  <c r="G1619" i="2"/>
  <c r="G1618" i="2"/>
  <c r="G1617" i="2"/>
  <c r="G1616" i="2"/>
  <c r="G1615" i="2"/>
  <c r="G1614" i="2"/>
  <c r="G1613" i="2"/>
  <c r="G1612" i="2"/>
  <c r="G1611" i="2"/>
  <c r="G1610" i="2"/>
  <c r="G1609" i="2"/>
  <c r="G1608" i="2"/>
  <c r="G1607" i="2"/>
  <c r="G1606" i="2"/>
  <c r="G1605" i="2"/>
  <c r="G1604" i="2"/>
  <c r="G1603" i="2"/>
  <c r="G1602" i="2"/>
  <c r="G1601" i="2"/>
  <c r="G1600" i="2"/>
  <c r="G1599" i="2"/>
  <c r="G1598" i="2"/>
  <c r="G1597" i="2"/>
  <c r="G1596" i="2"/>
  <c r="G1595" i="2"/>
  <c r="G1594" i="2"/>
  <c r="G1593" i="2"/>
  <c r="G1592" i="2"/>
  <c r="G1591" i="2"/>
  <c r="G1590" i="2"/>
  <c r="G1589" i="2"/>
  <c r="G1588" i="2"/>
  <c r="G1587" i="2"/>
  <c r="G1586" i="2"/>
  <c r="G1585" i="2"/>
  <c r="G1584" i="2"/>
  <c r="G1583" i="2"/>
  <c r="G1582" i="2"/>
  <c r="G1581" i="2"/>
  <c r="G1580" i="2"/>
  <c r="G1579" i="2"/>
  <c r="G1578" i="2"/>
  <c r="G1577" i="2"/>
  <c r="G1576" i="2"/>
  <c r="G1575" i="2"/>
  <c r="G1574" i="2"/>
  <c r="G1573" i="2"/>
  <c r="G1572" i="2"/>
  <c r="G1571" i="2"/>
  <c r="G1570" i="2"/>
  <c r="G1569" i="2"/>
  <c r="G1568" i="2"/>
  <c r="G1567" i="2"/>
  <c r="G1566" i="2"/>
  <c r="G1565" i="2"/>
  <c r="G1564" i="2"/>
  <c r="G1563" i="2"/>
  <c r="G1562" i="2"/>
  <c r="G1561" i="2"/>
  <c r="G1560" i="2"/>
  <c r="G1559" i="2"/>
  <c r="G1558" i="2"/>
  <c r="G1557" i="2"/>
  <c r="G1556" i="2"/>
  <c r="G1555" i="2"/>
  <c r="G1554" i="2"/>
  <c r="G1553" i="2"/>
  <c r="G1552" i="2"/>
  <c r="G1551" i="2"/>
  <c r="G1550" i="2"/>
  <c r="G1549" i="2"/>
  <c r="G1548" i="2"/>
  <c r="G1547" i="2"/>
  <c r="G1546" i="2"/>
  <c r="G1545" i="2"/>
  <c r="G1544" i="2"/>
  <c r="G1543" i="2"/>
  <c r="G1542" i="2"/>
  <c r="G1541" i="2"/>
  <c r="G1540" i="2"/>
  <c r="G1539" i="2"/>
  <c r="G1538" i="2"/>
  <c r="G1537" i="2"/>
  <c r="G1536" i="2"/>
  <c r="G1535" i="2"/>
  <c r="G1534" i="2"/>
  <c r="G1533" i="2"/>
  <c r="G1532" i="2"/>
  <c r="G1531" i="2"/>
  <c r="G1530" i="2"/>
  <c r="G1529" i="2"/>
  <c r="G1528" i="2"/>
  <c r="G1527" i="2"/>
  <c r="G1526" i="2"/>
  <c r="G1525" i="2"/>
  <c r="G1524" i="2"/>
  <c r="G1523" i="2"/>
  <c r="G1522" i="2"/>
  <c r="G1521" i="2"/>
  <c r="G1520" i="2"/>
  <c r="G1519" i="2"/>
  <c r="G1518" i="2"/>
  <c r="G1517" i="2"/>
  <c r="G1516" i="2"/>
  <c r="G1515" i="2"/>
  <c r="G1514" i="2"/>
  <c r="G1513" i="2"/>
  <c r="G1512" i="2"/>
  <c r="G1511" i="2"/>
  <c r="G1510" i="2"/>
  <c r="G1509" i="2"/>
  <c r="G1508" i="2"/>
  <c r="G1507" i="2"/>
  <c r="G1506" i="2"/>
  <c r="G1505" i="2"/>
  <c r="G1504" i="2"/>
  <c r="G1503" i="2"/>
  <c r="G1502" i="2"/>
  <c r="G1501" i="2"/>
  <c r="G1500" i="2"/>
  <c r="G1499" i="2"/>
  <c r="G1498" i="2"/>
  <c r="G1497" i="2"/>
  <c r="G1496" i="2"/>
  <c r="G1495" i="2"/>
  <c r="G1494" i="2"/>
  <c r="G1493" i="2"/>
  <c r="G1492" i="2"/>
  <c r="G1491" i="2"/>
  <c r="G1490" i="2"/>
  <c r="G1489" i="2"/>
  <c r="G1488" i="2"/>
  <c r="G1487" i="2"/>
  <c r="G1486" i="2"/>
  <c r="G1485" i="2"/>
  <c r="G1484" i="2"/>
  <c r="G1483" i="2"/>
  <c r="G1482" i="2"/>
  <c r="G1481" i="2"/>
  <c r="G1480" i="2"/>
  <c r="G1479" i="2"/>
  <c r="G1478" i="2"/>
  <c r="G1477" i="2"/>
  <c r="G1476" i="2"/>
  <c r="G1475" i="2"/>
  <c r="G1474" i="2"/>
  <c r="G1473" i="2"/>
  <c r="G1472" i="2"/>
  <c r="G1471" i="2"/>
  <c r="G1470" i="2"/>
  <c r="G1469" i="2"/>
  <c r="G1468" i="2"/>
  <c r="G1467" i="2"/>
  <c r="G1466" i="2"/>
  <c r="G1465" i="2"/>
  <c r="G1464" i="2"/>
  <c r="G1463" i="2"/>
  <c r="G1462" i="2"/>
  <c r="G1461" i="2"/>
  <c r="G1460" i="2"/>
  <c r="G1459" i="2"/>
  <c r="G1458" i="2"/>
  <c r="G1457" i="2"/>
  <c r="G1456" i="2"/>
  <c r="G1455" i="2"/>
  <c r="G1454" i="2"/>
  <c r="G1453" i="2"/>
  <c r="G1452" i="2"/>
  <c r="G1451" i="2"/>
  <c r="G1450" i="2"/>
  <c r="G1449" i="2"/>
  <c r="G1448" i="2"/>
  <c r="G1447" i="2"/>
  <c r="G1446" i="2"/>
  <c r="G1445" i="2"/>
  <c r="G1444" i="2"/>
  <c r="G1443" i="2"/>
  <c r="G1442" i="2"/>
  <c r="G1441" i="2"/>
  <c r="G1440" i="2"/>
  <c r="G1439" i="2"/>
  <c r="G1438" i="2"/>
  <c r="G1437" i="2"/>
  <c r="G1436" i="2"/>
  <c r="G1435" i="2"/>
  <c r="G1434" i="2"/>
  <c r="G1433" i="2"/>
  <c r="G1432" i="2"/>
  <c r="G1431" i="2"/>
  <c r="G1430" i="2"/>
  <c r="G1429" i="2"/>
  <c r="G1428" i="2"/>
  <c r="G1427" i="2"/>
  <c r="G1426" i="2"/>
  <c r="G1425" i="2"/>
  <c r="G1424" i="2"/>
  <c r="G1423" i="2"/>
  <c r="G1422" i="2"/>
  <c r="G1421" i="2"/>
  <c r="G1420" i="2"/>
  <c r="G1419" i="2"/>
  <c r="G1418" i="2"/>
  <c r="G1417" i="2"/>
  <c r="G1416" i="2"/>
  <c r="G1415" i="2"/>
  <c r="G1414" i="2"/>
  <c r="G1413" i="2"/>
  <c r="G1412" i="2"/>
  <c r="G1411" i="2"/>
  <c r="G1410" i="2"/>
  <c r="G1409" i="2"/>
  <c r="G1408" i="2"/>
  <c r="G1407" i="2"/>
  <c r="G1406" i="2"/>
  <c r="G1405" i="2"/>
  <c r="G1404" i="2"/>
  <c r="G1403" i="2"/>
  <c r="G1402" i="2"/>
  <c r="G1401" i="2"/>
  <c r="G1400" i="2"/>
  <c r="G1399" i="2"/>
  <c r="G1398" i="2"/>
  <c r="G1397" i="2"/>
  <c r="G1396" i="2"/>
  <c r="G1395" i="2"/>
  <c r="G1394" i="2"/>
  <c r="G1393" i="2"/>
  <c r="G1392" i="2"/>
  <c r="G1391" i="2"/>
  <c r="G1390" i="2"/>
  <c r="G1389" i="2"/>
  <c r="G1388" i="2"/>
  <c r="G1387" i="2"/>
  <c r="G1386" i="2"/>
  <c r="G1385" i="2"/>
  <c r="G1384" i="2"/>
  <c r="G1383" i="2"/>
  <c r="G1382" i="2"/>
  <c r="G1381" i="2"/>
  <c r="G1380" i="2"/>
  <c r="G1379" i="2"/>
  <c r="G1378" i="2"/>
  <c r="G1377" i="2"/>
  <c r="G1376" i="2"/>
  <c r="G1375" i="2"/>
  <c r="G1374" i="2"/>
  <c r="G1373" i="2"/>
  <c r="G1372" i="2"/>
  <c r="G1371" i="2"/>
  <c r="G1370" i="2"/>
  <c r="G1369" i="2"/>
  <c r="G1368" i="2"/>
  <c r="G1367" i="2"/>
  <c r="G1366" i="2"/>
  <c r="G1365" i="2"/>
  <c r="G1364" i="2"/>
  <c r="G1363" i="2"/>
  <c r="G1362" i="2"/>
  <c r="G1361" i="2"/>
  <c r="G1360" i="2"/>
  <c r="G1359" i="2"/>
  <c r="G1358" i="2"/>
  <c r="G1357" i="2"/>
  <c r="G1356" i="2"/>
  <c r="G1355" i="2"/>
  <c r="G1354" i="2"/>
  <c r="G1353" i="2"/>
  <c r="G1352" i="2"/>
  <c r="G1351" i="2"/>
  <c r="G1350" i="2"/>
  <c r="G1349" i="2"/>
  <c r="G1348" i="2"/>
  <c r="G1347" i="2"/>
  <c r="G1346" i="2"/>
  <c r="G1345" i="2"/>
  <c r="G1344" i="2"/>
  <c r="G1343" i="2"/>
  <c r="G1342" i="2"/>
  <c r="G1341" i="2"/>
  <c r="G1340" i="2"/>
  <c r="G1339" i="2"/>
  <c r="G1338" i="2"/>
  <c r="G1337" i="2"/>
  <c r="G1336" i="2"/>
  <c r="G1335" i="2"/>
  <c r="G1334" i="2"/>
  <c r="G1333" i="2"/>
  <c r="G1332" i="2"/>
  <c r="G1331" i="2"/>
  <c r="G1330" i="2"/>
  <c r="G1329" i="2"/>
  <c r="G1328" i="2"/>
  <c r="G1327" i="2"/>
  <c r="G1326" i="2"/>
  <c r="G1325" i="2"/>
  <c r="G1324" i="2"/>
  <c r="G1323" i="2"/>
  <c r="G1322" i="2"/>
  <c r="G1321" i="2"/>
  <c r="G1320" i="2"/>
  <c r="G1319" i="2"/>
  <c r="G1318" i="2"/>
  <c r="G1317" i="2"/>
  <c r="G1316" i="2"/>
  <c r="G1315" i="2"/>
  <c r="G1314" i="2"/>
  <c r="G1313" i="2"/>
  <c r="G1312" i="2"/>
  <c r="G1311" i="2"/>
  <c r="G1310" i="2"/>
  <c r="G1309" i="2"/>
  <c r="G1308" i="2"/>
  <c r="G1307" i="2"/>
  <c r="G1306" i="2"/>
  <c r="G1305" i="2"/>
  <c r="G1304" i="2"/>
  <c r="G1303" i="2"/>
  <c r="G1302" i="2"/>
  <c r="G1301" i="2"/>
  <c r="G1300" i="2"/>
  <c r="G1299" i="2"/>
  <c r="G1298" i="2"/>
  <c r="G1297" i="2"/>
  <c r="G1296" i="2"/>
  <c r="G1295" i="2"/>
  <c r="G1294" i="2"/>
  <c r="G1293" i="2"/>
  <c r="G1292" i="2"/>
  <c r="G1291" i="2"/>
  <c r="G1290" i="2"/>
  <c r="G1289" i="2"/>
  <c r="G1288" i="2"/>
  <c r="G1287" i="2"/>
  <c r="G1286" i="2"/>
  <c r="G1285" i="2"/>
  <c r="G1284" i="2"/>
  <c r="G1283" i="2"/>
  <c r="G1282" i="2"/>
  <c r="G1281" i="2"/>
  <c r="G1280" i="2"/>
  <c r="G1279" i="2"/>
  <c r="G1278" i="2"/>
  <c r="G1277" i="2"/>
  <c r="G1276" i="2"/>
  <c r="G1275" i="2"/>
  <c r="G1274" i="2"/>
  <c r="G1273" i="2"/>
  <c r="G1272" i="2"/>
  <c r="G1271" i="2"/>
  <c r="G1270" i="2"/>
  <c r="G1269" i="2"/>
  <c r="G1268" i="2"/>
  <c r="G1267" i="2"/>
  <c r="G1266" i="2"/>
  <c r="G1265" i="2"/>
  <c r="G1264" i="2"/>
  <c r="G1263" i="2"/>
  <c r="G1262" i="2"/>
  <c r="G1261" i="2"/>
  <c r="G1260" i="2"/>
  <c r="G1259" i="2"/>
  <c r="G1258" i="2"/>
  <c r="G1257" i="2"/>
  <c r="G1256" i="2"/>
  <c r="G1255" i="2"/>
  <c r="G1254" i="2"/>
  <c r="G1253" i="2"/>
  <c r="G1252" i="2"/>
  <c r="G1251" i="2"/>
  <c r="G1250" i="2"/>
  <c r="G1249" i="2"/>
  <c r="G1248" i="2"/>
  <c r="G1247" i="2"/>
  <c r="G1246" i="2"/>
  <c r="G1245" i="2"/>
  <c r="G1244" i="2"/>
  <c r="G1243" i="2"/>
  <c r="G1242" i="2"/>
  <c r="G1241" i="2"/>
  <c r="G1240" i="2"/>
  <c r="G1239" i="2"/>
  <c r="G1238" i="2"/>
  <c r="G1237" i="2"/>
  <c r="G1236" i="2"/>
  <c r="G1235" i="2"/>
  <c r="G1234" i="2"/>
  <c r="G1233" i="2"/>
  <c r="G1232" i="2"/>
  <c r="G1231" i="2"/>
  <c r="G1230" i="2"/>
  <c r="G1229" i="2"/>
  <c r="G1228" i="2"/>
  <c r="G1227" i="2"/>
  <c r="G1226" i="2"/>
  <c r="G1225" i="2"/>
  <c r="G1224" i="2"/>
  <c r="G1223" i="2"/>
  <c r="G1222" i="2"/>
  <c r="G1221" i="2"/>
  <c r="G1220" i="2"/>
  <c r="G1219" i="2"/>
  <c r="G1218" i="2"/>
  <c r="G1217" i="2"/>
  <c r="G1216" i="2"/>
  <c r="G1215" i="2"/>
  <c r="G1214" i="2"/>
  <c r="G1213" i="2"/>
  <c r="G1212" i="2"/>
  <c r="G1211" i="2"/>
  <c r="G1210" i="2"/>
  <c r="G1209" i="2"/>
  <c r="G1208" i="2"/>
  <c r="G1207" i="2"/>
  <c r="G1206" i="2"/>
  <c r="G1205" i="2"/>
  <c r="G1204" i="2"/>
  <c r="G1203" i="2"/>
  <c r="G1202" i="2"/>
  <c r="G1201" i="2"/>
  <c r="G1200" i="2"/>
  <c r="G1199" i="2"/>
  <c r="G1198" i="2"/>
  <c r="G1197" i="2"/>
  <c r="G1196" i="2"/>
  <c r="G1195" i="2"/>
  <c r="G1194" i="2"/>
  <c r="G1193" i="2"/>
  <c r="G1192" i="2"/>
  <c r="G1191" i="2"/>
  <c r="G1190" i="2"/>
  <c r="G1189" i="2"/>
  <c r="G1188" i="2"/>
  <c r="G1187" i="2"/>
  <c r="G1186" i="2"/>
  <c r="G1185" i="2"/>
  <c r="G1184" i="2"/>
  <c r="G1183" i="2"/>
  <c r="G1182" i="2"/>
  <c r="G1181" i="2"/>
  <c r="G1180" i="2"/>
  <c r="G1179" i="2"/>
  <c r="G1178" i="2"/>
  <c r="G1177" i="2"/>
  <c r="G1176" i="2"/>
  <c r="G1175" i="2"/>
  <c r="G1174" i="2"/>
  <c r="G1173" i="2"/>
  <c r="G1172" i="2"/>
  <c r="G1171" i="2"/>
  <c r="G1170" i="2"/>
  <c r="G1169" i="2"/>
  <c r="G1168" i="2"/>
  <c r="G1167" i="2"/>
  <c r="G1166" i="2"/>
  <c r="G1165" i="2"/>
  <c r="G1164" i="2"/>
  <c r="G1163" i="2"/>
  <c r="G1162" i="2"/>
  <c r="G1161" i="2"/>
  <c r="G1160" i="2"/>
  <c r="G1159" i="2"/>
  <c r="G1158" i="2"/>
  <c r="G1157" i="2"/>
  <c r="G1156" i="2"/>
  <c r="G1155" i="2"/>
  <c r="G1154" i="2"/>
  <c r="G1153" i="2"/>
  <c r="G1152" i="2"/>
  <c r="G1151" i="2"/>
  <c r="G1150" i="2"/>
  <c r="G1149" i="2"/>
  <c r="G1148" i="2"/>
  <c r="G1147" i="2"/>
  <c r="G1146" i="2"/>
  <c r="G1145" i="2"/>
  <c r="G1144" i="2"/>
  <c r="G1143" i="2"/>
  <c r="G1142" i="2"/>
  <c r="G1141" i="2"/>
  <c r="G1140" i="2"/>
  <c r="G1139" i="2"/>
  <c r="G1138" i="2"/>
  <c r="G1137" i="2"/>
  <c r="G1136" i="2"/>
  <c r="G1135" i="2"/>
  <c r="G1134" i="2"/>
  <c r="G1133" i="2"/>
  <c r="G1132" i="2"/>
  <c r="G1131" i="2"/>
  <c r="G1130" i="2"/>
  <c r="G1129" i="2"/>
  <c r="G1128" i="2"/>
  <c r="G1127" i="2"/>
  <c r="G1126" i="2"/>
  <c r="G1125" i="2"/>
  <c r="G1124" i="2"/>
  <c r="G1123" i="2"/>
  <c r="G1122" i="2"/>
  <c r="G1121" i="2"/>
  <c r="G1120" i="2"/>
  <c r="G1119" i="2"/>
  <c r="G1118" i="2"/>
  <c r="G1117" i="2"/>
  <c r="G1116" i="2"/>
  <c r="G1115" i="2"/>
  <c r="G1114" i="2"/>
  <c r="G1113" i="2"/>
  <c r="G1112" i="2"/>
  <c r="G1111" i="2"/>
  <c r="G1110" i="2"/>
  <c r="G1109" i="2"/>
  <c r="G1108" i="2"/>
  <c r="G1107" i="2"/>
  <c r="G1106" i="2"/>
  <c r="G1105" i="2"/>
  <c r="G1104" i="2"/>
  <c r="G1103" i="2"/>
  <c r="G1102" i="2"/>
  <c r="G1101" i="2"/>
  <c r="G1100" i="2"/>
  <c r="G1099" i="2"/>
  <c r="G1098" i="2"/>
  <c r="G1097" i="2"/>
  <c r="G1096" i="2"/>
  <c r="G1095" i="2"/>
  <c r="G1094" i="2"/>
  <c r="G1093" i="2"/>
  <c r="G1092" i="2"/>
  <c r="G1091" i="2"/>
  <c r="G1090" i="2"/>
  <c r="G1089" i="2"/>
  <c r="G1088" i="2"/>
  <c r="G1087" i="2"/>
  <c r="G1086" i="2"/>
  <c r="G1085" i="2"/>
  <c r="G1084" i="2"/>
  <c r="G1083" i="2"/>
  <c r="G1082" i="2"/>
  <c r="G1081" i="2"/>
  <c r="G1080" i="2"/>
  <c r="G1079" i="2"/>
  <c r="G1078" i="2"/>
  <c r="G1077" i="2"/>
  <c r="G1076" i="2"/>
  <c r="G1075" i="2"/>
  <c r="G1074" i="2"/>
  <c r="G1073" i="2"/>
  <c r="G1072" i="2"/>
  <c r="G1071" i="2"/>
  <c r="G1070" i="2"/>
  <c r="G1069" i="2"/>
  <c r="G1068" i="2"/>
  <c r="G1067" i="2"/>
  <c r="G1066" i="2"/>
  <c r="G1065" i="2"/>
  <c r="G1064" i="2"/>
  <c r="G1063" i="2"/>
  <c r="G1062" i="2"/>
  <c r="G1061" i="2"/>
  <c r="G1060" i="2"/>
  <c r="G1059" i="2"/>
  <c r="G1058" i="2"/>
  <c r="G1057" i="2"/>
  <c r="G1056" i="2"/>
  <c r="G1055" i="2"/>
  <c r="G1054" i="2"/>
  <c r="G1053" i="2"/>
  <c r="G1052" i="2"/>
  <c r="G1051" i="2"/>
  <c r="G1050" i="2"/>
  <c r="G1049" i="2"/>
  <c r="G1048" i="2"/>
  <c r="G1047" i="2"/>
  <c r="G1046" i="2"/>
  <c r="G1045" i="2"/>
  <c r="G1044" i="2"/>
  <c r="G1043" i="2"/>
  <c r="G1042" i="2"/>
  <c r="G1041" i="2"/>
  <c r="G1040" i="2"/>
  <c r="G1039" i="2"/>
  <c r="G1038" i="2"/>
  <c r="G1037" i="2"/>
  <c r="G1036" i="2"/>
  <c r="G1035" i="2"/>
  <c r="G1034" i="2"/>
  <c r="G1033" i="2"/>
  <c r="G1032" i="2"/>
  <c r="G1031" i="2"/>
  <c r="G1030" i="2"/>
  <c r="G1029" i="2"/>
  <c r="G1028" i="2"/>
  <c r="G1027" i="2"/>
  <c r="G1026" i="2"/>
  <c r="G1025" i="2"/>
  <c r="G1024" i="2"/>
  <c r="G1023" i="2"/>
  <c r="G1022" i="2"/>
  <c r="G1021" i="2"/>
  <c r="G1020" i="2"/>
  <c r="G1019" i="2"/>
  <c r="G1018" i="2"/>
  <c r="G1017" i="2"/>
  <c r="G1016" i="2"/>
  <c r="G1015" i="2"/>
  <c r="G1014" i="2"/>
  <c r="G1013" i="2"/>
  <c r="G1012" i="2"/>
  <c r="G1011" i="2"/>
  <c r="G1010" i="2"/>
  <c r="G1009" i="2"/>
  <c r="G1008" i="2"/>
  <c r="G1007" i="2"/>
  <c r="G1006" i="2"/>
  <c r="G1005" i="2"/>
  <c r="G1004" i="2"/>
  <c r="G1003" i="2"/>
  <c r="G1002" i="2"/>
  <c r="G1001" i="2"/>
  <c r="G1000" i="2"/>
  <c r="G999" i="2"/>
  <c r="G998" i="2"/>
  <c r="G997" i="2"/>
  <c r="G996" i="2"/>
  <c r="G995" i="2"/>
  <c r="G994" i="2"/>
  <c r="G993" i="2"/>
  <c r="G992" i="2"/>
  <c r="G991" i="2"/>
  <c r="G990" i="2"/>
  <c r="G989" i="2"/>
  <c r="G988" i="2"/>
  <c r="G987" i="2"/>
  <c r="G986" i="2"/>
  <c r="G985" i="2"/>
  <c r="G984" i="2"/>
  <c r="G983" i="2"/>
  <c r="G982" i="2"/>
  <c r="G981" i="2"/>
  <c r="G980" i="2"/>
  <c r="G979" i="2"/>
  <c r="G978" i="2"/>
  <c r="G977" i="2"/>
  <c r="G976" i="2"/>
  <c r="G975" i="2"/>
  <c r="G974" i="2"/>
  <c r="G973" i="2"/>
  <c r="G972" i="2"/>
  <c r="G971" i="2"/>
  <c r="G970" i="2"/>
  <c r="G969" i="2"/>
  <c r="G968" i="2"/>
  <c r="G967" i="2"/>
  <c r="G966" i="2"/>
  <c r="G965" i="2"/>
  <c r="G964" i="2"/>
  <c r="G963" i="2"/>
  <c r="G962" i="2"/>
  <c r="G961" i="2"/>
  <c r="G960" i="2"/>
  <c r="G959" i="2"/>
  <c r="G958" i="2"/>
  <c r="G957" i="2"/>
  <c r="G956" i="2"/>
  <c r="G955" i="2"/>
  <c r="G954" i="2"/>
  <c r="G953" i="2"/>
  <c r="G952" i="2"/>
  <c r="G951" i="2"/>
  <c r="G950" i="2"/>
  <c r="G949" i="2"/>
  <c r="G948" i="2"/>
  <c r="G947" i="2"/>
  <c r="G946" i="2"/>
  <c r="G945" i="2"/>
  <c r="G944" i="2"/>
  <c r="G943" i="2"/>
  <c r="G942" i="2"/>
  <c r="G941" i="2"/>
  <c r="G940" i="2"/>
  <c r="G939" i="2"/>
  <c r="G938" i="2"/>
  <c r="G937" i="2"/>
  <c r="G936" i="2"/>
  <c r="G935" i="2"/>
  <c r="G934" i="2"/>
  <c r="G933" i="2"/>
  <c r="G932" i="2"/>
  <c r="G931" i="2"/>
  <c r="G930" i="2"/>
  <c r="G929" i="2"/>
  <c r="G928" i="2"/>
  <c r="G927" i="2"/>
  <c r="G926" i="2"/>
  <c r="G925" i="2"/>
  <c r="G924" i="2"/>
  <c r="G923" i="2"/>
  <c r="G922" i="2"/>
  <c r="G921" i="2"/>
  <c r="G920" i="2"/>
  <c r="G919" i="2"/>
  <c r="G918" i="2"/>
  <c r="G917" i="2"/>
  <c r="G916" i="2"/>
  <c r="G915" i="2"/>
  <c r="G914" i="2"/>
  <c r="G913" i="2"/>
  <c r="G912" i="2"/>
  <c r="G911" i="2"/>
  <c r="G910" i="2"/>
  <c r="G909" i="2"/>
  <c r="G908" i="2"/>
  <c r="G907" i="2"/>
  <c r="G906" i="2"/>
  <c r="G905" i="2"/>
  <c r="G904" i="2"/>
  <c r="G903" i="2"/>
  <c r="G902" i="2"/>
  <c r="G901" i="2"/>
  <c r="G900" i="2"/>
  <c r="G899" i="2"/>
  <c r="G898" i="2"/>
  <c r="G897" i="2"/>
  <c r="G896" i="2"/>
  <c r="G895" i="2"/>
  <c r="G894" i="2"/>
  <c r="G893" i="2"/>
  <c r="G892" i="2"/>
  <c r="G891" i="2"/>
  <c r="G890" i="2"/>
  <c r="G889" i="2"/>
  <c r="G888" i="2"/>
  <c r="G887" i="2"/>
  <c r="G886" i="2"/>
  <c r="G885" i="2"/>
  <c r="G884" i="2"/>
  <c r="G883" i="2"/>
  <c r="G882" i="2"/>
  <c r="G881" i="2"/>
  <c r="G880" i="2"/>
  <c r="G879" i="2"/>
  <c r="G878" i="2"/>
  <c r="G877" i="2"/>
  <c r="G876" i="2"/>
  <c r="G875" i="2"/>
  <c r="G874" i="2"/>
  <c r="G873" i="2"/>
  <c r="G872" i="2"/>
  <c r="G871" i="2"/>
  <c r="G870" i="2"/>
  <c r="G869" i="2"/>
  <c r="G868" i="2"/>
  <c r="G867" i="2"/>
  <c r="G866" i="2"/>
  <c r="G865" i="2"/>
  <c r="G864" i="2"/>
  <c r="G863" i="2"/>
  <c r="G862" i="2"/>
  <c r="G861" i="2"/>
  <c r="G860" i="2"/>
  <c r="G859" i="2"/>
  <c r="G858" i="2"/>
  <c r="G857" i="2"/>
  <c r="G856" i="2"/>
  <c r="G855" i="2"/>
  <c r="G854" i="2"/>
  <c r="G853" i="2"/>
  <c r="G852" i="2"/>
  <c r="G851" i="2"/>
  <c r="G850" i="2"/>
  <c r="G849" i="2"/>
  <c r="G848" i="2"/>
  <c r="G847" i="2"/>
  <c r="G846" i="2"/>
  <c r="G845" i="2"/>
  <c r="G844" i="2"/>
  <c r="G843" i="2"/>
  <c r="G842" i="2"/>
  <c r="G841" i="2"/>
  <c r="G840" i="2"/>
  <c r="G839" i="2"/>
  <c r="G838" i="2"/>
  <c r="G837" i="2"/>
  <c r="G836" i="2"/>
  <c r="G835" i="2"/>
  <c r="G834" i="2"/>
  <c r="G833" i="2"/>
  <c r="G832" i="2"/>
  <c r="G831" i="2"/>
  <c r="G830" i="2"/>
  <c r="G829" i="2"/>
  <c r="G828" i="2"/>
  <c r="G827" i="2"/>
  <c r="G826" i="2"/>
  <c r="G825" i="2"/>
  <c r="G824" i="2"/>
  <c r="G823" i="2"/>
  <c r="G822" i="2"/>
  <c r="G821" i="2"/>
  <c r="G820" i="2"/>
  <c r="G819" i="2"/>
  <c r="G818" i="2"/>
  <c r="G817" i="2"/>
  <c r="G816" i="2"/>
  <c r="G815" i="2"/>
  <c r="G814" i="2"/>
  <c r="G813" i="2"/>
  <c r="G812" i="2"/>
  <c r="G811" i="2"/>
  <c r="G810" i="2"/>
  <c r="G809" i="2"/>
  <c r="G808" i="2"/>
  <c r="G807" i="2"/>
  <c r="G806" i="2"/>
  <c r="G805" i="2"/>
  <c r="G804" i="2"/>
  <c r="G803" i="2"/>
  <c r="G802" i="2"/>
  <c r="G801" i="2"/>
  <c r="G800" i="2"/>
  <c r="G799" i="2"/>
  <c r="G798" i="2"/>
  <c r="G797" i="2"/>
  <c r="G796" i="2"/>
  <c r="G795" i="2"/>
  <c r="G794" i="2"/>
  <c r="G793" i="2"/>
  <c r="G792" i="2"/>
  <c r="G791" i="2"/>
  <c r="G790" i="2"/>
  <c r="G789" i="2"/>
  <c r="G788" i="2"/>
  <c r="G787" i="2"/>
  <c r="G786" i="2"/>
  <c r="G785" i="2"/>
  <c r="G784" i="2"/>
  <c r="G783" i="2"/>
  <c r="G782" i="2"/>
  <c r="G781" i="2"/>
  <c r="G780" i="2"/>
  <c r="G779" i="2"/>
  <c r="G778" i="2"/>
  <c r="G777" i="2"/>
  <c r="G776" i="2"/>
  <c r="G775" i="2"/>
  <c r="G774" i="2"/>
  <c r="G773" i="2"/>
  <c r="G772" i="2"/>
  <c r="G771" i="2"/>
  <c r="G770" i="2"/>
  <c r="G769" i="2"/>
  <c r="G768" i="2"/>
  <c r="G767" i="2"/>
  <c r="G766" i="2"/>
  <c r="G765" i="2"/>
  <c r="G764" i="2"/>
  <c r="G763" i="2"/>
  <c r="G762" i="2"/>
  <c r="G761" i="2"/>
  <c r="G760" i="2"/>
  <c r="G759" i="2"/>
  <c r="G758" i="2"/>
  <c r="G757" i="2"/>
  <c r="G756" i="2"/>
  <c r="G755" i="2"/>
  <c r="G754" i="2"/>
  <c r="G753" i="2"/>
  <c r="G752" i="2"/>
  <c r="G751" i="2"/>
  <c r="G750" i="2"/>
  <c r="G749" i="2"/>
  <c r="G748" i="2"/>
  <c r="G747" i="2"/>
  <c r="G746" i="2"/>
  <c r="G745" i="2"/>
  <c r="G744" i="2"/>
  <c r="G743" i="2"/>
  <c r="G742" i="2"/>
  <c r="G741" i="2"/>
  <c r="G740" i="2"/>
  <c r="G739" i="2"/>
  <c r="G738" i="2"/>
  <c r="G737" i="2"/>
  <c r="G736" i="2"/>
  <c r="G735" i="2"/>
  <c r="G734" i="2"/>
  <c r="G733" i="2"/>
  <c r="G732" i="2"/>
  <c r="G731" i="2"/>
  <c r="G730" i="2"/>
  <c r="G729" i="2"/>
  <c r="G728" i="2"/>
  <c r="G727" i="2"/>
  <c r="G726" i="2"/>
  <c r="G725" i="2"/>
  <c r="G724" i="2"/>
  <c r="G723" i="2"/>
  <c r="G722" i="2"/>
  <c r="G721" i="2"/>
  <c r="G720" i="2"/>
  <c r="G719" i="2"/>
  <c r="G718" i="2"/>
  <c r="G717" i="2"/>
  <c r="G716" i="2"/>
  <c r="G715" i="2"/>
  <c r="G714" i="2"/>
  <c r="G713" i="2"/>
  <c r="G712" i="2"/>
  <c r="G711" i="2"/>
  <c r="G710" i="2"/>
  <c r="G709" i="2"/>
  <c r="G708" i="2"/>
  <c r="G707" i="2"/>
  <c r="G706" i="2"/>
  <c r="G705" i="2"/>
  <c r="G704" i="2"/>
  <c r="G703" i="2"/>
  <c r="G702" i="2"/>
  <c r="G701" i="2"/>
  <c r="G700" i="2"/>
  <c r="G699" i="2"/>
  <c r="G698" i="2"/>
  <c r="G697" i="2"/>
  <c r="G696" i="2"/>
  <c r="G695" i="2"/>
  <c r="G694" i="2"/>
  <c r="G693" i="2"/>
  <c r="G692" i="2"/>
  <c r="G691" i="2"/>
  <c r="G690" i="2"/>
  <c r="G689" i="2"/>
  <c r="G688" i="2"/>
  <c r="G687" i="2"/>
  <c r="G686" i="2"/>
  <c r="G685" i="2"/>
  <c r="G684" i="2"/>
  <c r="G683" i="2"/>
  <c r="G682" i="2"/>
  <c r="G681" i="2"/>
  <c r="G680" i="2"/>
  <c r="G679" i="2"/>
  <c r="G678" i="2"/>
  <c r="G677" i="2"/>
  <c r="G676" i="2"/>
  <c r="G675" i="2"/>
  <c r="G674" i="2"/>
  <c r="G673" i="2"/>
  <c r="G672" i="2"/>
  <c r="G671" i="2"/>
  <c r="G670" i="2"/>
  <c r="G669" i="2"/>
  <c r="G668" i="2"/>
  <c r="G667" i="2"/>
  <c r="G666" i="2"/>
  <c r="G665" i="2"/>
  <c r="G664" i="2"/>
  <c r="G663" i="2"/>
  <c r="G662" i="2"/>
  <c r="G661" i="2"/>
  <c r="G660" i="2"/>
  <c r="G659" i="2"/>
  <c r="G658" i="2"/>
  <c r="G657" i="2"/>
  <c r="G656" i="2"/>
  <c r="G655" i="2"/>
  <c r="G654" i="2"/>
  <c r="G653" i="2"/>
  <c r="G652" i="2"/>
  <c r="G651" i="2"/>
  <c r="G650" i="2"/>
  <c r="G649" i="2"/>
  <c r="G648" i="2"/>
  <c r="G647" i="2"/>
  <c r="G646" i="2"/>
  <c r="G645" i="2"/>
  <c r="G644" i="2"/>
  <c r="G643" i="2"/>
  <c r="G642" i="2"/>
  <c r="G641" i="2"/>
  <c r="G640" i="2"/>
  <c r="G639" i="2"/>
  <c r="G638" i="2"/>
  <c r="G637" i="2"/>
  <c r="G636" i="2"/>
  <c r="G635" i="2"/>
  <c r="G634" i="2"/>
  <c r="G633" i="2"/>
  <c r="G632" i="2"/>
  <c r="G631" i="2"/>
  <c r="G630" i="2"/>
  <c r="G629" i="2"/>
  <c r="G628" i="2"/>
  <c r="G627" i="2"/>
  <c r="G626" i="2"/>
  <c r="G625" i="2"/>
  <c r="G624" i="2"/>
  <c r="G623" i="2"/>
  <c r="G622" i="2"/>
  <c r="G621" i="2"/>
  <c r="G620" i="2"/>
  <c r="G619" i="2"/>
  <c r="G618" i="2"/>
  <c r="G617" i="2"/>
  <c r="G616" i="2"/>
  <c r="G615" i="2"/>
  <c r="G614" i="2"/>
  <c r="G613" i="2"/>
  <c r="G612" i="2"/>
  <c r="G611" i="2"/>
  <c r="G610" i="2"/>
  <c r="G609" i="2"/>
  <c r="G608" i="2"/>
  <c r="G607" i="2"/>
  <c r="G606" i="2"/>
  <c r="G605" i="2"/>
  <c r="G604" i="2"/>
  <c r="G603" i="2"/>
  <c r="G602" i="2"/>
  <c r="G601" i="2"/>
  <c r="G600" i="2"/>
  <c r="G599" i="2"/>
  <c r="G598" i="2"/>
  <c r="G597" i="2"/>
  <c r="G596" i="2"/>
  <c r="G595" i="2"/>
  <c r="G594" i="2"/>
  <c r="G593" i="2"/>
  <c r="G592" i="2"/>
  <c r="G591" i="2"/>
  <c r="G590" i="2"/>
  <c r="G589" i="2"/>
  <c r="G588" i="2"/>
  <c r="G587" i="2"/>
  <c r="G586" i="2"/>
  <c r="G585" i="2"/>
  <c r="G584" i="2"/>
  <c r="G583" i="2"/>
  <c r="G582" i="2"/>
  <c r="G581" i="2"/>
  <c r="G580" i="2"/>
  <c r="G579" i="2"/>
  <c r="G578" i="2"/>
  <c r="G577" i="2"/>
  <c r="G576" i="2"/>
  <c r="G575" i="2"/>
  <c r="G574" i="2"/>
  <c r="G573" i="2"/>
  <c r="G572" i="2"/>
  <c r="G571" i="2"/>
  <c r="G570" i="2"/>
  <c r="G569" i="2"/>
  <c r="G568" i="2"/>
  <c r="G567" i="2"/>
  <c r="G566" i="2"/>
  <c r="G565" i="2"/>
  <c r="G564" i="2"/>
  <c r="G563" i="2"/>
  <c r="G562" i="2"/>
  <c r="G561" i="2"/>
  <c r="G560" i="2"/>
  <c r="G559" i="2"/>
  <c r="G558" i="2"/>
  <c r="G557" i="2"/>
  <c r="G556" i="2"/>
  <c r="G555" i="2"/>
  <c r="G554" i="2"/>
  <c r="G553" i="2"/>
  <c r="G552" i="2"/>
  <c r="G551" i="2"/>
  <c r="G550" i="2"/>
  <c r="G549" i="2"/>
  <c r="G548" i="2"/>
  <c r="G547" i="2"/>
  <c r="G546" i="2"/>
  <c r="G545" i="2"/>
  <c r="G544" i="2"/>
  <c r="G543" i="2"/>
  <c r="G542" i="2"/>
  <c r="G541" i="2"/>
  <c r="G540" i="2"/>
  <c r="G539" i="2"/>
  <c r="G538" i="2"/>
  <c r="G537" i="2"/>
  <c r="G536" i="2"/>
  <c r="G535" i="2"/>
  <c r="G534" i="2"/>
  <c r="G533" i="2"/>
  <c r="G532" i="2"/>
  <c r="G531" i="2"/>
  <c r="G530" i="2"/>
  <c r="G529" i="2"/>
  <c r="G528" i="2"/>
  <c r="G527" i="2"/>
  <c r="G526" i="2"/>
  <c r="G525" i="2"/>
  <c r="G524" i="2"/>
  <c r="G523" i="2"/>
  <c r="G522" i="2"/>
  <c r="G521" i="2"/>
  <c r="G520" i="2"/>
  <c r="G519" i="2"/>
  <c r="G518" i="2"/>
  <c r="G517" i="2"/>
  <c r="G516" i="2"/>
  <c r="G515" i="2"/>
  <c r="G514" i="2"/>
  <c r="G513" i="2"/>
  <c r="G512" i="2"/>
  <c r="G511" i="2"/>
  <c r="G510" i="2"/>
  <c r="G509" i="2"/>
  <c r="G508" i="2"/>
  <c r="G507" i="2"/>
  <c r="G506" i="2"/>
  <c r="G505" i="2"/>
  <c r="G504" i="2"/>
  <c r="G503" i="2"/>
  <c r="G502" i="2"/>
  <c r="G501" i="2"/>
  <c r="G500" i="2"/>
  <c r="G499" i="2"/>
  <c r="G498" i="2"/>
  <c r="G497" i="2"/>
  <c r="G496" i="2"/>
  <c r="G495" i="2"/>
  <c r="G494" i="2"/>
  <c r="G493" i="2"/>
  <c r="G492" i="2"/>
  <c r="G491" i="2"/>
  <c r="G490" i="2"/>
  <c r="G489" i="2"/>
  <c r="G488" i="2"/>
  <c r="G487" i="2"/>
  <c r="G486" i="2"/>
  <c r="G485" i="2"/>
  <c r="G484" i="2"/>
  <c r="G483" i="2"/>
  <c r="G482" i="2"/>
  <c r="G481" i="2"/>
  <c r="G480" i="2"/>
  <c r="G479" i="2"/>
  <c r="G478" i="2"/>
  <c r="G477" i="2"/>
  <c r="G476" i="2"/>
  <c r="G475" i="2"/>
  <c r="G474" i="2"/>
  <c r="G473" i="2"/>
  <c r="G472" i="2"/>
  <c r="G471" i="2"/>
  <c r="G470" i="2"/>
  <c r="G469" i="2"/>
  <c r="G468" i="2"/>
  <c r="G467" i="2"/>
  <c r="G466" i="2"/>
  <c r="G465" i="2"/>
  <c r="G464" i="2"/>
  <c r="G463" i="2"/>
  <c r="G462" i="2"/>
  <c r="G461" i="2"/>
  <c r="G460" i="2"/>
  <c r="G459" i="2"/>
  <c r="G458" i="2"/>
  <c r="G457" i="2"/>
  <c r="G456" i="2"/>
  <c r="G455" i="2"/>
  <c r="G454" i="2"/>
  <c r="G453" i="2"/>
  <c r="G452" i="2"/>
  <c r="G451" i="2"/>
  <c r="G450" i="2"/>
  <c r="G449" i="2"/>
  <c r="G448" i="2"/>
  <c r="G447" i="2"/>
  <c r="G446" i="2"/>
  <c r="G445" i="2"/>
  <c r="G444" i="2"/>
  <c r="G443" i="2"/>
  <c r="G442" i="2"/>
  <c r="G441" i="2"/>
  <c r="G440" i="2"/>
  <c r="G439" i="2"/>
  <c r="G438" i="2"/>
  <c r="G437" i="2"/>
  <c r="G436" i="2"/>
  <c r="G435" i="2"/>
  <c r="G434" i="2"/>
  <c r="G433" i="2"/>
  <c r="G432" i="2"/>
  <c r="G431" i="2"/>
  <c r="G430" i="2"/>
  <c r="G429" i="2"/>
  <c r="G428" i="2"/>
  <c r="G427" i="2"/>
  <c r="G426" i="2"/>
  <c r="G425" i="2"/>
  <c r="G424" i="2"/>
  <c r="G423" i="2"/>
  <c r="G422" i="2"/>
  <c r="G421" i="2"/>
  <c r="G420" i="2"/>
  <c r="G419" i="2"/>
  <c r="G418" i="2"/>
  <c r="G417" i="2"/>
  <c r="G416" i="2"/>
  <c r="G415" i="2"/>
  <c r="G414" i="2"/>
  <c r="G413" i="2"/>
  <c r="G412" i="2"/>
  <c r="G411" i="2"/>
  <c r="G410" i="2"/>
  <c r="G409" i="2"/>
  <c r="G408" i="2"/>
  <c r="G407" i="2"/>
  <c r="G406" i="2"/>
  <c r="G405" i="2"/>
  <c r="G404" i="2"/>
  <c r="G403" i="2"/>
  <c r="G402" i="2"/>
  <c r="G401" i="2"/>
  <c r="G400" i="2"/>
  <c r="G399" i="2"/>
  <c r="G398" i="2"/>
  <c r="G397" i="2"/>
  <c r="G396" i="2"/>
  <c r="G395" i="2"/>
  <c r="G394" i="2"/>
  <c r="G393" i="2"/>
  <c r="G392" i="2"/>
  <c r="G391" i="2"/>
  <c r="G390" i="2"/>
  <c r="G389" i="2"/>
  <c r="G388" i="2"/>
  <c r="G387" i="2"/>
  <c r="G386" i="2"/>
  <c r="G385" i="2"/>
  <c r="G384" i="2"/>
  <c r="G383" i="2"/>
  <c r="G382" i="2"/>
  <c r="G381" i="2"/>
  <c r="G380" i="2"/>
  <c r="G379" i="2"/>
  <c r="G378" i="2"/>
  <c r="G377" i="2"/>
  <c r="G376" i="2"/>
  <c r="G375" i="2"/>
  <c r="G374" i="2"/>
  <c r="G373" i="2"/>
  <c r="G372" i="2"/>
  <c r="G371" i="2"/>
  <c r="G370" i="2"/>
  <c r="G369" i="2"/>
  <c r="G368" i="2"/>
  <c r="G367" i="2"/>
  <c r="G366" i="2"/>
  <c r="G365" i="2"/>
  <c r="G364" i="2"/>
  <c r="G363" i="2"/>
  <c r="G362" i="2"/>
  <c r="G361" i="2"/>
  <c r="G360" i="2"/>
  <c r="G359" i="2"/>
  <c r="G358" i="2"/>
  <c r="G357" i="2"/>
  <c r="G356" i="2"/>
  <c r="G355" i="2"/>
  <c r="G354" i="2"/>
  <c r="G353" i="2"/>
  <c r="G352" i="2"/>
  <c r="G351" i="2"/>
  <c r="G350" i="2"/>
  <c r="G349" i="2"/>
  <c r="G348" i="2"/>
  <c r="G347" i="2"/>
  <c r="G346" i="2"/>
  <c r="G345" i="2"/>
  <c r="G344" i="2"/>
  <c r="G343" i="2"/>
  <c r="G342" i="2"/>
  <c r="G341" i="2"/>
  <c r="G340" i="2"/>
  <c r="G339" i="2"/>
  <c r="G338" i="2"/>
  <c r="G337" i="2"/>
  <c r="G336" i="2"/>
  <c r="G335" i="2"/>
  <c r="G334" i="2"/>
  <c r="G333" i="2"/>
  <c r="G332" i="2"/>
  <c r="G331" i="2"/>
  <c r="G330" i="2"/>
  <c r="G329" i="2"/>
  <c r="G328" i="2"/>
  <c r="G327" i="2"/>
  <c r="G326" i="2"/>
  <c r="G325" i="2"/>
  <c r="G324" i="2"/>
  <c r="G323" i="2"/>
  <c r="G322" i="2"/>
  <c r="G321" i="2"/>
  <c r="G320" i="2"/>
  <c r="G319" i="2"/>
  <c r="G318" i="2"/>
  <c r="G317" i="2"/>
  <c r="G316" i="2"/>
  <c r="G315" i="2"/>
  <c r="G314" i="2"/>
  <c r="G313" i="2"/>
  <c r="G312" i="2"/>
  <c r="G311" i="2"/>
  <c r="G310" i="2"/>
  <c r="G309" i="2"/>
  <c r="G308" i="2"/>
  <c r="G307" i="2"/>
  <c r="G306" i="2"/>
  <c r="G305" i="2"/>
  <c r="G304" i="2"/>
  <c r="G303" i="2"/>
  <c r="G302" i="2"/>
  <c r="G301" i="2"/>
  <c r="G300" i="2"/>
  <c r="G299" i="2"/>
  <c r="G298" i="2"/>
  <c r="G297" i="2"/>
  <c r="G296" i="2"/>
  <c r="G295" i="2"/>
  <c r="G294" i="2"/>
  <c r="G293" i="2"/>
  <c r="G292" i="2"/>
  <c r="G291" i="2"/>
  <c r="G290" i="2"/>
  <c r="G289" i="2"/>
  <c r="G288" i="2"/>
  <c r="G287" i="2"/>
  <c r="G286" i="2"/>
  <c r="G285" i="2"/>
  <c r="G284" i="2"/>
  <c r="G283" i="2"/>
  <c r="G282" i="2"/>
  <c r="G281" i="2"/>
  <c r="G280" i="2"/>
  <c r="G279" i="2"/>
  <c r="G278" i="2"/>
  <c r="G277" i="2"/>
  <c r="G276" i="2"/>
  <c r="G275" i="2"/>
  <c r="G274" i="2"/>
  <c r="G273" i="2"/>
  <c r="G272" i="2"/>
  <c r="G271" i="2"/>
  <c r="G270" i="2"/>
  <c r="G269" i="2"/>
  <c r="G268" i="2"/>
  <c r="G267" i="2"/>
  <c r="G266" i="2"/>
  <c r="G265" i="2"/>
  <c r="G264" i="2"/>
  <c r="G263" i="2"/>
  <c r="G262" i="2"/>
  <c r="G261" i="2"/>
  <c r="G260" i="2"/>
  <c r="G259" i="2"/>
  <c r="G258" i="2"/>
  <c r="G257" i="2"/>
  <c r="G256" i="2"/>
  <c r="G255" i="2"/>
  <c r="G254" i="2"/>
  <c r="G253" i="2"/>
  <c r="G252" i="2"/>
  <c r="G251" i="2"/>
  <c r="G250" i="2"/>
  <c r="G249" i="2"/>
  <c r="G248" i="2"/>
  <c r="G247" i="2"/>
  <c r="G246" i="2"/>
  <c r="G245" i="2"/>
  <c r="G244" i="2"/>
  <c r="G243" i="2"/>
  <c r="G242" i="2"/>
  <c r="G241" i="2"/>
  <c r="G240" i="2"/>
  <c r="G239" i="2"/>
  <c r="G238" i="2"/>
  <c r="G237" i="2"/>
  <c r="G236" i="2"/>
  <c r="G235" i="2"/>
  <c r="G234" i="2"/>
  <c r="G233" i="2"/>
  <c r="G232" i="2"/>
  <c r="G231" i="2"/>
  <c r="G230" i="2"/>
  <c r="G229" i="2"/>
  <c r="G228" i="2"/>
  <c r="G227" i="2"/>
  <c r="G226" i="2"/>
  <c r="G225" i="2"/>
  <c r="G224" i="2"/>
  <c r="G223" i="2"/>
  <c r="G222" i="2"/>
  <c r="G221" i="2"/>
  <c r="G220" i="2"/>
  <c r="G219" i="2"/>
  <c r="G218" i="2"/>
  <c r="G217" i="2"/>
  <c r="G216" i="2"/>
  <c r="G215" i="2"/>
  <c r="G214" i="2"/>
  <c r="G213" i="2"/>
  <c r="G212" i="2"/>
  <c r="G211" i="2"/>
  <c r="G210" i="2"/>
  <c r="G209" i="2"/>
  <c r="G208" i="2"/>
  <c r="G207" i="2"/>
  <c r="G206" i="2"/>
  <c r="G205" i="2"/>
  <c r="G204" i="2"/>
  <c r="G203" i="2"/>
  <c r="G202" i="2"/>
  <c r="G201" i="2"/>
  <c r="G200" i="2"/>
  <c r="G199" i="2"/>
  <c r="G198" i="2"/>
  <c r="G197" i="2"/>
  <c r="G196" i="2"/>
  <c r="G195" i="2"/>
  <c r="G194" i="2"/>
  <c r="G193" i="2"/>
  <c r="G192" i="2"/>
  <c r="G191" i="2"/>
  <c r="G190" i="2"/>
  <c r="G189" i="2"/>
  <c r="G188" i="2"/>
  <c r="G187" i="2"/>
  <c r="G186" i="2"/>
  <c r="G185" i="2"/>
  <c r="G184" i="2"/>
  <c r="G183" i="2"/>
  <c r="G182" i="2"/>
  <c r="G181" i="2"/>
  <c r="G180" i="2"/>
  <c r="G179" i="2"/>
  <c r="G178" i="2"/>
  <c r="G177" i="2"/>
  <c r="G176" i="2"/>
  <c r="G175" i="2"/>
  <c r="G174" i="2"/>
  <c r="G173" i="2"/>
  <c r="G172" i="2"/>
  <c r="G171" i="2"/>
  <c r="G170" i="2"/>
  <c r="G169" i="2"/>
  <c r="G168" i="2"/>
  <c r="G167" i="2"/>
  <c r="G166" i="2"/>
  <c r="G165" i="2"/>
  <c r="G164" i="2"/>
  <c r="G163" i="2"/>
  <c r="G162" i="2"/>
  <c r="G161" i="2"/>
  <c r="G160" i="2"/>
  <c r="G159" i="2"/>
  <c r="G158" i="2"/>
  <c r="G157" i="2"/>
  <c r="G156" i="2"/>
  <c r="G155" i="2"/>
  <c r="G154" i="2"/>
  <c r="G153" i="2"/>
  <c r="G152" i="2"/>
  <c r="G151" i="2"/>
  <c r="G150" i="2"/>
  <c r="G149" i="2"/>
  <c r="G148" i="2"/>
  <c r="G147" i="2"/>
  <c r="G146" i="2"/>
  <c r="G145" i="2"/>
  <c r="G144" i="2"/>
  <c r="G143" i="2"/>
  <c r="G142" i="2"/>
  <c r="G141" i="2"/>
  <c r="G140" i="2"/>
  <c r="G139" i="2"/>
  <c r="G138" i="2"/>
  <c r="G137" i="2"/>
  <c r="G136" i="2"/>
  <c r="G135" i="2"/>
  <c r="G134" i="2"/>
  <c r="G133" i="2"/>
  <c r="G132" i="2"/>
  <c r="G131" i="2"/>
  <c r="G130" i="2"/>
  <c r="G129" i="2"/>
  <c r="G128" i="2"/>
  <c r="G127" i="2"/>
  <c r="G126" i="2"/>
  <c r="G125" i="2"/>
  <c r="G124" i="2"/>
  <c r="G123" i="2"/>
  <c r="G122" i="2"/>
  <c r="G121" i="2"/>
  <c r="G120" i="2"/>
  <c r="G119" i="2"/>
  <c r="G118" i="2"/>
  <c r="G117" i="2"/>
  <c r="G116" i="2"/>
  <c r="G115" i="2"/>
  <c r="G114" i="2"/>
  <c r="G113" i="2"/>
  <c r="G112" i="2"/>
  <c r="G111" i="2"/>
  <c r="G110" i="2"/>
  <c r="G109" i="2"/>
  <c r="G108" i="2"/>
  <c r="G107" i="2"/>
  <c r="G106" i="2"/>
  <c r="G105" i="2"/>
  <c r="G104" i="2"/>
  <c r="G103" i="2"/>
  <c r="G102" i="2"/>
  <c r="G101" i="2"/>
  <c r="G100" i="2"/>
  <c r="G99" i="2"/>
  <c r="G98" i="2"/>
  <c r="G97" i="2"/>
  <c r="G96" i="2"/>
  <c r="G95" i="2"/>
  <c r="G94" i="2"/>
  <c r="G93" i="2"/>
  <c r="G92" i="2"/>
  <c r="G91" i="2"/>
  <c r="G90" i="2"/>
  <c r="G89" i="2"/>
  <c r="G88" i="2"/>
  <c r="G87" i="2"/>
  <c r="G86" i="2"/>
  <c r="G85" i="2"/>
  <c r="G84" i="2"/>
  <c r="G83" i="2"/>
  <c r="G82" i="2"/>
  <c r="G81" i="2"/>
  <c r="G80" i="2"/>
  <c r="G79" i="2"/>
  <c r="G78" i="2"/>
  <c r="G77" i="2"/>
  <c r="G76" i="2"/>
  <c r="G75" i="2"/>
  <c r="G74" i="2"/>
  <c r="G73" i="2"/>
  <c r="G72" i="2"/>
  <c r="G71" i="2"/>
  <c r="G70" i="2"/>
  <c r="G69" i="2"/>
  <c r="G68" i="2"/>
  <c r="G67" i="2"/>
  <c r="G66" i="2"/>
  <c r="G65" i="2"/>
  <c r="G64" i="2"/>
  <c r="G63" i="2"/>
  <c r="G62" i="2"/>
  <c r="G61" i="2"/>
  <c r="G60" i="2"/>
  <c r="G59" i="2"/>
  <c r="G58" i="2"/>
  <c r="G57" i="2"/>
  <c r="G56" i="2"/>
  <c r="G55" i="2"/>
  <c r="G54" i="2"/>
  <c r="G53" i="2"/>
  <c r="G52" i="2"/>
  <c r="G51" i="2"/>
  <c r="G50" i="2"/>
  <c r="G49" i="2"/>
  <c r="G48" i="2"/>
  <c r="G47" i="2"/>
  <c r="G46" i="2"/>
  <c r="G45" i="2"/>
  <c r="G44" i="2"/>
  <c r="G43" i="2"/>
  <c r="G42" i="2"/>
  <c r="G41" i="2"/>
  <c r="G40" i="2"/>
  <c r="G39" i="2"/>
  <c r="G38" i="2"/>
  <c r="G37" i="2"/>
  <c r="G36" i="2"/>
  <c r="G35" i="2"/>
  <c r="G34" i="2"/>
  <c r="G33" i="2"/>
  <c r="G32" i="2"/>
  <c r="G31" i="2"/>
  <c r="G30" i="2"/>
  <c r="G29" i="2"/>
  <c r="G28" i="2"/>
  <c r="G27" i="2"/>
  <c r="G26" i="2"/>
  <c r="G25" i="2"/>
  <c r="G24" i="2"/>
  <c r="G23" i="2"/>
  <c r="G22" i="2"/>
  <c r="G21" i="2"/>
  <c r="G20" i="2"/>
  <c r="G19" i="2"/>
  <c r="G18" i="2"/>
  <c r="G17" i="2"/>
  <c r="G16" i="2"/>
  <c r="G15" i="2"/>
  <c r="G14" i="2"/>
  <c r="G13" i="2"/>
  <c r="G12" i="2"/>
  <c r="G11" i="2"/>
  <c r="G10" i="2"/>
  <c r="G9" i="2"/>
  <c r="G8" i="2"/>
  <c r="G7" i="2"/>
  <c r="G6" i="2"/>
  <c r="G5" i="2"/>
  <c r="G4" i="2"/>
  <c r="G3" i="2"/>
  <c r="G2" i="2"/>
</calcChain>
</file>

<file path=xl/sharedStrings.xml><?xml version="1.0" encoding="utf-8"?>
<sst xmlns="http://schemas.openxmlformats.org/spreadsheetml/2006/main" count="35115" uniqueCount="5933">
  <si>
    <t>soupy_counter</t>
  </si>
  <si>
    <t>blog_counter</t>
  </si>
  <si>
    <t>post_code</t>
  </si>
  <si>
    <t>updated_timestamp</t>
  </si>
  <si>
    <t>post_author</t>
  </si>
  <si>
    <t>responding_to</t>
  </si>
  <si>
    <t>move_category</t>
  </si>
  <si>
    <t>move_code</t>
  </si>
  <si>
    <t>trimmed_move</t>
  </si>
  <si>
    <t>secondary_move</t>
  </si>
  <si>
    <t>other_note</t>
  </si>
  <si>
    <t>post_text</t>
  </si>
  <si>
    <t>0</t>
  </si>
  <si>
    <t>Gowers_1</t>
  </si>
  <si>
    <t>gowers</t>
  </si>
  <si>
    <t>meta</t>
  </si>
  <si>
    <t>justify problem</t>
  </si>
  <si>
    <t>propose and rules</t>
  </si>
  <si>
    <t>so many good quotes in this one</t>
  </si>
  <si>
    <t>Of course, one might say, there are certain kinds of problems that lend themselves to huge collaborations. One has only to think of the proof of the classification of finite simple groups, or of a rather different kind of example such as a search for a new largest prime carried out during the downtime of thousands of PCs around the world. But my question is a different one. What about the solving of a problem that does not naturally split up into a vast number of subtasks? Are such problems best tackled by  people for some  that belongs to the set ? (Examples of famous papers with four authors do not count as an interesting answer to this question.)It seems to me that, at least in theory, a different model could work: different, that is, from the usual model of people working in isolation or collaborating with one or two others. Suppose one had a forum (in the non-technical sense, but quite possibly in the technical sense as well) for the online discussion of a particular problem. The idea would be that anybody who had anything whatsoever to say about the problem could chip in. And the ethos of the forum — in whatever form it took — would be that comments would mostly be kept short. In other words, what you would not tend to do, at least if you wanted to keep within the spirit of things, is spend a month thinking hard about the problem and then come back and write ten pages about it. Rather, you would contribute ideas even if they were undeveloped and/or likely to be wrong.This suggestion raises several questions immediately. First of all, what would be the advantage of proceeding in this way? My answer is that I don’t know for sure that there would be an advantage. However, I can see the following potential advantages.(i) Sometimes luck is needed to have the idea that solves a problem. If lots of people think about a problem, then just on probabilistic grounds there is more chance that one of them will have that bit of luck.(ii) Furthermore, we don’t have to confine ourselves to a purely probabilistic argument: different people know different things, so the knowledge that a large group can bring to bear on a problem is significantly greater than the knowledge that one or two individuals will have. This is not just knowledge of different areas of mathematics, but also the rather harder to describe knowledge of particular little tricks that work well for certain types of subproblem, or the kind of expertise that might enable someone to say, “That idea that you thought was a bit speculative is rather similar to a technique used to solve such-and-such a problem, so it might well have a chance of working,” or “The lemma you suggested trying to prove is known to be false,” and so on—the type of thing that one can take weeks or months to discover if one is working on one’s own.(iii) Different people have different characteristics when it comes to research. Some like to throw out ideas, others to criticize them, others to work out details, others to re-explain ideas in a different language, others to formulate different but related problems, others to step back from a big muddle of ideas and fashion some more coherent picture out of them, and so on. A hugely collaborative project would make it possible for people to specialize. For example, if you are interested in the problem and like having slightly wild ideas but are less keen on the detailed work of testing those ideas, then you can just suggest the ideas and hope that others will find them interesting enough to test or otherwise respond to.In short, if a large group of mathematicians could connect their brains efficiently, they could perhaps solve problems very efficiently as well.The next obvious question is this. Why would anyone agree to share their ideas? Surely we work on problems in order to be able to publish solutions and get credit for them. And what if the big collaboration resulted in a very good idea? Isn’t there a danger that somebody would manage to use the idea to solve the problem and rush to (individual) publication?Here is where the beauty of blogs, wikis, forums etc. comes in: they are completely public, as is their entire history. To see what effect this might have, imagine that a problem was being solved via comments on a blog post. Suppose that the blog was pretty active and that the post was getting several interesting comments. And suppose that you had an idea that you thought might be a good one. Instead of the usual reaction of being afraid to share it in case someone else beat you to the solution, you would be afraid not to share it in case someone beat you to that particular idea. And if the problem eventually got solved, and published under some pseudonym like Polymath, say, with a footnote linking to the blog and explaining how the problem had been solved, then anybody could go to the blog and look at all the comments. And there they would find your idea and would know precisely what you had contributed. There might be arguments about which ideas had proved to be most important to the solution, but at least all the evidence would be there for everybody to look at.True, it might be quite hard to say on your CV, “I had an idea that proved essential to Polymath’s solution of the *** problem,” but if you made significant contributions to several collaborative projects of this kind, then you might well start to earn a reputation amongst people who read mathematical blogs, and that is likely to count for something. (Even if it doesn’t count for all that much now, it is likely to become increasingly important.) And it might not be as hard as all that to put it on your CV: you could think of yourself as a joint author, with the added advantage that people could find out exactly what you had contributed.And what about the person who tries to cut and run when the project is 85% finished? Well, it might happen, but everyone would know that they had done it. The referee of the paper would, one hopes, say, “Erm, should you not credit Polymath for your crucial Lemma 13?” And that would be rather an embarrassing thing to have to do.Now I don’t believe that this approach to problem solving is likely to be good for everything. For example, it seems highly unlikely that one could persuade lots of people to share good ideas about the Riemann hypothesis. At the other end of the scale, it seems unlikely that anybody would bother to contribute to the solution of a very minor and specialized problem. Nevertheless, I think there is a middle ground that might well be worth exploring, so as an experiment I am going to suggest a problem and see what happens.I think it is important to do more than just say what the problem is. In order to try to get something started, I shall describe a very preliminary idea I once had for solving a problem that interests me (and several other people) greatly, but that isn’t the holy grail of my area. Like many mathematical ideas, mine runs up against a brick wall fairly quickly. However, like many brick walls, this one doesn’t quite prove that the approach is completely hopeless—just that it definitely needs a new idea.It may be that somebody will almost instantly be able to persuade me that the idea is completely hopeless. But that would be great—I could stop thinking about it. And if that happens I’ll dig out another idea for a different problem and try that instead.It’s probably best to keep this post separate from the actual mathematics, so that comments about collaborative problem-solving in general don’t get mixed up with mathematical thoughts about the particular problem I have in mind. So I’ll describe the project in my next post. Actually, make that my next post but one. The next post will say what the problem is and give enough background information about it to make it possible for anybody with a modest knowledge of combinatorics (or more than a modest knowledge) to think about it and understand my preliminary idea. The following post will explain what that preliminary idea is, and where it runs into difficulties. Then it will be over to you, or rather over to us. I’ve already written the background-information post, but will hold it back for a few days in case the responses to this post affect how I decide to do things.The blog medium is almost certainly not optimal for this purpose, so if a serious discussion starts with lots of worthwhile contributions, then I’ll look into the possibility of migrating it over to some purpose-built site. If anyone has any suggestions for this (apart from the obvious one of using the Tricki — I’m not sure that’s appropriate just yet though) then I’d be delighted to receive them. My feelings at the moment are that blogs are too linear—it would be quite hard to see which comments relate to which, which ones are most worth reading, and so on. A wiki, on the other hand, seems not to be linear enough—it would be quite hard to see what order the comments come in. So my guess is that the ideal forum would probably be a forum: if someone knows an easy way to set up a mathematical forum, I might even do that. But if the discussion is on this blog, then I might from time to time try to assess where it has got to and create new posts if I feel that genuine progress has been made that can be summarized and then built on.I’ve been thinking of doing this for a long time. The reason I’ve suddenly decided to go ahead is that I followed a couple of links from this post on Michael Nielsen’s blog, and discovered that, unsurprisingly, others have had similar ideas, and some people are already doing research in public. But the idea still seems pretty new, particularly when applied to one single mathematics problem, so I wanted to try it out when it was still fresh. (I would distinguish what I am proposing from what goes on at the n-category café, which is an excellent example of collaborative mathematics, but focused on an entire research programme rather than just one problem.)To finish, here is a set of ground rules that I hope it will be possible to abide by. At this stage I’m just guessing what will work, so these rules are subject to change. If you can see obvious flaws let me know.1. The aim will be to produce a proof in a top-down manner. Thus, at least to start with, comments should be short and not too technical: they would be more like feasibility studies of various ideas.2. Comments should be as easy to understand as is humanly possible. For a truly collaborative project it is not enough to have a good idea: you have to express it in such a way that others can build on it.3. When you do research, you are more likely to succeed if you try out lots of stupid ideas. Similarly, stupid comments are welcome here. (In the sense in which I am using “stupid”, it means something completely different from “unintelligent”. It just means not fully thought through.)4. If you can see why somebody else’s comment is stupid, point it out in a polite way. And if someone points out that your comment is stupid, do not take offence: better to have had five stupid ideas than no ideas at all. And if somebody wrongly points out that your idea is stupid, it is even more important not to take offence: just explain gently why their dismissal of your idea is itself stupid.5. Don’t actually use the word “stupid”, except perhaps of yourself.6. The ideal outcome would be a solution of the problem with no single individual having to think all that hard. The hard thought would be done by a sort of super-mathematician whose brain is distributed amongst bits of the brains of lots of interlinked people. So try to resist the temptation to go away and think about something and come back with carefully polished thoughts: just give quick reactions to what you read and hope that the conversation will develop in good directions.7. If you are convinced that you could answer a question, but it would just need a couple of weeks to go away and try a few things out, then still resist the temptation to do that. Instead, explain briefly, but as precisely as you can, why you think it is feasible to answer the question and see if the collective approach gets to the answer more quickly. (The hope is that every big idea can be broken down into a sequence of small ideas. The job of any individual collaborator is to have these small ideas until the big idea becomes obvious — and therefore just a small addition to what has gone before.) Only go off on your own if there is a general consensus that that is what you should do.8. Similarly, suppose that somebody has an imprecise idea and you think that you can write out a fully precise version. This could be extremely valuable to the project, but don’t rush ahead and do it. First, announce in a comment what you think you can do. If the responses to your comment suggest that others would welcome a fully detailed proof of some substatement, then write a further comment with a fully motivated explanation of what it is you can prove, and give a link to a pdf file that contains the proof.9. Actual technical work, as described in 8, will mainly be of use if it can be treated as a module. That is, one would ideally like the result to be a short statement that others can use without understanding its proof.10. Keep the discussion focused. For instance, if the project concerns a particular approach to a particular problem (as it will do at first), and it causes you to think of a completely different approach to that problem, or of a possible way of solving a different problem, then by all means mention this, but don’t disappear down a different track.11. However, if the different track seems to be particularly fruitful, then it would perhaps be OK to suggest it, and if there is widespread agreement that it would in fact be a good idea to abandon the original project (possibly temporarily) and pursue a new one — a kind of decision that individual mathematicians make all the time — then that is permissible.12. Suppose the experiment actually results in something publishable. Even if only a very small number of people contribute the lion’s share of the ideas, the paper will still be submitted under a collective pseudonym with a link to the entire online discussion.                                                                                                This entry was posted on January 27, 2009 at 4:47 pm and is filed under Mathematics on the internet, polymath1.                                                You can follow any responses to this entry through the RSS 2.0 feed.                                                                                                        You can leave a response, or trackback from your own site.                                                                                        ]</t>
  </si>
  <si>
    <t>C1589</t>
  </si>
  <si>
    <t>Michael Lugo</t>
  </si>
  <si>
    <t>who gets credit</t>
  </si>
  <si>
    <t>who gets credit?</t>
  </si>
  <si>
    <t>Two quick questions., 1. How do other disciplines solve the problem of giving credit (when it comes time to make decisions for hiring, tenure, etc.) in large collaborations?  And for that matter, how did mathematics handle Bourbaki?  Of course that is not the same thing, as Bourbaki wasn’t producing new results but rather systematizing old ones., 2. In regard to your #12, let’s say an experiment like this results in something publishable.  Whose job is it to “write it up” for publication?  (For the record, I dislike the term “writing up”.  The preposition “up” somehow trivializes the act, and seems to put a wall between research and writing.  This seems a bit silly given that proofs are  just pieces of writing constructed with the purpose of convincing people that some mathematical statement is true.)  That person will clearly have done some substantial portion of the work; how is this made clear?  (A thought is that this person is somehow analogous to the director of a film while people who contributed various results are analogous to the actors, although I suspect this metaphor breaks down if you look at it hard enough.), In regard to the technical issue of software, I’m almost certain I’ve seen forums which allow:
1. threaded posts, which are of course important so one can tell which posts are replies to which, and
2. inline TeX support, which is important for obvious reasons.
In other words, the software you’re thinking of almost certainly exists.</t>
  </si>
  <si>
    <t>C1590</t>
  </si>
  <si>
    <t>check understanding</t>
  </si>
  <si>
    <t>answer or statement</t>
  </si>
  <si>
    <t>clarification</t>
  </si>
  <si>
    <t>statement</t>
  </si>
  <si>
    <t>Some answers off the top of my head. I don’t know what happens with large collaborations in other subjects, but I’ve often wondered how one is supposed to evaluate a chemist, for example, who works as a member of a large team in a laboratory, for hiring purposes., The writing-up point is a good one. I’d imagine that there would be a discussion about it and someone, or some small group of people, would be chosen or would volunteer. They would continually post links to rough drafts for others to comment on. And, as with the research itself, anybody could look at the resulting conversation and the various drafts and could find out who had done what. Perhaps one could do more than this, though. For instance, once a project was finished, a very brief note could be written to thank those who had done the hard work at the end. , I too am almost sure I’ve seen threaded posts with TeX support. What I’d really like to find, but haven’t found yet, is a place where one can easily and freely set up such a forum. The word “easily” should be interpreted in a very strong sense, I’m afraid, or it will be beyond me.</t>
  </si>
  <si>
    <t>C1591</t>
  </si>
  <si>
    <t>D. Eppstein</t>
  </si>
  <si>
    <t>tools</t>
  </si>
  <si>
    <t>software and platforms</t>
  </si>
  <si>
    <t>logistics</t>
  </si>
  <si>
    <t>The Wiki model seems ideally suited to the writing-up phase, if perhaps not to the earlier research phase. At some point Wiki formatting would have to be converted into LaTeX formatting but I think that’s best left as late as possible.</t>
  </si>
  <si>
    <t>C1592</t>
  </si>
  <si>
    <t>davidc</t>
  </si>
  <si>
    <t>social</t>
  </si>
  <si>
    <t>arguments</t>
  </si>
  <si>
    <t>argument</t>
  </si>
  <si>
    <t>damn, son!</t>
  </si>
  <si>
    <t>Science is not a public good it is a collegiate good. I have no idea what 95% of mathematicians are talking about only specialists in their area do. People carry out science not to impress and help the public but mainly to impress and help those in their college (in the sense of discipline). The book “sex, science and profits” has a good discussion of how and why science is done., Another model to incentivise scientific progress is Robin Hanson’s prediction market. For mathematics this would work something like “I bet p!= NP” the market gets odds over time. If i am about to contribute a piece of mathematics that will change those odds i can bet then publish and make a profit. There are some problems with decidability for these issues in maths but Hanson’s idea is an interesting one.</t>
  </si>
  <si>
    <t>C1593</t>
  </si>
  <si>
    <t>Jack Snoeyink</t>
  </si>
  <si>
    <t>misinterpretation surmounts</t>
  </si>
  <si>
    <t>When I once had to present dozen-author paper from a collaborations in computational geometry, I made a slide of the first three pages of a Phys Rev Letters paper about the discovery of the Z0 particle by the “Omega collaboration”, which listed the all 495 authors and their 39 institutions. (The remaining 6 pages were text, tables, and bibliography.), One delightful feature of the concentrated attention of several people in a room is how person A will completely misinterpret what person B is trying to say, and that will trigger the idea for A to surmount their current barrier.
(Add to your technical requirements: a reader so that people can receive input while their attention is still focused on their own throughts?)</t>
  </si>
  <si>
    <t>C1594</t>
  </si>
  <si>
    <t>Andrea</t>
  </si>
  <si>
    <t>lessons learned</t>
  </si>
  <si>
    <t>collaborator tinder</t>
  </si>
  <si>
    <t>I’ve had quite a similar idea for a while. Say one builds a social network for mathematicians. You could put in ifo about yourself, your CV, papers you like and of course have friends, but the main use would be another., You could have a “status” where you describe what you have done today, mathematically speaking. This comment could range from “I learnt about this” or “I studied that paper” to “here’s an idea that could work for what I’m doing, I’m testing it next days” or “I finally have a proof of whatever, let me write it here”., Then the system would save key-words from your posts and relate them to other people posts, in order to be able to automatically suggest friendship. When a friend is suggested, you can see the related posts and decide that his (or her) knowledge is valuable for what you’re doing or viceversa. Then you add him as a friend and propose a traditional collaboration., In short this wouldn’t replace traditional collaboration, but would help to find people who know exactly what you need., For idea stealing, the thing goes the same as your proposal. Once I post, my idea is public, so people won’t be able to steal it; rather they can propose a collaboration., What do you think about this model?</t>
  </si>
  <si>
    <t>C1596</t>
  </si>
  <si>
    <t>Terence Tao</t>
  </si>
  <si>
    <t>review work</t>
  </si>
  <si>
    <t>parallelize &amp; simplify</t>
  </si>
  <si>
    <t>When I started my own blog, I tried posing an open question every week or so, see, http://terrytao.wordpress.com/category/question/, I guess I had some vague idea that this might spur some sort of collaborative attacks on these problems, though I did not explicitly try to organise this, and in any event the problems are all quite difficult (though one of them – scarring for the stadium – has had a major breakthrough recently).  But I did get some interesting discussion, for instance the comments on Mahler’s conjecture,, http://terrytao.wordpress.com/2007/03/08/open-problem-the-mahler-conjecture-on-convex-bodies/, did to some extent resemble the type of collaborative effort you describe here, even if it did peter out eventually., This type of approach might work best for problems which, while not genuinely parallelisable, can at least generate a number of simpler sub-problems (special cases, ambitious generalisations to be disproven, analogues in other, better understood, branches of mathematics, arguments that make some “cheating” or “best-case scenario” assumptions that eliminate one or more key difficulties, etc.) which can largely be worked on in parallel.  If the problem is of the nature that everyone is stuck on initiating Step 1, then it’s not clear that massively multiplying the number of people thinking about that step is the optimal solution., There is also the issue of keeping the signal-to-noise ratio at a reasonable level; it’s not too difficult to detect and remove obvious nonsense, but one can imagine borderline cases (e.g. one person filling up the forum with attempts at one approach that everyone else has abandoned as a fruitless dead end) that may require some diplomatic moderation, for instance.</t>
  </si>
  <si>
    <t>C1598</t>
  </si>
  <si>
    <t>Qiaochu Yuan</t>
  </si>
  <si>
    <t>MIT puzzles - additional source; right answer is obvious once found; solve in pieces</t>
  </si>
  <si>
    <t>This happens to be exactly the way the most well-organized teams solve puzzles in MIT’s annual Mystery Hunt – in that environment, there are a large number of puzzles and a smaller, but still significant, number of people (ideally proportional to the number of puzzles), and people bounce ideas off of each other on a Wiki or something similar until someone has the correct idea and someone else takes it in the correct direction.  , (I should mention that while the puzzles are far from easy, they tend to be written to have the property that once you have the right idea it is fairly obvious that you have it, which is perhaps an issue that makes this case sufficiently distinct from the case of mathematics.)</t>
  </si>
  <si>
    <t>C1601</t>
  </si>
  <si>
    <t>Jose Brox</t>
  </si>
  <si>
    <t>working the problem</t>
  </si>
  <si>
    <t>thread management</t>
  </si>
  <si>
    <t>information management</t>
  </si>
  <si>
    <t>logistics - esp. ideas per day; summarize or structure</t>
  </si>
  <si>
    <t>Depending on the actual number of people working on the problem and the ratio of ideas per day they are able to produce, another issue that can arise is how to manage the relation of information: quoting, answering and referencing to other’s ideas can be changelling. Suppose there are 500 commentaries before yours, it wouldn’t be helpful for the rest to say your idea comes from numbers #73, #128, #199 and #383, and it wouldn’t be possible to copy all the relevant information and keep the contributions small, neither would be it desirable, in my opinion., Some special rules, or even a more structured tool (I don’t think threaded forums are that useful in this case) might prove necessary in order we can track every chain of ideas easily., Maybe the moderator suggested by Terry Tao could compose summaries (I’m thinking about two kinds: brief summaries and exhaustive summaries) and add them to the discussion (in a parallel tool, not in the main blog/forum) or even replace all the comments with them every once in a while.</t>
  </si>
  <si>
    <t>C1602</t>
  </si>
  <si>
    <t>Tom</t>
  </si>
  <si>
    <t>pieces of puzzle</t>
  </si>
  <si>
    <t>quote - science without competition; importance of "I don't know"</t>
  </si>
  <si>
    <t>This project strongly reminds me some famous words by Evariste Galois:  Quand la concurrence c’est-à-dire l’égoïsme ne règnera plus dans les sciences, quand on s’associera pour étudier, au lieu d’envoyer aux académies des paquets cachetés, on s’empressera de publier ses moindres observations pour peu qu’elles soient nouvelles, et on ajoutera: “je ne sais pas le reste”. (Rough translation: When competition, that is egoism, no longer reigns in the sciences, when people join to study, then instead of sending sealed parcels to academies one will rush to publish any of one’s observations if they are new, and one will add “I do not know the rest”.), On a practical level, moderation would indeed be crucial, and I second Jose Brox’s idea of hiding some of the comments by a summary (e.g. statement of a now proven lemma) as soon as that part of the argument is settled.</t>
  </si>
  <si>
    <t>C1603</t>
  </si>
  <si>
    <t>messy back</t>
  </si>
  <si>
    <t>Jose Brox’s idea of hiding old comments and replacing them with some sort of summary reminds me of what actually happens on Wikipedia.  Wikipedia’s “talk pages” are incredibly messy, but the finished product that most people see emerges from them., Also, why should only the moderator be the one to compose summaries?  When starting on a project like this the moderator won’t necessarily know in what direction things will go, and it’s possible that the solution to a problem will go through areas with which the moderator is not that familiar.  Anybody should be able to write summaries.  (On a smaller scale, this is like how anybody can write a review of the literature in some area, although of course the people writing review articles are hopefully people fairly knowledgeable about the area they’re writing about.), Finally, the hypothetical software that we’re talking about could even be useful for a single mathematician, or a more “traditional” (i. e. smaller) team of collaborators.  I know that despite my best efforts, I often lose track of the interrelationships between my ideas, which makes things hard when I try to write them up.  If I were entering all my ideas into a computer, with the relationships between them indicated (things like “X is a generalization of Y”, “X `looks like’ Y in a different domain”, etc.) it would perhaps be easier to combine them when I write things up.  Perhaps this is on my mind because I am working on generating the mathematical ideas that will hopefully go into my PhD thesis; my current main project is thus by a substantial margin the largest piece of mathematics I have ever done, and I’m finding that my old organizational systems don’t scale well.</t>
  </si>
  <si>
    <t>C1604</t>
  </si>
  <si>
    <t>coalescence</t>
  </si>
  <si>
    <t>external references</t>
  </si>
  <si>
    <t>example</t>
  </si>
  <si>
    <t xml:space="preserve"> </t>
  </si>
  <si>
    <t>Incidentally, here is another example (from the n-category cafe) of a maths problem being solved collaboratively:, http://golem.ph.utexas.edu/category/2008/02/metric_spaces.html</t>
  </si>
  <si>
    <t>C1605</t>
  </si>
  <si>
    <t>Jason Dyer</t>
  </si>
  <si>
    <t>parallelizable, compare to minimum viable contribution</t>
  </si>
  <si>
    <t>This type of approach might work best for problems which, while not genuinely parallelisable, can at least generate a number of simpler sub-problem, I might also add that if the problem is too technically formidable, it is likely the discussion will wind down to only 2 or 3 participants (in which case the effort is no longer “massive” but a traditional collaberation)., For instance, this problem Timothy posted about I believe could succumb to a massive effort, because a.) it’s simple in explanation b.) a undergraduate-level approach might work c.) it has simpler cases d.) brute force or luck may help e.) a multi-discipline approach seems helpful (both computer science and statistical methods could contribute, in addition to pure maths) and f.) even an interested amateur could figure out something to do; maybe go back and illustrate previous results with a better graphic layout.</t>
  </si>
  <si>
    <t>C1607</t>
  </si>
  <si>
    <t>summarize</t>
  </si>
  <si>
    <t>moderate &amp; respond</t>
  </si>
  <si>
    <t>nostalgia in 15 years (2024)</t>
  </si>
  <si>
    <t>Here are a few more brief responses to some of the comments above., Andrea, your idea certainly sounds interesting. In general there seem to be many ways that the internet could potentially help us pool our resources and for the mathematical community to become more than the sum of its parts. My guess is that, just as people of my generation say things like, “I can’t believe that when I first wrote papers I actually put them in an envelope and posted them to journals!” people in 15 years time will look back with a sort of nostalgic wonder on how we do things today., Terry, I completely agree that some problems are going to be more suitable for this than others. I’ve tried to choose one that I hope will work, but as I said in my post it is very much an experiment, and if it fails (as the majority of my individual research projects do) I’ll try to learn what lessons I can from the failure and have another go with something else, or perhaps with a slightly different way of organizing the collective attack., Qiaochu, I’m interested and encouraged to hear that there is a precedent for this kind of thing, and that it has sometimes worked. It’s not obvious to me that the different nature of a mathematical research problem will make it less likely to work for that., Jose, Tom and Michael, I had thought about people composing summaries. I agree with Michael that one should not make any assumptions in advance about who would do that, but one thing that would almost certainly be a good idea would be to have the summaries in a separate place. A lot will depend on how many comments there are. If there are hundreds, then there is a serious organizational problem, but I don’t expect that. If there are just a handful, then it’s not much of a problem just to read them all. If the number is largish but not too large, then one possibility might be to have a convention that every so often whoever wants to can write a new “initial” post that takes into account everything that’s been learned about the problem, and the discussion starts all over again. (And others could comment on that post and it could be edited in the light of their comments. This is assuming a blog format for the time being.), Something else I might do if the number of comments is not too large is forward linking. In other words, if someone writing comment 17 says, “This is a response to comment 9” then I could edit comment 9 by putting at the end of it, “There is a response to this comment in comment 17.” It would be a bit of a Heath Robinson approach, but might be quite useful., Tom, I was very interested by your Galois quotation, which I didn’t know., Terry, that was also interesting to see, though I’m hoping that in this case the discussion won’t go from zero to a complete solution of the problem in one single step!, Jason, I hope very much that the problem I’ve chosen will not be too technically formidable. On the other hand, it will not be amenable to an undergraduate-level approach: “massive” may be an overstatement, but I hope that there is at least a possibility that many more than three people will make genuine contributions.</t>
  </si>
  <si>
    <t>C1609</t>
  </si>
  <si>
    <t>roice</t>
  </si>
  <si>
    <t>moderate based on reputation like stackoverflow</t>
  </si>
  <si>
    <t>Related to the “signal-to-noise ratio” and “managing information” technical challenges, I thought I’d point you to a self moderating forum-like site growing in the programming community right now (www.stackoverflow.com).  The relevance to this discussion is how individual collaborators can upvote or downvote contributed material so that both the quality and organization of ideas for a given question is self sorting., For a distributed collaboration, I agree with the comments here that it would be fruitful to avoid single moderator requirements, as those could bottleneck the process into being serial instead of massively parallel.  In as many aspects as possible, it seems the technical solution should adhere to a “power to the people” philosophy., Also perhaps relevant is that stackoverflow has a reputation system which measures the extent of individual contributions.  Earning more reputation gives more moderation powers, but something like that could also be used at publishing time to sort contributions.  Their software isn’t available as far as I know (not that they couldn’t be asked about the possibility), and doesn’t support LaTeX, but I thought the ideas could be useful nonetheless.  , In an ideal scenario, having a more sophisticated self organizing setup here, one that allowed collaborators to create and vote on associations verses linear up or down voting, would be fantastic.  Something like that would truly be in the spirit of your super-mathematician.</t>
  </si>
  <si>
    <t>Gowers_2</t>
  </si>
  <si>
    <t>why this problem</t>
  </si>
  <si>
    <t>context</t>
  </si>
  <si>
    <t xml:space="preserve">This post contains brief descriptions of some mathematics that one would need to know in order to have a realistic chance of contributing to the  collaborative research project I shall suggest in the next post. If you are familiar with the Hales-Jewett theorem, Szemerédi’s regularity lemma, the triangle-removal lemma, and the proof from the triangle-removal lemma that a dense subset of  contains a corner, then you do not need to read it.The Hales-Jewett theorem.The Hales-Jewett theorem is one of the best-known results in Ramsey theory. To state it, we need a couple of definitions. Let us write  for the set . We shall be looking at colourings of the set  which consists of all sequences , where each  is an integer between  and .As with most Ramsey theorems, the idea is now to find a substructure with all elements of the same colour. In this case, the substructure is an object known as a combinatorial line. An example will quickly demonstrate what a combinatorial line is. Let  and let . Then the following three points form a combinatorial line:  To see more clearly what is going on here, let us use the notation . The three earlier points are obtained by substituting , then , and then . In general, you form a combinatorial line by fixing some of the coordinates and letting the others be equal and vary from  to .The Hales-Jewett theorem asserts that for every  and every  there exists  such that if the elements of  are coloured with  colours, then there is a combinatorial line with all its  points of the same colour.The Furstenberg-Katznelson theorem.The proof of the Hales-Jewett theorem need not concern us here. What we shall be interested in is the density version of the statement, which is the following. For every  and every  there exists  such that every subset of  of size at least  contains a combinatorial line. This is a famous theorem of Furstenberg and Katznelson, who proved it using ergodic theory. As yet, the only known proofs of this theorem either use ergodic theory or are heavily inspired by it, so it would be very nice to have a purely combinatorial proof.The Hales-Jewett theorem implies van der Waerden’s theorem, and the Furstenberg-Katznelson theorem implies Szemerédi’s theorem, so a new proof of any kind is not likely to be easy to come by. However, Szemerédi’s theorem for progressions of length 3 (due to Roth) is quite a bit easier than the general case, so there ought to be a better chance of finding a combinatorial proof of the Furstenberg-Katznelson theorem at least in the case . The project I’m proposing is to develop an approach to this case of the problem: the approach will be explained in the next post. (If you have an idea about how to find a proof of this case, you should save it up for comments on that post. I’m not expecting many comments on this post, but if you do have them then they should concern the results I briefly describe here, or my presentation of them.)Szemerédi’s regularity lemma.The second piece of background information needed is Szemerédi’s regularity lemma. This is a fundamental result in graph theory and will play an important role for us. I will give the statement only, even though the project may depend on thinking about, and trying to modify, its proof. Anybody who does not know the proof already is referred to section 7 of this paper, and also to section 1 and the beginnings of sections 2 and 3 (but you can ignore everything about hypergraphs).In order to state the lemma we shall need some preliminary definitions. Let  be a bipartite graph with vertex sets  and . Let  be a subset of  and let  be a subset of . The density  of the pair  is defined to be the number of  such that  is an edge of , divided by . The pair  is defined to be –regular if  whenever  and  are subsets of  and  with  and . What is useful about -regular pairs is that the induced subgraph of  corresponding to such a pair behaves rather like a typical random bipartite graph of the same density (at least when  is small).The statement of the lemma, in the version we shall use, is this. For every  there exists  such that for every graph  with vertex set  there is a partition  with  and with the sets  differing in size by at most 1, such that all but at most  of the pairs  are -regular.As most people think about this lemma: every graph can be partitioned into a bounded number of pieces, almost all of which behave like random bipartite graphs.The triangle-removal lemma.Now let me sketch how Szemerédi’s regularity lemma is used to prove a result that is slightly misleadingly called the triangle-removal lemma. This states that for every  there exists  such that if  is any graph with  vertices and at most  triangles, then it is possible to remove at most  edges from  and end up with no triangles. To prove it, one first applies the regularity lemma to . Let  be a fairly small number (that depends in a reasonably simple way on ) and let the partition of the vertex set given by the regularity lemma be . Then remove all edges from all pairs  that either fail to be -regular or fail to have density at least . If  has been chosen appropriately, the number of edges removed is at most  Suppose now that the graph with these edges removed had a triangle . Suppose that ,  and . Then the pairs ,  and  would not have had their edges removed, so they would have had to be both -regular and of density at least . If  is sufficiently small, it is not hard to deduce from these two properties that the number of (labelled) triangles with one vertex in , one in  and one in  is not much smaller than . Since each cell of the partition contains a constant fraction of all the vertices, this gives us a lot of triangles, contradicting the assumption that there were fewer than  triangles, at least if  is chosen small enough.Finding corners in dense sets.Now let us use the triangle-removal lemma to prove that a dense subset of  contains a triple of the form  with . Such a configuration is sometimes called a corner. Suppose then that  is a set of size . Form a tripartite graph  with vertex sets  and , and the following edges. If  and , then  is an edge if and only if . If  and , then  is an edge if and only if . Finally, if  and , then  is an edge if and only if .Suppose now that  is a triangle in this graph . Then the points , , and  all belong to . Setting  we can write the second and third points as  and . Therefore, we have a configuration of the desired kind—except if . If , which happens if , then all we get is a single point repeated three times. Let us call the resulting triangle in the graph degenerate.At any rate, if  contains no configurations of the desired kind, then the above argument shows that  contains no non-degenerate triangles. Since the number of degenerate triangles is , this proves that  contains  triangles, which is far fewer than  triangles. (Recall that the number of vertices of  is .)The triangle-removal lemma therefore implies, at least when  is sufficiently large, that it is possible to remove at most  edges from  in such a way that no triangles remain. However, this is a contradiction, as it is easy to check that no two degenerate triangles share an edge, and we know that there are  of them.The above very beautiful argument is due to Solymosi, who was generalizing a similarly beautiful argument of Ruzsa and Szemerédi. This result about corners was first proved (I think — but am ready to be corrected if necessary) by Szemerédi, using a different argument. Actually it was Ajtai and Szemerédi: many thanks to Matthias Schacht for telling me this — which I now remember once having known.Sparse regularity lemmas.This section assumes familiarity with the proof of Szemerédi’s regularity lemma. A drawback of Szemerédi’s regularity lemma is that the bound on the size of the partition in terms of the parameter  is very weak. This means that in practice the lemma is useful only for statements about dense graphs. However, there do exist adaptations that work for sparse graphs (some of which are described in the first couple of sections of this paper). Roughly, the idea is that one can prove a regularity lemma for a sparse graph  if it is a dense subgraph of a sufficiently random-like graph . And very roughly, the reason for that is that if  has density  and has highly quasirandom behaviour, then the upper bound for the density of subgraphs of  is not  but , which means that the mean-square density of a partition cannot be more than , so the iteration in the proof of the regularity lemma can after all be guaranteed to finish after a constant number of steps (since, if  is dense in , the initial mean-square density is within a constant of ). An important difference between the sparse case and the dense case is that if you have a triple of bipartite graphs that are sparse and regular, it is no longer trivial that the resulting tripartite graph contains many triangles. However, there are various ways that this can be done.What will happen next.I don’t yet have a better place to do things than this blog, so here’s what I plan to do. Within the next day or two I will publish a (now written) post that explains a possible approach to the density Hales-Jewett theorem when . The project is to decide whether this approach works or (more likely) can be convincingly shown not to work. Or at least that is the initial project — it is possible that there could be spin-offs.As well as the main post that describes the approach, I shall also publish an explanation (also already written) of why I think this project might be a suitable one, as well as a dozen or so subposts, some of which will be empty. The idea of these subposts is to compensate to some extent for the excessive linearity of blog comments by separating out discussion of different aspects of the project. However, I don’t want to dictate too much the form that the discussion should take, so I will also leave several of the subposts empty, and fill them if it becomes clear from the existing discussions that a new thread would be appropriate. (If this happens, I will fill the empty post with an attempted summary of the comments that have led to the new thread.) It’s a bit rough and ready, and won’t work if there are too many comments to deal with, but I’m hoping that the problem is at a level where the number will be manageable. The point of publishing empty posts is that then they will all appear consecutively on the blog.Added later: I have slightly changed my mind about one detail. As planned, I shall publish a large number of extra posts for the purposes of trying to organize the threads of the discussion. However, I will not try to guess in advance what any of these threads might be, so initially all these extra posts will be empty. Only when clearly defined subdiscussions emerge will I suggest that they continue on separate threads. This is because I want the whole process to be as democratic as possible: ideally it won’t always be me who decides that a subdiscussion is sufficiently “clearly defined” to deserve its own place.Tags: Polymath project												This entry was posted on January 30, 2009 at 11:51 am and is filed under Mathematics on the internet, polymath1.						You can follow any responses to this entry through the RSS 2.0 feed.													You can leave a response, or trackback from your own site.											</t>
  </si>
  <si>
    <t>C1613</t>
  </si>
  <si>
    <t>Nathaniel Thurston</t>
  </si>
  <si>
    <t>interpersonal feedback</t>
  </si>
  <si>
    <t>range of interactions</t>
  </si>
  <si>
    <t>It seems like a massive coincidence that only two weeks ago I tried to start a software project aimed at creating just the sort of forum that is called for., The most crucial element in such a forum is the need for feedback about what’s working and what isn’t.  At a basic level, we’re going to need a way to gently let people know that they need to: { be more concise, be nicer, stay on-topic, acknowledge credit }, but I can imagine the need for a whole range of such interactions., I don’t think the ‘stackoverflow’ model of trustworthiness is adequate, because it doesn’t make much sense to model trustworthiness on a single scale.  Some people are going to have good mathematical ideas; others are going to be better about communicating; others will be better at social interaction; and so forth.  The basic point is that trust that a person does ‘X’ well is only loosely correlated with their ability to do ‘Y’ well.  In order for a large-scale community to function effectively, I think we’re going to need to find ways of expressing that even though you’ve earned quite a lot of trust by doing ‘X’, ‘Y’, and ‘Z’ well, there’s a pattern that your performance at ‘W’ could be better.  For obvious reasons, much of this meta-discussion should be kept private or at least semi-private., So — I’m not sure whether or not I’ll be able to contribute to the mathematics (my training is mostly in hyperbolic geometry), but I have a definite and independent interest in being an important part of the effort to design and create the forum that seems to be called for.</t>
  </si>
  <si>
    <t>C1616</t>
  </si>
  <si>
    <t>edit option</t>
  </si>
  <si>
    <t xml:space="preserve">need to increase interactions - especially 'speaking' more frequently </t>
  </si>
  <si>
    <t>I’ve been thinking for some time about the conditions which could facilitate massively collaborative thinking, and I have a strong suspicion that the answer to the ‘is it possible’ question is a definite yes., I don’t want to overwhelm the discussion by elaborating on too many of my ideas now, but I would like to mention one: it would be useful to be able to edit a previously-made comment to reflect post-facto thoughts., Most mathematicians I know tend to err on the side of speaking too infrequently to allow such a collaborative process work well.  My recent tendency is in the other direction (as the suggested by the timing of this comment).</t>
  </si>
  <si>
    <t>C1618</t>
  </si>
  <si>
    <t>Michael Nielsen</t>
  </si>
  <si>
    <t>multiple author management</t>
  </si>
  <si>
    <t>Michael Lugo,, In response to your first question, an interesting model is the high-energy physics community, which often has papers with hundreds of authors.  My understanding is that such projects typically have archived internal conversation in the form of “Technical Reports”, often authored by just a few project members.  This ensures that everyone has a rough idea of who has contributed what to the project, and a way of assessing people’s individual contributions when it comes time to write letters of recommendation, and so on.  Take all this with a grain of salt – I’m not an experimental high energy physicist, it’s just what I’ve been told by people who have worked in that community.</t>
  </si>
  <si>
    <t>C1619</t>
  </si>
  <si>
    <t>too infrequent</t>
  </si>
  <si>
    <t>needs to be correct the first time it's public</t>
  </si>
  <si>
    <t>Nathaniel,  I have the same sense that mathematicians tend to err on the side of speaking too infrequently.  We seem to act as if everything we say must be correct the first time anyone else ever sees it.</t>
  </si>
  <si>
    <t>C1620</t>
  </si>
  <si>
    <t>category name</t>
  </si>
  <si>
    <t>Dear Tim,, It might be useful to have a single category for all of the posts related to this project, as this would provide an easy way to view all such posts on a single web page.  (In fact, should further work on the project also appear on other wordpress blogs, they can use the same category, so that they can be viewed in a single global wordpress location.)</t>
  </si>
  <si>
    <t>C1621</t>
  </si>
  <si>
    <t>Yor Naim</t>
  </si>
  <si>
    <t>potential tools</t>
  </si>
  <si>
    <t>LatexRender seems to be a capable LaTeX renderer:, http://www.mayer.dial.pipex.com/tex.htm ., There’s a list of example installations (many of them working) on the left.  Another possibility is mathTeX:, http://www.forkosh.com/mathtex.html ., Scroll down for a list of alternatives., Evidently, some assembly is required., Anyway, the GPL’d phpBB3 system may have enough relevant built-in features:, http://www.phpbb.com/about/features/ ., However, I don’t have administrative experience.</t>
  </si>
  <si>
    <t>C1622</t>
  </si>
  <si>
    <t>recognizing good idea</t>
  </si>
  <si>
    <t>pointing to another contributor</t>
  </si>
  <si>
    <t>Terry, that’s an excellent idea and I can’t think why I didn’t think of it (especially as I was puzzling over how I could do what it does so easily)., For some more interesting ideas, in response to some of which my plans have slightly changed, I recommend a look at Michael Nielsen’s response to the proposal.</t>
  </si>
  <si>
    <t>C1623</t>
  </si>
  <si>
    <t>C1620, C1622</t>
  </si>
  <si>
    <t xml:space="preserve">unique name </t>
  </si>
  <si>
    <t>Dear Terry and Tim,, If the project is given a reasonably unique name, which is then used to tag posts, it should be easy to track across all blogging platforms, not just WordPress:, http://blogsearch.google.com/blogsearch?hl=en&amp;ie=UTF-8&amp;q=%22polymath+project%22&amp;btnG=Search+Blogs, A straight up Google search shows a lot of hits for “Polymath project”.  But a Google blog search shows only a few blog hits, so maybe it’s a unique enough name already.  If there’s a lot of activity on other blogs, perhaps Tim could add a link to the blog search on his blog, so other people are aware of this possibility?</t>
  </si>
  <si>
    <t>C1627</t>
  </si>
  <si>
    <t>asking questions</t>
  </si>
  <si>
    <t>question</t>
  </si>
  <si>
    <t>Doesn’t the delta in the Furstenberg-Katznelson theorem need to be also less than or equal to 1? Otherwise I’m interpreting something wrong., In the Quasirandomness, Counting and Regularity paper you link to, on page 32 line 3 Y_j should be |Y_j|.</t>
  </si>
  <si>
    <t>C1628</t>
  </si>
  <si>
    <t>"to be interesting, but not for it to make sense"</t>
  </si>
  <si>
    <t>If  then the theorem as stated is trivially true … so  needs to be less than 1 for the statement to be interesting, but not for it to make sense.</t>
  </si>
  <si>
    <t>C1630</t>
  </si>
  <si>
    <t>next steps</t>
  </si>
  <si>
    <t>"super-mathematician"</t>
  </si>
  <si>
    <t>I have four suggestions:, 1. That we use the same code of conduct for this discussion as for the super-mathematician., 2. That we treat suggested rules as in force, unless we have good reason to break them.  In particular, I really like the suggestions put forth by gowers, and wish to encourage others to read them carefully and follow them., 3. That someone (or a small focused group) start work on summarizing the discussion so far.  I’m willing to forge ahead on this task if a general consensus emerges that I should do so., 4. That we refer to the discussion about the social interaction between the people involved in the “super-mathematician” or similar constructs (i.e., this discussion) as “Social Engineering”.  I’m aware of the negative connotations, but think the term so highly descriptive that it’s worth ignoring those connotations and reclaiming the term for our use.</t>
  </si>
  <si>
    <t>C1631</t>
  </si>
  <si>
    <t>Michel Balazard</t>
  </si>
  <si>
    <t>praise</t>
  </si>
  <si>
    <t>"pourquoi etre si pessimiste et timide?"</t>
  </si>
  <si>
    <t>Félicitations pour ce très intéressant texte. Un seul point faible :, “For example, it seems highly unlikely that one could persuade lots of people to share good ideas about the Riemann hypothesis.”, Pourquoi être si pessimiste et timide?</t>
  </si>
  <si>
    <t>C1632</t>
  </si>
  <si>
    <t>C1630, C1631</t>
  </si>
  <si>
    <t>thought process</t>
  </si>
  <si>
    <t>uncertain goal</t>
  </si>
  <si>
    <t>Nathaniel, I had already planned to take the following steps, which go some way towards fulfilling your suggestions. First of all, I was going to modify very slightly the rules I suggested (without changing their essence except slightly in one case) and add one or two more. And I was going to put the new set of rules into a new post, together with some remarks about how I hope things will proceed. Secondly, I planned to have a separate thread available for comments on how the project is going, suggestions for procedural changes that might improve it, and so on: as I wrote earlier, I don’t want such comments to be mixed in with the mathematical ones (though they might well refer to them). I agree that it could make very good sense to summarize that discussion from time to time., Michel, I have never forgotten a conversation I once had with a mathematician at Princeton, who said, “If someone proved the Riemann hypothesis, there would be a lot of grey faces at the Institute.” The implication was that that particular problem is one that seems to encourage at least some people to do a lot of private work on it. And such people would I think be reluctant to give away their ideas (though as I wrote in my original post, it could instead be regarded as a way of laying claim to those ideas). Another problem is that a lot of people have very detailed technical knowledge related to RH. But perhaps that’s unimportant: it would just mean that the particular community of people able to contribute to that project would not include me. In theory, I suppose, if a big group worked on the Riemann hypothesis and was seen to be serious, then people who might initially have been reluctant to contribute would come on board. , There’s also the amusing practical problem of how to divide up the million dollars if the theorem actually gets proved this way …, But the main reason for timidity is that it doesn’t seem a good idea to try this out on a big problem until one has some reason to believe that it could work at all.</t>
  </si>
  <si>
    <t>C1633</t>
  </si>
  <si>
    <t>Carter</t>
  </si>
  <si>
    <t>what might be a reasonable approach would be to host the discussion in a “for this purpose” moderated google group so that we’d have the threading in the discussion, and have one of the moderators lift remarks that seem mathematically useful from  the ascii  form of  into an expanding listing of the useful ideas eg on a purpose built page on eg this blog for reference</t>
  </si>
  <si>
    <t>Gowers_3</t>
  </si>
  <si>
    <t>decision made</t>
  </si>
  <si>
    <t>try lots of ideas - and share before they are fully tested (test and evaluate as a group not an individual)</t>
  </si>
  <si>
    <t>As a result of comments on my post Is Massively Collaborative Mathematics Possible? and also as a result of thinking about the proposal a little further I have a few extra remarks to make, and a slight redrafting of the procedural rules. (As I said before, these rules are just my first guess about what would work, and if a consensus emerges that they should change then they can of course be changed.) Michael Nielsen, in this interesting response to my original post, felt that the rule I stated there as rule 10 was too restrictive. The rule said that one should keep posts focused and not change the subject. Now that I’ve thought of a mechanism, albeit a crude one, for starting new threads to the discussion, I’m inclined to agree and to want to be more flexible. So now if someone says something like, “The discussion has given me an idea for a different but related problem that we might try to tackle,” then as long as there is a genuine connection and people are interested in the related project, I see no harm in starting a new thread for discussing it. I said earlier that I would create all these threads in advance as empty posts. But now that Terry has pointed out to me that if I just put everything related to this project into one category then it will be easy for people to collect the relevant posts together, I’ve decided that I’ll just create new-thread posts as the need arises.I’ve dropped the use of the word “stupid” in the rules (see rules 3-5 of the original post). That’s because I don’t want to encourage comments that are stupid in a tiresome way, as opposed to “intelligently stupid”. I hope the new rules 3-4 express what I meant slightly better. (I’m afraid the numbers have had to change. Let us say that if you refer to rule n then you mean rule n in this post unless you specify otherwise.)The newly formulated rules.1. The aim will be to produce a proof in a top-down manner. Thus, at least to start with, comments should be short and not too technical: they would be more like feasibility studies of various ideas.2. Comments should be as easy to understand as you can possibly make them. For a truly collaborative project it is not enough to have a good idea: you have to express it in such a way that others can build on it.3. When you do research, you are more likely to succeed if you try out lots of ideas, even if it is often the case that soon afterwards you can see why they never had a chance of working. Similarly, you are encouraged to express your mathematical ideas here, even if you have not spent time checking whether simple arguments show that they don’t work.4. If they don’t work for an obvious reason, then almost certainly (if a lot of people are working together) someone will point that reason out very quickly. That is more efficient than you spending time in advance checking whether your ideas are good ones. Similarly, if you can’t immediately see how to make your idea precise, it may be more efficient to give it in a vague form and wait for somebody else to bring it into focus.5. The ideal outcome would be a solution of the problem with no single individual having to think all that hard. The hard thought would be done by a sort of super-mathematician whose brain is distributed amongst bits of the brains of lots of interlinked people. So try to resist the temptation to go away and think about something and come back with carefully polished thoughts: just give quick reactions to what you read and hope that the conversation will develop in good directions. A good general rule to apply is this: don’t try to write a comment that requires you to think with a piece of paper (or a blackboard). 6. If you are convinced that you could answer a question but that it would just need a couple of weeks to go away and try a few things out, then still resist the temptation to do that. Instead, explain briefly, but as precisely as you can, why you think it is feasible to answer the question and see if the collective approach gets to the answer more quickly. (The hope is that every big idea can be broken down into a sequence of small ideas. The job of any individual collaborator is to have these small ideas until the big idea becomes obvious — and therefore just a small addition to what has gone before.) Only go off on your own if there is a general consensus that that is what you should do.7. Similarly, suppose that somebody has an imprecise idea and you think that you can write out a fully precise version. This could be extremely valuable to the project, but don’t rush ahead and do it. First, announce in a comment what you think you can do. If the responses to your comment suggest that others would welcome a fully detailed proof of some substatement, then write a further comment with a fully motivated explanation of what it is you can prove, and give a link to a pdf file that contains the proof.8. Actual technical work, as described in 7, will mainly be of use if it can be treated as a module. That is, one would ideally like the result to be a short statement that others can use without understanding its proof.9. One can summarize much of the above by saying that each comment should represent a “quantum of progress”. That is, the discussion should have been advanced in some small way that is not obviously complex or divisible.  10. Rule 9 is a lower bound as well as an upper bound. A comment such as “I don’t think that idea will work” does not really advance the discussion. But if you say “I don’t think that idea will work because you would need a very strong analogue of such-and-such a result and nobody has any idea how to do that”  then it does, because it suggests possible ways for the conversation to continue. (People could then attempt to back up or alleviate your worries.)11. Sometimes, comments such as “What you said in comment 32 sounded interesting, but I don’t quite see what you are driving at, and I think others probably don’t either,” advance the discussion. Again, the reason is that such a comment clearly demands a response, and the understanding of the problem is likely to be slightly greater after the response than it was before.12. If at some point a clearly defined subdiscussion starts, then a new post should be written to summarize what has been said so far, and the subdiscussion should continue as a series of comments on that post.13. Suppose the experiment actually results in something publishable. Even if only a very small number of people contribute the lion’s share of the ideas, the paper will still be submitted under a collective pseudonym with a link to the entire online discussion.14. If it becomes clear that the discussion has run out of steam, then anything that is worth writing up will be written up (this may well be a collaborative process) and submitted to the arXiv, for use by anybody who wishes to use it.15. Comments on the collaborative procedure should be carefully kept apart from the mathematical comments. Procedural comments should be attached to this post, and mathematical comments should be attached to the relevant mathematical posts.A few more words about what is expected.I am not 100% confident that this experiment will work, but I am very confident that something like this could in principle work. It is clear from the responses to my original post that many people share this confidence, probably because we have all read similar popular science books about artificial intelligence, large networks, and so on. I also have a more personal reason for this confidence, which is that I feel as though the kind of conversation I am advocating is very similar to the kind of conversation I have with myself when I am doing research on my own. (Although different people go about research in different ways, I would guess that many others do something similar to what I am about to describe.) For as long as possible I try to avoid doing any technical calculations: if the temptation arises, I try instead to look for heuristic arguments that will allow me to predict what the results of the calculations will be, or else for reasons to expect them not to be useful after all. Only if it has become very clear that actually doing a calculation is likely to lead to an insight that I can’t see how to obtain without doing it will I go ahead and do it (or try to do it). The aim of all this is to build up a plausible sketch of an entire argument, reducing the original problem from one big mystery to a series of exercises. In practice, it rarely works as smoothly as that, because very often I find a step plausible that I later discover to be wrong, sometimes after having used it as the foundation for quite a lot else. So the hard work of doing calculations, when I eventually get down to it, keeps feeding into the main sketch and forcing me to change it, sometimes quite drastically. But that just means that the result of a calculation can be to throw me back to the searching-for-a-plausible-sketch stage.Now the precise calculations might not be all that easy to do collaboratively (though I could be wrong about this — perhaps there could be agreement that a certain lemma needs to be proved, and there could be some dialogue about how best to present the proof, after which the proof would more or less write itself, with people suggesting the next line, revising earlier lines, etc.). But everything else — the search for a sketch, backed up by heuristic arguments — does seem very naturally suited to a big collaboration. And I think it is fairly obvious from the description above that a big collaboration could potentially carry out a search of this kind much more efficiently than a single person. In particular, each heuristic argument would be subjected to quick scrutiny from a lot of people, so it if survived then it would have to be pretty good. So the experience I have often had, of doing detailed work on a sketch that was doomed to fail, would be much less likely.I’ve written these last two paragraphs just to try to explain in a different way what I hope the contributions to this project will be like. The way I’ve presented my initial thoughts on the density Hales-Jewett theorem gives examples of the kind of thing I have in mind.												This entry was posted on February 1, 2009 at 1:41 pm and is filed under polymath1.						You can follow any responses to this entry through the RSS 2.0 feed.													You can leave a response, or trackback from your own site.											]</t>
  </si>
  <si>
    <t>Gowers_4</t>
  </si>
  <si>
    <t>Here then is the project that I hope it might be possible to carry out by means of a large collaboration in which no single person has to work all that hard (except perhaps when it comes to writing up). Let me begin by repeating a number of qualifications, just so that it is clear what the aim is.1. It is not the case that the aim of the project is to find a combinatorial proof of the density Hales-Jewett theorem when . I would love it if that was the result, but the actual aim is more modest: it is either to prove that a certain approach to that theorem (which I shall soon explain) works, or to give a very convincing argument that that approach cannot work. (I shall have a few remarks later about what such a convincing argument might conceivably look like.)2. I think that the chances of success even for this more modest aim are substantially less than 100%. So let me be less fussy still. I will regard the experiment as a success if it leads to anything that could count as genuine progress towards an understanding of the problem. However, that success has a quantitative aspect to it: what I am really interested in is progress that results from multiple collaboration. If what actually happens is that several people make intelligent remarks, but without building on each other’s remarks, then what will have been gained will still be worthwhile but it will be less interesting from the point of view of this experiment.3. I’ve thought of one more ground rule, and also a general guideline that clarifies a couple of the existing rules. The extra rule is that there needs to be some possibility for the experiment to be declared to have finished. What I suggest here is that if a consensus emerges that no further progress is likely, I (or perhaps somebody else) will write a summary of the main conclusions that have been reached, and it will then become public property in the way that a conventional mathematics preprint would be. That is, others would be welcome to make use of it in their own publications if they wanted to. Probably the summary would be posted on the ArXiV (after people had had a chance to suggest changes) but not conventionally published. The guideline, which is designed to stop people going away and doing a lot of work in private — the whole point is that we should all display our thought processes — is that you should not write anything that requires you to go away and do some calculations on a piece of paper. As I said in the other guidelines, if all goes well there will eventually be a place for detailed working out of ideas, but people should do that only after first establishing that that would be welcomed.In order to encourage the style I’m hoping for, I shall practise what I preach, in a sense anyway, by giving my initial thoughts on the problem in small chunks. That is, I’ll write them as though they were a lot of comments that could in theory have been made by several different people instead of just one. I’ll number them with letters of the alphabet (so that they don’t get confused with the numbered comments on this post).A. Might it be possible to prove the density Hales-Jewett theorem for  by imitating the triangle-removal proof that dense subsets of  contain corners?B. If one were going to do that, what would the natural analogue of the tripartite graph associated with a dense subset be? To put that question more precisely, if we’ve got a dense subset  of , then how might we define a tripartite graph  in such a way that triangles in  correspond to (possibly degenerate) combinatorial lines?C. It’s perhaps worth pointing out that there is a natural definition of a degenerate combinatorial line: it’s one where the set of coordinates that vary from 1 to 3 is empty.D. If we just look at the vertex sets  and  in the case of subsets , we have a very simple definition for an edge: it’s a pair  that belongs to .E. Does  split up nicely as a Cartesian product?F. Well, you can write it as , but that doesn’t help much.G. Why doesn’t it help?H. Because if we represent a typical point as  with  and , then a Hales-Jewett line is not a triple of the form , , . That’s partly because we can’t even make sense of adding , but more fundamentally because even if we could invent a useful definition of addition in this context, we still wouldn’t get a Hales-Jewett line.I. It was clear in advance that that was not going to work, because the splitting up as a Cartesian product was completely non-canonical.J. By the way, there’s a nice way of deducing the corners result from density Hales-Jewett. Let me quickly explain it, omitting a few details. Suppose we take a set  with the special property that whether or not a sequence  belongs to  depends only on the numbers of s, s and s in . That is, let  be the set of all triples  of non-negative integers such that , let  be some subset of , and let  be the set of sequences  such that , where  stands for the number of s in . Now suppose you have a combinatorial line . If  is the number of variable coordinates in , then  must contain a triple of points of the form    (where ,  and  are the numbers of s, s and s amongst the fixed coordinates of ).Now  is a large triangular subset of a triangular grid, and one can (if one really feels like it) shear it so that it becomes a right-angled triangle instead of an isosceles triangle. In this way it is not hard to show that the assertion that every dense subset of  contains the vertices of an equilateral triangle of the form , ,  is equivalent to the corners result.Unfortunately it’s not the case that dense subsets of  correspond to dense subsets of  (because almost every point in  has similar numbers of s, s and s) but there are dodges for getting round that.K. That’s very helpful, because we almost certainly want whatever definition we come up with for the graph  to give rise to the definition that we used for  when the subset of  is of the special kind that depends only on the numbers of coordinates with the three possible values.L. All right then. That tells us that for subsets of  that just depend on numbers of different types of coordinates, we want edges of the  graph to correspond in some sensible way to points in  that have a particular number of s and a particular number of s.M. That suggests that in the general case we want some data about the s and s in  to determine , just as the number of s and s determines the numbers of all three types of coordinates. And of course this is trivial: instead of looking at the numbers of the three types, look at the sets where they occur.N. Indeed, there is an obvious tripartite graph we can define. Let its vertex sets, which I’ll call ,  and , all be copies of the power set of : i.e., in each vertex set the vertices are subsets of . Given two disjoint sets  and , there is a unique point  that takes the value  in , the value  in , and the value  everywhere else. Join  to  if that point  belongs to the given subset . And do the obviously corresponding things for the  and  graphs.O. Does that work? That is, if we have a triangle in that graph, does it correspond to a combinatorial line?P. Yes. Here’s a quick proof. Suppose we have ,  and , and suppose that they form a triangle in the graph. By the way we defined the edges, the sets ,  and  are disjoint. For  let’s write  for the set of  such that . Then in the set  we can find a point  such that  and , and also a point  in  with  and , and finally a point  in  with  and . Now let . Since for every point  we have , we find that ,  and . In other words, the three sequences ,  and , which all lie in , all take values  on ,  on  and  on , and  is  everywhere on ,  is  everywhere on  and  is  everywhere on . This gives us a combinatorial line except in the degenerate case .Q. Wow. That means we’re done by triangle removal doesn’t it?R. Unfortunately it doesn’t. The problem is that that tripartite graph is not dense. In fact, it’s not even close to dense. To see why not, just pick a random pair of subsets  and . They cannot be joined in the  graph unless they are disjoint, and the probability of that happening is absolutely tiny.S. That sounds a bit bad, but aren’t there sparse versions of Szemerédi’s regularity lemma?T. I’m not sure it’s all that likely that there’s a version that applies when the density is exponentially small.U. That’s a misleading way of putting it when the graph itself is exponentially large. If we let , so that there are  vertices in each of the three vertex sets, then the density of the graph is going to be of the form  for some constant . But that’s still pretty sparse, it has to be said.V. Here’s another problem. The existing sparse regularity lemmas tend to assume that you’re sitting inside a highly random sparse graph, but are dense relative to that graph. In our case, the natural graph  that we’re sitting inside is the one where you join two sets if and only if they are disjoint and ignore whether they define a sequence that belongs to . It’s possible that the graph defined above will turn out to be dense relative to this graph. However,  is not by any stretch of the imagination random, or quasirandom. For example, if you look at the  part, you can define  to be the subset of  where all sets have size at most , and the same for , and it’s not hard to check that the density of the part of the graph from  to  is substantially greater. (Basically, conditioning on sets being a bit smaller than average makes them quite a lot more likely to be disjoint.)W. Yes, but at least the graph  is very concretely defined. Perhaps one could do some kind of regularity argument relative to  that exploited the fact that it has a nice simple definition.X. Here’s a small and slightly encouraging observation. What does a typical  edge look like? Well, there’s a one-to-one correspondence between  edges and sequences in . Since a typical sequence in  has roughly equal numbers of s, s and s, a typical edge in the  graph consists of two disjoint sets of size about .Y. Unfortunately it’s still very sparse if we somehow weight our sets so that almost all of them have size about , since two sets of size  have a tiny probability of being disjoint.Z. Aren’t there tricks we could do to find dense bits of the graph ? For example, we know that if  and  are random small sets (of size , say) then with high probability they are disjoint. Might there be some way of restricting to “the small part of “?AA. How could one do that when almost all sequences have roughly equal numbers of s, s and s? The dense set  might consist just of well-balanced sequences.BB. It’s not as impossible as it sounds, because we can use an averaging trick. Suppose we want to restrict ,  and  to small sets. What we can do is this. First we randomly choose a very small subset  of . Then for every  we randomly choose an element of . Finally, we do everything we want inside . That is, we define a graph by joining two subsets  and  of  if they are disjoint, and define associated sequences by letting  and  determine the values inside  and the random choice of values outside  give us the rest. This gives us a structure of the kind we are talking about, and the average density of points in  in this structure will be close to the density of  if  is small enough, because random sequences that are unbalanced inside a random small set  will not be especially unbalanced globally.CC. That’s an interesting thought, but I think it leads to a problem. Suppose our  graph consists of pairs  of disjoint small subsets of , and similarly for our  graph and our  graph. Where are the degenerate triangles? You can’t have a sequence with very few s in , very few s in  and very few s in  all at the same time.DD. That’s a serious objection, but I still think the averaging trick could be quite useful for this problem.EE. Here’s a different idea. The big problem is not so much that  is sparse as that it is not quasirandom. But perhaps we could make it quasirandom by putting weights on the edges (and perhaps if necessary the vertices as well, since the averaging trick above will enable us to get sets of positive density even with funny vertex weights). The basic idea would be to penalize edges that joined small sets together, because somehow those sets were “cheating” by being small. Is there some natural set of weights that one can just write down?The history of this idea is that earlier this afternoon I had got up to Y when I had to go and fetch my daughter from school. While walking there I couldn’t help thinking about the problem and this idea, which I have not explored, occurred to me. So even the effort of writing down my thoughts has been quite stimulating. Because I haven’t yet thought about this idea properly, I’m still in that delicious state of thinking it might be the key to the whole problem. But I’ve also been in this game long enough to know that the chances of that are very small. It’s tempting to investigate it, but I’m not going to as this is also an ideal opportunity to throw out an idea and wait for somebody else to destroy it (or, just perhaps, to develop it) instead.]FF. A natural way to find such weights would be to start by trying to make every vertex have constant (weighted) degree.GG. It’s easy to see that you can’t make  quasirandom by weighting the edges. For example, suppose you let  and  both be the set of all subsets of  that contain . These two sets have density  and yet there is no edge of  between them.The history of this idea is that although I resolved not to think about the idea put forward in EE., I was on a car journey and I just couldn’t help it. That goes for the next couple of responses to it too, which I could help even less because at that point I was starting to get worried that the whole thing was indeed hopeless.]HH. That sounds pretty bad.II. Is it really as bad as all that? I can see that it’s a problem if you have very dense parts of the graph, because then you don’t have a global upper bound for the density of subgraphs when you are trying to prove a regularity lemma. But if you have parts of the graph that are very sparse, or even entirely free of edges, it’s not so obviously a problem because there could still be an upper bound. In other words, perhaps it’s enough for  to be “upper quasirandom” rather than quasirandom.JJ. Another idea is that you just try to do everything relative to . That is, you define the density of an induced subgraph of  to be the number of edges in that subgraph divided by the number of edges in the corresponding induced subgraph of . Could that work?KK. Going back to vertex weights, here are two remarks. First, the averaging trick shows that for more or less any weighting on the vertices, if you can prove the theorem with that weighting (which affects which sets count as dense) then you can prove the theorem with the uniform weighting. I could write a formal lemma to this effect if anybody wanted, but for now I think the informal statement is enough.The second remark is that a natural weighting on sets is to make the weight of a set  equal to . Then the size of a typical set is , and the probability distribution on the collection of all subsets of  is the same as the probability distribution of the set of places where a random sequence in  takes any given value.LL. In response to II, I don’t think it’s possible to make  even upper quasirandom by introducing edge weights. The idea to do so was roughly that one should penalize edges that join small sets because those were more likely to be disjoint. But making sets small is not the only way to make them more likely to be disjoint. For example, you could make  consist of all sets that are slightly biased towards the first half of  (meaning that their intersection with the first  integers is slightly bigger than their intersection with the second  integers) and  could consist of all sets that are slightly biased towards the second half of . Of course, one could legislate against that particular example, but the same trick can be played for any partition of  into two equal-sized subsets. It seems to be impossible to legislate against this, since, for trivial reasons, every set will be biased with respect to some partitions.The history of that idea was that I was sitting in the car waiting for a bus to arrive that had my daughter in it. Once again I just couldn’t help my mind wandering in a Hales-Jewetty direction.]How might one completely kill off the above approach?The tripartite graph that we form out of  has few triangles in the following sense: every edge  in the  graph is contained in just one triangle (the other vertex of which is ). If one is to prove the theorem by means of an adaptation of the triangle-removal lemma, one would want the following graph-theoretic statement to be true: let  be any subgraph of  such that each edge is contained in at most one triangle. Then it is possible to remove  edges from  to make it triangle free. A counterexample to this more general statement would almost certainly make the approach hopeless. (I say “almost certainly” because one might just be able to use some extra structural property of the graph derived from . But that would change the nature of the approach quite a bit.)Perhaps there could be convincing arguments that described the most general possible iterative approach to proving regularity lemmas and then proved that no iterative approach could give a regularity lemma that had any chance of helping with this problem. The seeming impossibility of making  quasirandom would undoubtedly be a part of such an argument.That’s all I have to suggest at the moment.												This entry was posted on February 1, 2009 at 1:43 pm and is filed under polymath1.						You can follow any responses to this entry through the RSS 2.0 feed.													You can leave a response, or trackback from your own site.											]</t>
  </si>
  <si>
    <t>Gowers_5</t>
  </si>
  <si>
    <t>How would we know? Identify statements that would be possible to prove. Split/parallelize the problem so that you can work on pieces of it and have the freedom to follow routes that end up being rejected.</t>
  </si>
  <si>
    <t xml:space="preserve">Let me briefly try to defend my choice of problem. I wanted to choose a genuine research problem in my own area of mathematics, rather than something with a completely elementary statement or, say, a recreational problem, just to show that I mean this as a serious attempt to do real mathematics and not just an amusing way of looking at things I don’t really care about. This means that in order to have a reasonable chance of making a substantial contribution, you probably have to be a fairly experienced combinatorialist. In particular, familiarity with Szemerédi’s regularity lemma is essential. So I’m not expecting a collaboration between thousands of people, but I can think of far more than three people who are suitably qualified in the above way.Other criteria were that I didn’t want to choose a famous unsolved problem, or a problem where I had no idea whatever where to start. For a first attempt, it seemed a better idea to choose a problem that I’d love to solve, about which I already have some ideas, but in which I don’t (yet) have a significant emotional investment.Does the problem split naturally into subtasks? That is, is it parallelizable? I’m actually not completely sure that that’s what I’m aiming for. A massively parallelizable project would be something more like the classification of finite simple groups, where one or two people directed the project and parcelled out lots of different tasks to lots of different people, who go off and work individually. But I’m interested in the question of whether it is possible for lots of people to solve one single problem rather than lots of people to solve one problem each. However, my contention would be that any reasonably complex solution to a problem is somewhat parallelizable and becomes increasingly so as one thinks about it: when one solves a problem, one doesn’t first try to guess what Lemma 1.1 might be, but instead one tries to think of relevant mathematical statements that one has a chance of proving. And often when one gets stuck on one of these, one isn’t stuck on the main problem because there were still several unexplored avenues. If lots of people were working on a problem, then all these avenues could be explored at once — but they would have to be created first. With this seemingly narrow project — to try to decide whether one particular approach can be made to work for one (interesting) special case of a theorem that has already been proved by different methods — there are already a few different things to think about. For example, there is the question of whether the graph  has any useful properties that can be exploited, whether one can give it a useful and natural system of edge weights that makes it easier to handle, what one would actually want of a graph in order for a sparse regularity argument to be feasible, what sparse regularity statements there actually are out there, whether the averaging trick could somehow allow one to operate in a dense part of , despite the objection in comment CC, whether there is some false statement that would need to be true for the approach to work, and so on.I have two other ideas for projects of this kind if this one turns out to not to work very well, but I’ll keep those to myself for the time being.                                                                                                This entry was posted on February 1, 2009 at 1:44 pm and is filed under polymath1.                                                You can follow any responses to this entry through the RSS 2.0 feed.                                                                                                        You can leave a response, or trackback from your own site.                                                                                        </t>
  </si>
  <si>
    <t>C1637</t>
  </si>
  <si>
    <t>meta comment</t>
  </si>
  <si>
    <t>process description</t>
  </si>
  <si>
    <t>how to approach the problem as a group; let go of individual need to be precise so that you can work effectively as a member of the supermathematician</t>
  </si>
  <si>
    <t>I often have difficulty saying things concisely because I take too much care to be precise. I think this is a very common pattern among mathematicians; and I think that it is a pattern we’ll have to adjust if we want to get the super-mathematician operating efficiently.  To state it by analogy, “bounding boxes are useful”., Detail follows (if you grok the above paragraph, it’s optional)., Basically, I think of something that’s initially simple, and try to write it down.  In the act of writing it down, I think of a way that it’s wrong, and so modify the original sentiment.  Then I try to write that part down, and find another error.  Before I know it, I’ve spent an hour or so just trying to communicate something that should be really simple., What’s called for, I think, is a conscious decision to “just say something” which approximates the truth, bypassing the mathematical instinct to get it “just right” the first time.  To preserve our credibility and to alert others to the looseness, we can then mark it as an “approximate statement”., This is also relevant for preparing summaries.  I think gowers’ post on the math background required for contribution is a good example — he begins with an summary which would allow people to skip the rest, and then goes on with the details.  Similarly, when summarizing a complex discussion, I think it’s a good idea to deliberately overstate the hypothetical propositions being discussed, since often it will be the case that even the overstated proposition isn’t relevant to what someone else is doing.</t>
  </si>
  <si>
    <t>C1640</t>
  </si>
  <si>
    <t>Mel Nathanson</t>
  </si>
  <si>
    <t>contentious; claim that collaboration cannot produce magic (I disagree but this would be an interesting one to reference)</t>
  </si>
  <si>
    <t>Tim Gowers asks, “Is massively collaborative mathematics possible?”
The answer is obviously “yes,” since he also gives an algorithm to implement massive collaboration.  Another question might be: Should one do it? and the answer is:  Do it if you want to (it might be fun), but  don’t do it if you don’t want to.  A third question: Is massively collaborative mathematics good or bad? and the answer is: Neither, since there’s no moral or ethical issue here., There is a fourth question: What do you think about massively collaborative mathematics?  I think it’s horrible.    My view is based on the romantic (admittedly, nineteenth century, while here we are in the 21st) notion that science and art is produced by the solitary artist (physicist, mathematician, poet, playwright, et al.) attempting to create work that is great in both content and craftsmanship.   I suspect that even in the twentieth century, almost all of the new ideas in mathematics originated in papers written by a single author.  For example, reviewing the number theory papers of the great collaborator Paul Erdos, I find that in his early years, from his first published work in 1929 through 1945, most (60 percent) of his 112 papers were singly authored, and that most (not all — we can all cite  a few counterexamples) of his stunning papers in number theory were papers that he wrote by himself.  A glance at MathSciNet today shows that only two of Tim’s 42 papers have a co-author.  , Massive collaboration can certainly produce useful results.  Tim cites the classification of the finite simple groups as a kind of massive collaboration, and this is a perfect example.  It is useful.  Ignoring the contentious question of whether the proof is correct (though this is an inherent problem of the collaborative process),  the work is definitely boring.  As far as I know, neither brilliant insights nor new techniques have come out of the proof and been applied to create new areas of mathematics or solve old problems in unrelated fields.  It is more engineering than art.  Recalling Kac’s famous division of mathematical geniuses into two classes, ordinary geniuses and magicians, one can imagine that massive collaboration might produce ordinary work or even work of ordinary genius, but not magic.  Work of ordinary genius is not a minor accomplishment, but magic is better.</t>
  </si>
  <si>
    <t>Tao_1</t>
  </si>
  <si>
    <t>Tao</t>
  </si>
  <si>
    <t xml:space="preserve">
My good friend Tim Gowers has just started an experimental “massively collaborative mathematical project” over at his blog.  The project is entitled “A combinatorial approach to density Hales-Jewett“, and the aim is to see if progress can be made on this problem by many small contributions by a large number of people, as opposed to the traditional model of a few very large contributions by a small number of people (see this article for more on the “rules of the game”, and this article for why this particular project was picked as a test project).  I think this is an interesting experiment, and hopefully a successful one, though it is far too early to tell as yet.
I can describe the problem here.  Let n be a large integer, and let  be the set of all strings of length n using the alphabet , thus for instance .  A combinatorial line in  is a triple of points in  that can be formed by taking a string of length n using the alphabet  with at least one occurrence of the “wildcard” x, and then substituting the values of 1, 2, 3 for the wildcard.  For instance, the string  would lead to the combinatorial line  in .  The (k=3) case of the density Hales-Jewett theorem of Furstenberg and Katznelson asserts:
Density Hales-Jewett theorem. Let .  Then if n is sufficiently large depending on , every subset of  of density at least  contains a combinatorial line.
Furstenberg and Katznelson handled the case of general k in a subsequent paper.  The k=1 case is trivial, and as pointed out in this post by Gil Kalai, the k=2 case follows from Sperner’s theorem.
Furstenberg and Katznelson’s proof uses ergodic theory, and in particular does not obviously give any bound as to how large n has to be depending on  before the theorem takes effect.  No other proofs of this theorem are currently known.  So it would be desirable to have a combinatorial proof of the k=3 density Hales-Jewett theorem.  Since this theorem implies Roth’s theorem, and Roth’s theorem has a combinatorial proof based on the triangle removal lemma (see e.g. my Simons lecture on the subject, or Tim Gowers’ background article for the project), it is thus natural to ask whether the density Hales-Jewett theorem has a proof based on something similar to the triangle removal lemma.  This is basically the question being explored in the above project.  (Some further motivation for this problem can be found here.)</t>
  </si>
  <si>
    <t>C1641</t>
  </si>
  <si>
    <t>luca</t>
  </si>
  <si>
    <t>correction</t>
  </si>
  <si>
    <t>In rule (8) the reference to “actual technical work” should point to rule (7)</t>
  </si>
  <si>
    <t>C1642</t>
  </si>
  <si>
    <t>accidental smiley</t>
  </si>
  <si>
    <t>In rule ( 8 ), that is., Many thanks — I’ve changed it. And the accidental smiley is too good to edit.</t>
  </si>
  <si>
    <t>C1644</t>
  </si>
  <si>
    <t>defense of method</t>
  </si>
  <si>
    <t>best work is in collaboration</t>
  </si>
  <si>
    <t>I can’t speak for others, but as for my own research, at least half of my papers are joint with one or more authors, and amongst those papers that I consider among my best work, they are virtually all joint.  , Of course, each mathematician has his or her own unique research style, and this diversity is a very healthy thing for mathematics as a whole.  But I think 21st century mathematics differs from 19th and early 20th century mathematics in at least two important respects.  Firstly, the advent of modern communication technologies, most notably the internet, has made it significantly easier to collaborate with other mathematicians who are not at the same physical location.  (Most of my collaborations, for instance, would be non-existent, or at least significantly less productive, without the internet.)  One can imagine the next generation of technologies having an even stronger impact in this direction (with this project possibly being an example; other extant examples include Wikipedia and the Online Encyclopedia of Integer Sequences)., Secondly, the main focus of mathematical activity has shifted significantly towards interdisciplinary work spanning several fields of mathematics, as opposed to specialist work which requires deep knowledge of just one field of mathematics, and for such problems it is more advantageous to have more than one mathematician working on the problem.  (Admittedly, much of 19th century mathematics was similarly interdisciplinary, but mathematics had a much smaller diameter back then, and it was possible for a good mathematician to master the state of the art in several subfields simultaneously.  This is significantly more difficult to do nowadays.), The largest collaboration I have been in to date has involved five people – but already the dynamics of research change dramatically at that scale (especially when all five people are in the same room at once).  One can toss an idea out there and have it debated by two other collaborators, while a fourth makes comments and corrections from the sidelines, and a fifth takes notes.  Connections are made much faster, errors are detected quicker, and thoughts are clarified much more efficiently (often, I find one of my collaborators acting as a “translator” to distill an excited inspiration of another).  It may not be “magic”, but it is certainly productive, and actually quite a lot of fun.</t>
  </si>
  <si>
    <t>C1646</t>
  </si>
  <si>
    <t>mention of background-knowledge post; how much context is needed to play the game?</t>
  </si>
  <si>
    <t>1. A quick question. Furstenberg and Katznelson used the Carlson-Simpson theorem in their proof. Does anyone know that proof well enough to know whether the Carlson-Simpson theorem might play a role here? If so, I could add it to the background-knowledge post. (But I’m sort of hoping it won’t be needed.)</t>
  </si>
  <si>
    <t>C1647</t>
  </si>
  <si>
    <t>Procedural Question</t>
  </si>
  <si>
    <t>phd student example</t>
  </si>
  <si>
    <t>I think this project is a great experiment, and I am eagerly waiting for the discussion to begin. However, away from the discussion of the math, I have an question about how we envision massively collaborative projects working. Say, Student X, is in year 3 of working on problem Y for her PhD dissertation. She has invested a lot of time and effort into the project and has none trivial progress, however isn’t near a complete result. Then, by coincidence, polymath13 takes this on as a project. , Of course, being scooped is always a risk with research projects. However, this new massively collaborative situation presents a different sort of dilemma. Student X could contribute her progress to the polymath project. This seems to have two drawbacks. First if the polymath13 solves the problem using her ideas, she won’t get the CV line. As has been discussed, there is the advantage that she can direct prospective employers to the blog thread to review exactly what her contribution was. However, this may be a bit much to expect of hiring committees. Secondly, if polymath13 fizzles, but she goes on to resolve the problem herself, is her initial progress hers or polymath13’s?, Conversely, assume that Student X elects not to participate in polymath13. Is she then on her honor to not read the polymath13 discussion? If she solves the problem using ideas very similar to polymath13 and submits the result for publication, should the referee just take her word that she didn’t consult the polymath13 forum? , It seems in some ways, by making the project public (in contrast to a large private collaboration), it would (in practice) force individuals working on the problem into participating. It is an unfortunate aspect of our industry that, at least early in one’s career, credit for one’s work is essential to survival., I’m genuinely excited about this project (and have never thought about this problem myself before), however thought these might be useful issues to consider.</t>
  </si>
  <si>
    <t>C1648</t>
  </si>
  <si>
    <t>jozsef</t>
  </si>
  <si>
    <t>alternate approaches</t>
  </si>
  <si>
    <t>variant proposed</t>
  </si>
  <si>
    <t>try for removal technique</t>
  </si>
  <si>
    <t>2. In this note I will try to argue that we should consider a variant of the original problem first. If the removal technique doesn’t work here, then it won’t work in the more difficult setting. If it works, then we have a nice result! Consider the Cartesian product of an IP_d set. (An IP_d set is generated by d numbers by taking all the 2^d possible sums.  So, if the n numbers are independent then the size of the IP_d set is 2^d. In the following statements we will suppose that our IP_d sets have size 2^n.) , Prove that for any c&gt;0 there is a d, such that any c-dense subset of the Cartesian product of an IP_d set (it is a two dimensional pointset) has a corner. , The statement is true. One can even prove that the dense subset of a Cartesian product contains a square, by using the density HJ for k=4. (I will sketch the simple proof later) What is promising here is that one can build a not-very-large tripartite graph where we can try to prove a removal lemma. The vertex sets are the vertical, horizontal, and slope -1 lines, having intersection with the Cartesian product. Two vertices are connected by an edge if the corresponding lines meet in a point of our c-dense subset. Every point defines a triangle, and if you can find another, non-degenerate, triangle then we are done. This graph is still sparse, but maybe it is well-structured for a removal lemma.
Finally, let me prove that there is square if d is large enough compare to c. Every point of the Cartesian product has two coordinates, a 0,1 sequence of length d. It has a one to one mapping to 4^d; Given a point ((x_1,…,x_d),(y_1,…,y_d)) where x_i,y_j are 0 or 1, it maps to (z_1,…,z_d), where z_i=0 if x_i=y_i=0, z_i=1 if x_i=1 and y_i=0, z_i=2 if x_i=0 and y_i=1, and finally z_i=3 if x_i=y_i=1. Any combinatorial line in 4^d defines a square in the Cartesian product, so the density HJ implies the statement.
(I should learn how to use Latex in blogs…)</t>
  </si>
  <si>
    <t>C1649</t>
  </si>
  <si>
    <t xml:space="preserve">try for node removal approach; trace own train of thought in the progress of the group :) </t>
  </si>
  <si>
    <t>3. I find it reassuring the first thing I thought of when I read comment D was what turned out to be comment N., Would it help to have a graph where each node was a set consisting of a combinatorial line, and the edges are the sets that share a sequence in common?  That is, {(1,2,3,3), (2,2,3,3), (3,2,3,3)} would link to {(1,2,3,3), (1,2,3,2), (1,2,3,1)}., I really do wonder if there’s a more direct approach to the problem, simply working out for  what the minimal number of nodes one can remove before no combinatorial lines remain and then applying induction. Just fiddling with actual examples by hand a greedy approach works well. I’m sure this is horribly naive given the past solution had to apply ergodic theory.</t>
  </si>
  <si>
    <t>C1650</t>
  </si>
  <si>
    <t>regularize the problem</t>
  </si>
  <si>
    <t>Sperner Theorem intro</t>
  </si>
  <si>
    <t>4. As Gil pointed out in his post on this project, the k=2 case of density Hales-Jewett is Sperner’s theorem, , http://en.wikipedia.org/wiki/Sperner_family, Now, of course, this theorem already has a combinatorial proof, but this proof has a rather different flavour than the triangle removal lemma (or its k=2 counterpart, which is the trivial statement that if a subset of a set V of vertices is small, then it can be removed entirely by removing a small number of vertices.)  But perhaps a subproblem would be to find an alternate combinatorial proof of Sperner’s theorem., As pointed out to me by my student, Le Thai Hoang, another difference between DHJ and, say, the corners problem, is that one does not expect a positive density of all combinatorial lines to lie in the set.  For instance, in the k=2 case, and identifying  with the set of subsets of {1,2,…,n}, Hoang observed that the set of subsets of {1,…,n} of cardinality  has positive density, but only about  of the  combinatorial lines here actually lie in the set.  This seems to fit well with your observations that some weighting of the vertices etc. is needed., At the ergodic theory level, there is also a distinction between the ergodic theory proofs of, say, the corners theorem, and of density Hales-Jewett, which may be an indication that something different happens at the combinatorial level too.  Namely, in the ergodic proof of corners (or Roth, or Szemeredi, etc.) one has a single dynamical system (with the action of a single group G), and one works with that system (and its factors) throughout the proof.  But for DHJ, one has a system of measurable sets indexed by words, and one repeatedly refines the set of words to much smaller subsets in order to obtain good “stationarity” properties.  (My student, Tim Austin, could explain this much better than I could.)  It is only once one has all this stationarity that the proof can really begin in earnest.  This is also consistent with proofs of the colouring Hales-Jewett theorem, which also massively restrict the space of lines being considered, and with the above observation that we do not expect a positive density of the full space of lines to be contained in the set.  So perhaps some preliminary “regularisation” of the problem is needed before doing anything triangle-removal-like.</t>
  </si>
  <si>
    <t>C1651</t>
  </si>
  <si>
    <t>latex bug &amp; fix</t>
  </si>
  <si>
    <t>5. Incidentally, I only learned in the process of writing up my own post on this problem that Furstenberg-Katzelson have _two_ papers on Density Hales-Jewett: the “big one”,, http://www.ams.org/mathscinet-getitem?mr=1191743, that does the full k case, but also an earlier paper,, http://www.ams.org/mathscinet-getitem?mr=1001397, that just does the k=3 case.  I’ve only looked at the former., An unrelated thing: there is an annoying wordpress latex bug concerning latex that begins with a bracket , which may cause some difficulty in this context.  One can fix it by prefacing any latex string that begins with a bracket with some filler (I use {}).</t>
  </si>
  <si>
    <t>C1656</t>
  </si>
  <si>
    <t>Tim Austin</t>
  </si>
  <si>
    <t>review</t>
  </si>
  <si>
    <t>approach</t>
  </si>
  <si>
    <t>reviewing several other approaches</t>
  </si>
  <si>
    <t>6. Terry’s description of the difference between the `ergodic theoretic’ approaches to the corners theorem and DHJ is well-put: at no point does an action of an easy-to-work-with _group_ of measure-preserving transformations emerge during the DHJ proof.  Furstenberg and Katznelson introduce an enormous family of measure-preserving transformations indexed by all finite-length words in an alphabet of size k (and having some algebraic structure in terms of that family of words) in order to encode their notion of stationarity, but they neither use nor prove anything about the group generated by these transformations. Rather, they identify within their collection a great many `IP systems’ of transformations, a rather weaker sort of algebraic structure, and exploit that.  In order to reach this point, they first obtain a kind of `stationarity’ for a family of positive-measure sets indexed by these words before introducing the transformations, and then expressing that stationarity in terms of these transformations in effect locks that notion of stationarity in place, and also gives a way to transport various mult-correlations between functions around on the underlying probability space., In this connexion, it’s in obtaining this notion of stationarity that Furstenberg and Katznelson first use the Carlson-Simpson Theorem, and they then use it repeatedly throughout the paper in order to recover some similar kind of symmetry among a collection of objects indexed by the finite-length words.  At this point, I can’t see where the same need would arise in the approach to DHJ under discussion here.</t>
  </si>
  <si>
    <t>C1658</t>
  </si>
  <si>
    <t>method and process</t>
  </si>
  <si>
    <t>considering suggestion</t>
  </si>
  <si>
    <t>promising but wants more justification</t>
  </si>
  <si>
    <t>7. With reference to Jozsef’s comment, if we suppose that the  numbers used to generate the set are indeed independent, then it’s natural to label a typical point of the Cartesian product as , where each of  and  is a -sequence of length . Then a corner is a triple of the form , , , where  is a -valued sequence of length  with the property that both  and  are -sequences. So the question is whether corners exist in every dense subset of the original Cartesian product., This is simpler than the density Hales-Jewett problem in at least one respect: it involves -sequences rather than -sequences. But that simplicity may be slightly misleading because we are looking for corners in the Cartesian product. A possible disadvantage is that in this formulation we lose the symmetry of the corners: the horizontal and vertical lines will intersect this set in a different way from how the lines of slope -1 do., I feel that this is a promising avenue to explore, but I would also like a little more justification of the suggestion that this variant is likely to be simpler.</t>
  </si>
  <si>
    <t>C1659</t>
  </si>
  <si>
    <t>analogous problems</t>
  </si>
  <si>
    <t>alternative problem</t>
  </si>
  <si>
    <t>maybe tangential but require less expertise</t>
  </si>
  <si>
    <t>8. The following questions are perhaps somewhat tangential to the main project, but have the advantage of requiring less combinatorial expertise than the main question, and so might possibly take better advantage of this format., Given any n, let  be the largest subset of  that does not contain a combinatorial line.  Thus for instance , ,  (for the latter, consider deleting the antidiagonal  from ).  The k=3 density Hales-Jewett theorem is the statement that  as ., The first question, which seems very amenable to this medium, is to compute  exactly, and to get good upper and lower bounds on  (it seems unlikely that  will be easy to compute on the nose).  This of course does not say too much about the asymptotic question, but one might at least try one’s luck with the OEIS once one has enough data (note that this would have worked with the k=2 theory)., The other question is to get as good a lower bound as one can for .  Of course, the trivial example  gives the lower bound , but one can clearly do better than this.  Writing the Behrend example in base 3 gives something like .  But presumably one can do better still.</t>
  </si>
  <si>
    <t>C1661</t>
  </si>
  <si>
    <t>point out something important</t>
  </si>
  <si>
    <t>9. Terry’s comment about Le Thai Hoang’s observation seems to me to be an important one, so let me spell out why, even though it’s basically there in what Terry says. If you follow the triangle-removal proof of the corners result, you find that you can prove something stronger: in a set of density  you don’t just get one corner, but you get  corners. (The proof is that if there are very few corners then there are very few triangles in the associated tripartite graph, and then you can apply triangle removal just as before to get a contradiction.) If one is going to find an analogous proof here, it is essential that it should not try to prove a lemma that has false consequences. In our case, we must be careful that we don’t accidentally try to develop an approach that would also imply that a positive density of all possible combinatorial lines lie in the set., I haven’t checked, but I think that weighting the vertices as suggested in KK avoids this pitfall, because now the analogous set to the one used by Le Thai Hoang is concentrated around sets of size . Probably this is exactly what Terry meant at the end of his second paragraph.</t>
  </si>
  <si>
    <t>C1662</t>
  </si>
  <si>
    <t>wait and see</t>
  </si>
  <si>
    <t>don't try to guess step 100 at the beginning; guesswork no matter what … more knowledge = better guesses</t>
  </si>
  <si>
    <t>10. In response to Terry and Tim’s comments about regularization and the ergodic-theory proof, my feeling is that we should bear in mind that something like this could well turn out to be necessary (on the grounds that genuine difficulties for one approach often have counterparts in other approaches), but should perhaps not try to guess in advance what form any regularization might take. (In case anyone’s wondering what I mean by “regularization”, a rough description would be that you have a subset  of a structure  and you find a subset  of  of a similar form, such that  is an easier subset of  to handle than  is of .) Instead, we should press ahead, try to prove some kind of triangle-removal statement, find that it fails for some reason, try to work out a nice property of  that would get round the problem, prove that one can regularize to obtain that property, etc. etc. But this process will still involve guesswork, and people who know the ergodic-theoretic proof are likely to be able to make better guesses.</t>
  </si>
  <si>
    <t>C1663</t>
  </si>
  <si>
    <t>process question</t>
  </si>
  <si>
    <t>Dear Procedural Question, That’s definitely an important point. I have plans for more projects of this kind, and I’m fairly sure that this difficulty won’t arise for them. However, to be on the safe side I’ll try to leave a longer gap between saying roughly what the problem is and actually starting the discussion, and I’ll invite people to email me if there is a danger of putting someone in the difficult situation you describe.</t>
  </si>
  <si>
    <t>C1664</t>
  </si>
  <si>
    <t>try this</t>
  </si>
  <si>
    <t>11. This of course does not say too much about the asymptotic question, but one might at least try one’s luck with the OEIS once one has enough data (note that this would have worked with the k=2 theory)., Terry, has anyone tried to collected said data for k=3?</t>
  </si>
  <si>
    <t>C1665</t>
  </si>
  <si>
    <t>don't know</t>
  </si>
  <si>
    <t>but know who to ask</t>
  </si>
  <si>
    <t>12. Dear Jason, I don’t know, but I just emailed someone who I think would.  My guess, though, is that density Hales-Jewett is probably not as well known as its cousins such as van der Waerden’s theorem to have much data already worked out.  If so, then presumably we can start collecting data here., For instance, it is not hard to see that  and that  for any n, m, so this already gives the bounds  for .  Presumably one can do better.</t>
  </si>
  <si>
    <t>C1666</t>
  </si>
  <si>
    <t>reputation risk</t>
  </si>
  <si>
    <t>be brave enough to be wrong in public</t>
  </si>
  <si>
    <t>By the way, one significant cultural inhibitor to having contributions (particularly the crazy “blue sky” contributions) to these sorts of projects by professional mathematicians is that, as a whole, we are quite reluctant to say anything on the public record which may end up being wrong, foolish, or naive, lest this damage a hard-earned mathematical reputation.  (More generally, this seems to be a major inhibitor against transparency in just about any sphere of human endeavour.)   I would imagine, though, that should these sorts of things end up being successful, the culture may shift – the level of professional care and caution which is suitable for a published journal is certainly not the same as the level which would be optimal for this much looser forum.</t>
  </si>
  <si>
    <t>C1667</t>
  </si>
  <si>
    <t>Varnavides intro</t>
  </si>
  <si>
    <t>13. Perhaps in order to understand the issue coming from Hoang’s observation a bit better, one can pose the following subproblem: what is the natural analogue of Varnavides theorem for DHJ?  Varnavides used Roth’s theorem as a black box to show that any subset of  of density  contained  3-term arithmetic progressions when n was large; a similar argument using the Ajtai-Szemeredi theorem as a black box also shows that any subset of  of density  contains  corners.  So, using DHJ as a black box, what is the natural implication as to how “numerous” combinatorial lines are in a dense set?  It seems that direct cardinality of such lines may not be the best measure of being “numerous”, but there should presumably still be some Varnavides-like theorem out there.</t>
  </si>
  <si>
    <t>C1668</t>
  </si>
  <si>
    <t>skepticism</t>
  </si>
  <si>
    <t>14. Regarding Terry’s last comment about a Varnavides-like theorem, I’m a bit skeptical. Even for the k=2 case (Sperner’s thm) if we take points of the d dimensional cube where the difference between the 0-s and 1-s is at most  then we have a positive fraction of the elements and there are less than  combinatorial lines. Probably this should be the right magnitude for k=2 as a Varvadines-like result and it shouldn’t be difficult to prove. (But I don’t have the proof …)</t>
  </si>
  <si>
    <t>C1671</t>
  </si>
  <si>
    <t>Gil</t>
  </si>
  <si>
    <t>15. Regarding lower bounds, fixing the numbers of ‘1’ ‘2’ and ‘3’ coordinates or even just fixing the number of ‘1’ coordinates gives better lower bounds, right? (Just like for Sperner’s theorem.)</t>
  </si>
  <si>
    <t>C1672</t>
  </si>
  <si>
    <t>C1671, C1668</t>
  </si>
  <si>
    <t>response</t>
  </si>
  <si>
    <t>consider quick question (potential pivot point?)</t>
  </si>
  <si>
    <t>16. Hmm, Gil, you’re right; so we get a bound of  asymptotically., Dear Jozsef, yes, we will have to normalise things appropriately to get a Varnavides type theorem.  For the k=3 problem, for instance, one might try to shoot for a lower bound for the number of combinatorial lines which is something like (3+o(1))^n rather than 4^n.  Alternatively, we could somehow weight each line, perhaps by some factor depending on how many wildcards it contains.  (Note that any set of density  in a large  will contain at least one combinatorial line in which the number of wildcards is at most , since one can partition  into copies of , where  is the first index for which DHJ holds at density , and observe that the original set will have density at least  in at least  of these copies.  So maybe one has to weight things to heavily favour lines with very few wildcards.)</t>
  </si>
  <si>
    <t>C1673</t>
  </si>
  <si>
    <t>show your work</t>
  </si>
  <si>
    <t>Varnavides usage</t>
  </si>
  <si>
    <t>17. It just occurred to me that if a subset of  has positive density, then by the central limit theorem we may restrict attention to those strings which have  1’s, 2’s, and 3’s, and still have a positive density of strings remaining.  So without loss of generality we may assume that all strings in the set are “balanced” in this manner.  Hence, the only combinatorial lines which really matter are those which have  wildcards in them, rather than .  So the number of combinatorial lines that are genuinely “in play” is just  rather than ., I wonder if DHJ implies the existence of a combinatorial line with  wildcards.  In the k=2 case it seems that a double counting argument should be able to establish something like this, though I haven’t checked it thoroughly.  If so, then there seems to be a good shot at getting the “right” Varnavides type theorem.</t>
  </si>
  <si>
    <t>C1674</t>
  </si>
  <si>
    <t>some thoughts</t>
  </si>
  <si>
    <t>identify a place to try something another suggested</t>
  </si>
  <si>
    <t>18. Two more thoughts… firstly, a sufficiently good Varnavides type theorem for DHJ may have a separate application from the one in this project, namely to obtain a “relative” DHJ for dense subsets of a sufficiently pseudorandom subset of , much as I did with Ben Green for the primes (and which now has a significantly simpler proof by Gowers and by Reingold-Trevisan-Tulsiani-Vadhan).  There are other obstacles though to that task (e.g. understanding the analogue of “dual functions” for Hales-Jewett), and so this is probably a bit off-topic., Another thought is the following.  For any a,b,c adding up to n, let  be the subset of  consisting of those strings with a 1s, b 2s, and c 3s.  If A is a dense subset of , then  should be a dense subset of  for many a, b, c; call a triple (a,b,c) rich if this is the case.  By applying the corners theorem (!) we should then be able to find (a+r,b,c), (a,b+r,c), (a,b,c+r) which are simultaneously rich.  But now this might be a good place with which to try a triangle removal argument, converting the lines of r wildcards connecting  into triangles as Tim suggests in the main post?</t>
  </si>
  <si>
    <t>C1675</t>
  </si>
  <si>
    <t>started numbering the comments</t>
  </si>
  <si>
    <t>19. Terry, I once tried something like what you suggest in the second paragraph of your last comment. There I was trying to do something different: come up with a definition of “quasirandom” that would guarantee that if you had quasirandom subsets of ,  and  then you would get a combinatorial line. I failed because I kept thinking of more and more obstructions and it seemed hard to find a definition that would deal with them all. This might be another project worth pursuing., A problem here, which I feel is loosely related, is that you can’t apply triangle removal if you restrict to ,  and  because you don’t get the degenerate triangles. This is similar to the problem that I had in comment CC above. (Incidentally, can anyone think of a better way of referring to comments than saying things like, “In Terry’s third last comment, paragraph 2”? Added later: I’ve gone back and numbered the comments.)</t>
  </si>
  <si>
    <t>C1676</t>
  </si>
  <si>
    <t>observation</t>
  </si>
  <si>
    <t>20. A related observation is that if you’ve got three rich triples in the right configuration, you aren’t guaranteed a combinatorial line. For example, in two of the sets the first coordinate could always be 1 and in the third it could always be 2.</t>
  </si>
  <si>
    <t>C1677</t>
  </si>
  <si>
    <t>expand</t>
  </si>
  <si>
    <t>problem</t>
  </si>
  <si>
    <t>Pair-Removal introduced</t>
  </si>
  <si>
    <t>21. This is a response to the first paragraph of Terry’s first comment (comment number 4), in which he asks for another proof of Sperner’s theorem. I like this idea: in one sense one could say that the difficulty with density Hales-Jewett is that the proof of Sperner’s theorem doesn’t generalize in an obvious way. (I don’t necessarily mean directly, but one might try to find an argument that has the same relationship to the corners problem as a proof of Sperner’s theorem has to the trivial one-dimensional analogue of the corners theorem, which says that a dense subset of  contains a pair of distinct points. But even this doesn’t seem to be at all easy.), A minor point of disagreement with what Terry says (again in comment 4). I think the correct analogue of triangle removal (in the tripartite case) one level down is the following statement: given two subsets  and  such that the number of pairs  with  and  is very small, then it is possible to remove a small number of elements from  and end up with no pairs. The proof of course is that one of  and  must be small. The reason I call this the analogue is that I think the analogue of a tripartite graph is a pair of subsets of the vertex sets, and the analogue of a triangle (a triple of edges) is a pair of vertices. , Now let me use this “pair-removal lemma” to prove the “one-dimensional corners” theorem. Suppose, then, that we have a subset  of size at least . I’m going to define two vertex sets  and  as follows. I let  be the set of all ordered singletons  such that , and I let  be the set of all ordered singletons  such that the sum of all the terms equals an element of . (In other words, both  and  are equal to , but I want to demonstrate that I’m doing exactly what one does in higher dimensions.) If we can find a pair , then we are done (that is, we’ve found a configuration of the form  in the set ), except in the degenerate case that . So if we can’t find a one-dimensional corner, then the only pairs in  are the degenerate ones, which implies that there are only  pairs. But then we can apply the pair-removal lemma and remove a few elements from  and end up with no pairs. But the degenerate pairs are vertex-disjoint, so we have to remove at least  elements to get rid of all those, so we have reached a contradiction., The next question might be whether we can use the “pair-removal lemma” to give a different proof of Sperner’s theorem. Or rather, we don’t actually want to prove the full strength of Sperner’s theorem but just the weaker statement that if you have at least  subsets of  then you can find one that’s a proper subset of another. Up to now what I’ve done is silly, but this project would not be silly: it might tell us exactly what the difficulty is with this approach to density Hales-Jewett, but in a much simpler context.</t>
  </si>
  <si>
    <t>C1678</t>
  </si>
  <si>
    <t>monologue continued</t>
  </si>
  <si>
    <t>continued</t>
  </si>
  <si>
    <t>monologue; Sperner continued</t>
  </si>
  <si>
    <t>22. Continuing the same theme, there is a natural pair of vertex sets to define in the Sperner case. For all higher dimensions, one takes the vertex sets to be copies of the power set of , so one should surely do so here. Now in a certain sense the th vertex set stands for the set of places where a sequence equals . So here we would let  and  be two copies of the power set of , with sets in  representing the set of places where a sequence equals 0 and sets in  representing the set of places where a sequence equals 1. Then we take as our subset  the set of all sets  such that the sequence that’s 0 on  and 1 on the complement of  belongs to , and we take  to be the set of all sets  such that the sequence that’s 1 on  and 0 on the complement of  belongs to . In set theoretic terms,  consists of sets that belong to  (which itself, just to be clear, is our given collection of  subsets of ), and  is consists of all complements of sets that belong to . , At this point it is clear that what we are looking for is a pair  with , , and . This will be a degenerate pair if , but otherwise will imply that  contains two sets with one a proper subset of the other. So this is the natural analogue of the triangles discussed in comments N and P., Note that in this situation we seem to be forced to put a graph structure on the two vertex sets  and , since we cannot just take any old pair  but have to make them disjoint. At first this looks bad, but I actually think it’s OK because the same disjointness condition occurs in all dimensions. In other words, you get a graph in higher dimensions and not a hypergraph., The next step, I think, would be to try to find a suitable “pair-removal lemma” for this more complicated situation where the pairs have to be disjoint sets. Is the following true (or even the right question)? Suppose you have two collections  and  of subsets of , and there are very few pairs  such that , , and . Then you can remove a small fraction of the sets from  and end up with no such pairs.</t>
  </si>
  <si>
    <t>C1679</t>
  </si>
  <si>
    <t>reformulate earlier</t>
  </si>
  <si>
    <t>suggests a wild question; clarifying/reformatting an earlier point</t>
  </si>
  <si>
    <t>23. This comment is a further response to Jozsef Solymosi’s comment (number 2). A slight variant of the problem you propose is this. Let’s take as our ground set the set of all pairs  of subsets of , and let’s take as our definition of a corner a triple of the form , , , where both the unions must be disjoint unions. This is asking for more than you asked for because I insist that the difference  is positive, so to speak. It seems to be a nice combination of Sperner’s theorem and the usual corners result. But perhaps it would be more sensible not to insist on that positivity and instead ask for a triple of the form , , , where  is disjoint from both  and  and  is contained in both  and . That is your original problem I think., I think I now understand better why your problem could be a good toy problem to look at first. Let’s quickly work out what triangle-removal statement would be needed to solve it. (You’ve already done that, so I just want to reformulate it in set-theoretic language, which I find easier to understand.) We let all of ,  and  equal the power set of . We join  to  if . , Ah, I see now that there’s a problem with what I’m suggesting, which is that in the normal corners problem we say that  and  lie in a line because both points have the same coordinate sum. When should we say that  and  lie in a line? It looks to me as though we have to treat the sets as -sequences and take the sum again. So it’s not really a set-theoretic reformulation after all., That suggests a wild question, which might have an easy counterexample (or an easy proof using density Hales-Jewett, which would be useful just to see whether it is true). If you have a dense subset  of the set of all pairs  of subsets of , can you find a triple ,  and  in  such that the three sets ,  and  are all disjoint?</t>
  </si>
  <si>
    <t>C1681</t>
  </si>
  <si>
    <t>increased *individual* stimulation as a result of others input and comments</t>
  </si>
  <si>
    <t>A quick report on my own experience. I have already found reading other people’s comments extremely stimulating, and I feel that my understanding of the problem has noticeably advanced in under 24 hours. Still absolutely no idea where it will all end, but I find the start promising. , If things carry on as they are, then at some point I think I’ll write a post in which I make various suggestions about how to organize further comments (such as starting dedicated threads devoted to subproblems) and invite comments on those suggestions., And now I’ve got to go and type in yet another thought provoked by one of the existing comments.</t>
  </si>
  <si>
    <t>C1682</t>
  </si>
  <si>
    <t>C1667,C1668,C1672,C1673,C1674</t>
  </si>
  <si>
    <t>thinking out loud</t>
  </si>
  <si>
    <t>Varnavides progress evaluation</t>
  </si>
  <si>
    <t>24. I want to continue the discussion in 13, 14, 16, 17 and 18 concerning the appropriate Varnavides-type theorem for density Hales-Jewett., The basic difficulty appears to be that if you know that a point lies in a combinatorial line, then it affects the shape of the point. Let’s see this first in a very simple context, where we just put the uniform distribution on the set of all points and the uniform distribution on the set of all lines. We can represent a combinatorial line as a point in the space , where the asterisks represent the varying coordinates. In this way we see easily that there are  combinatorial lines and that the set of fixed coordinates that take a given one of the values 1, 2 or 3 will typically have size about . (For anyone who isn’t familiar with this kind of argument, if you choose a random combinatorial line, regarded as a sequence that consists of 1s, 2s, 3s and asterisks, then the set of places where you choose 1 is a random subset of  where each point is chosen with probability . With very high probability such a set has size close to .) So we see that while a typical point has roughly equal numbers of 1s, 2s and 3s, a typical combinatorial line contains points that have around  of two values and around  of the third value., Suppose we try to remedy this by putting a different distribution on to the set of lines. Is there some natural way to do this that encourages the set of variable coordinates to be much smaller than the sets of fixed coordinates? A rather unpleasant approach would be simply to put some upper bound on the size of the set of variable coordinates and otherwise choose uniformly. The most natural thing I can think of to do is not all that much nicer, but at least it smooths the cutoff. It’s to choose the variable set of coordinates by picking each point independently with probability , where  is something like , and then choose the fixed coordinates randomly to be 1, 2 or 3. , Actually, I can already see that this doesn’t work. The size of the resulting set of variable coordinates will be strongly concentrated around . But it’s not hard to choose a dense set of sequences such that if you choose any two of them,  and , then the number of 1s in  and the number of 1s in  do not differ by approximately . The number of combinatorial lines in such a set would not be dense., The fact that the natural measure on the set of sequences does not project properly to the natural measure on the set of triples  of integers such that  seems to be a fundamental difficulty., Another thought one might have is to put a different measure on the set of points, so as to encourage points where we get two values roughly  times and one value roughly  times. But the trouble with this is that it leads to the no-degenerate-triangles problem. To be precise, it would lead to three sets of sequences (according to whether 1, 2 or 3 was the preferred value) and no sequence would belong to all three sets. So it really does seem essential to force the variable set to be small somehow. And all I have to suggest so far is to do something very unnatural like first randomly choosing the cardinality according to some distribution that isn’t too concentrated about any value — the most natural one I can think of is a gentle exponential decay — then choosing a set of that cardinality, and then choosing the fixed coordinates randomly. But I have no reason to suppose that that leads to a Varnavides-type theorem.</t>
  </si>
  <si>
    <t>C1683</t>
  </si>
  <si>
    <t>brainstorming</t>
  </si>
  <si>
    <t>Varnavides clarification</t>
  </si>
  <si>
    <t>25. I see now that there’s quite a substantial overlap between my last comment and Terry’s comment 16. But one can view my last comment as an elaboration of his, perhaps., Here I just want to make the quick suggestion that one way to work out what the appropriate Varnavides theorem should say is to prove it first. How would this strategy work? Well, we assume the density Hales-Jewett theorem in the following form: for every  there exists  such that every subset of  of size at least  contains a combinatorial line. (The  is convenient in just a moment.) , Now let  be a subset of  of size at least . Here,  is an integer that is much bigger than . The set  can be covered uniformly by structures that are isomorphic to , and a positive proportion (in fact,  at least) of these structures intersect  in a subset of density at least . So a positive proportion of these structures contain a combinatorial line. And now a double-counting argument gives us lots of combinatorial lines. , Now there are several choices to make if one wants to pursue this line of attack. The main one is what set of -dimensional substructures of  to average over. For the benefit of people who haven’t thought too hard about Hales-Jewett, let me give a pretty general class of such structures. You choose  disjoint sets , and you choose fixed values in  for all elements of  that do not belong to one of the . The -dimensional structure consists of the  sequences that take the fixed values outside the  and are constant on each . What can we deduce from the fact that there exists  that depends on  only such that if  intersects any -dimensional set of this kind in at least  places then that -dimensional set contains a combinatorial line in ?, The choice one has is this: over what set of structures of this kind (or with what weighting on the structures) do we do an averaging argument? And what can we expect to get out of it at the end? Is it likely to give anything useful?, One other question: is there a reasonably precise argument to the effect that if the triangle-removal approach worked, then it would imply a stronger Varnavides-type result? And if so, what would that result be? This could be another way to get a handle on the problem.</t>
  </si>
  <si>
    <t>C1684</t>
  </si>
  <si>
    <t>I don’t think it would be a large overstatement to say that we already have, here in this forum, a nascent “massively collaborative meta-mathematician”., I’m in the process of trying to start a “collaborative programmer”, for the purpose of designing and building a more suitable forum for this “collaborative mathematician” and other “collaborative thinkers”., Specifically, I am now drafting an introductory document and setting up the initial forum, but until I finish that, any interested parties are invited to contact me, and I’ll be happy to share the collection of notes I have so far.</t>
  </si>
  <si>
    <t>C1685</t>
  </si>
  <si>
    <t xml:space="preserve">not obvious ;) </t>
  </si>
  <si>
    <t>26. Another small thought in response to Terry’s comment number 18, paragraph 2, is this. Even if that idea runs into the difficulty I mentioned in comment 19, there might be a chance of getting something out of a small variant of the idea. Terry suggested using the corners theorem to find a triple , ,  in each part of which  is “rich”. The problem was that if one then used just these sets to form a tripartite graph, one would end up with no degenerate triangles. But what if instead one used the full 2-dimensional Szemer\’edi theorem (which can be proved using the simplex-removal lemma in sufficiently high dimension, so it doesn’t depend on ergodic theory) to obtain a big network of sets  in which  was rich? They could be organized into a triangular lattice: they would consist of all sets of the form  such that ,  and  are non-negative integers that sum to  for some reasonably large . It’s not obvious that this would be any help, but it’s also not obvious that it wouldn’t be any help.</t>
  </si>
  <si>
    <t>C1686</t>
  </si>
  <si>
    <t xml:space="preserve">could we do x? self-depracating is hilarious to me ;) </t>
  </si>
  <si>
    <t>27. I was rather pleased with the “conjecture” in the final paragraph of comment 22, but have just noticed that it is completely false, at least if you interpret it in the most obvious way. Indeed, if you take both  and  to consist of all subsets of , then you find that almost every set in  intersects almost every set in . And it’s clear that if you just remove a small fraction of the sets from  and  you aren’t going to be able to ensure that every set left in  intersects every set left in . (Proof: for each pair  you will either have to remove  from  or  from .), This leaves me with two questions. , (i) Can this pair-removal approach to Sperner be rescued somehow? , (ii) If not, can one use its failure as the basis of a rigorous proof that no triangle-removal approach can work for density Hales-Jewett?</t>
  </si>
  <si>
    <t>C1687</t>
  </si>
  <si>
    <t>could we do x? is there a simple answer?</t>
  </si>
  <si>
    <t>28. Perhaps the answer to (i) is rather simple. First, we see how many disjoint pairs there are in the case where both  and  are the full power set of . The answer is , because for each element of  you get to choose whether it belongs to the first set, the second set, or neither. So now we would deem a pair of set systems  to have “few” disjoint pairs if the number of pairs  with ,  and  is at most  for a tiny positive constant . Under that assumption, does it follow that we can remove a small number of sets and end up with no disjoint pairs? And if so, would that prove Sperner’s theorem (in the weak form where we assume that a set system has positive density)?</t>
  </si>
  <si>
    <t>C1688</t>
  </si>
  <si>
    <t>Gil Kalai</t>
  </si>
  <si>
    <t>evaluate</t>
  </si>
  <si>
    <t>thread</t>
  </si>
  <si>
    <t>Sperner continued</t>
  </si>
  <si>
    <t>29. Several remarks which are not directly towrds the specific project but related. , 1.  With all due respect to Sperner’s theorem it is hard to believe that the  lower bound cannot be improved. Right? Maybe as a side project we should come up with a  example for k=3 density HJ or ask around if this is known?, 2. A sort of generic attack one can try with Sperner is to look at  and express using the Fourier expansion of  the expression  where x&lt;y is the partial order (=containment) for 0-1 vectors. Then one may hope that if f does not have a large Fourier coefficient then the expression above is similar to what we get when A is random and otherwise we can raise the density for subspaces. , (OK, you can try it directly for the k=3 density HJ problem too but Sperner would be easier;)
This is not unrealeted to the regularity philosophy., 3. Reductions: the works of Furstenberg and Katznelson went gradually from multidimensional Szemeredi  to density theorems for affine subspaces  to density HJ. (Maybe there were more stops on the way)
Beside the obvious reduction – combinatorial lines imply long AP (and also high dimension Szemeredi if I remember correctly) reductions in the opposite directions are not known (to me, at least). , It is tempting to think that the when we find high dmensionall affine space perhaps in a much much much larger alphabet we can somehow get a little combinatorial line for the small alphabet.    , 4. There is an analogous for Sperner but with high dimensional combinatorial spaces instead of "lines" but I do not remember the details (Kleitman(?) Katona(?) those are ususal suspects.)</t>
  </si>
  <si>
    <t>C1689</t>
  </si>
  <si>
    <t>Ryan O'Donnell</t>
  </si>
  <si>
    <t>explore</t>
  </si>
  <si>
    <t>potential</t>
  </si>
  <si>
    <t>30. As a person who writes the phrase “choose the sequence x at random; then form y by rerandomizing each coordinate of x with probability p” in nearly half his papers, I’m naturally drawn to the 16-17-24-etc. comment thread.  , In #24, Tim suggests (and I agree) that the most natural way to pick a line is to form three sequences (x,y,z) by choosing ,    (x_i,y_i,z_i) uniformly from 3^3, with probability 1-p,
   (x_i,y_i,z_i) = (1,2,3) with probability p,, independently for each i = 1…n, with p taken to be perhaps 1/sqrt(n).  But Tim also makes the good — and worrisome — point that this distribution has the “wrong” marginal on x (and on y and on z).  For example, the marginal on x is the (1/3+2p/3, 1/3-p/3, 1/3-p/3) product distribution on 3^n, whereas it “ought to be” the uniform distribution, because we are measuring the density of A with respect to the uniform distribution., It’s not completely clear to me that this is an insuperable problem though.  For example, in #24 Tim wrote,
    “But it’s not hard to choose a dense set of sequences such that if you choose any two of them, x and y, then the number of 1s in x and the number of 1s in y do not differ by approximately n^{1/2}.”  , I don’t quite see it… Isn’t it the case, as Terry pointed out in #17, that almost all strings in A have 1/3 +/- O(sqrt(n)) 1’s?  In fact, shouldn’t a random pair x, y in A have a 1-count differing by Theta(sqrt(n)) with high probability?  All hidden constants here depend on delta., Anyway, I agree it’s worrisome.  To check whether it is indeed insuperable, I wonder if we could try “practising” this idea in the weak-Sperner’s setting Tim suggested at the end of #21.  The analogous question there would be:, Suppose A contains at least a delta-fraction of the strings in {0,1}^n (w.r.t. the uniform distribution).  Suppose we choose to strings (x,y) as follows:,     (x_i,y_i) is uniform from {0,1}^2 with probability 1 – 1/sqrt(n)
    (x_i,y_i) is (0,1) with probability 1/sqrt(n),, independently for each i = 1…n.  Is there a positive probability that both x and y are in A?</t>
  </si>
  <si>
    <t>C1690</t>
  </si>
  <si>
    <t>why stuck</t>
  </si>
  <si>
    <t>31. Gil, a quick remark about Fourier expansions and the  case. I want to explain why  I got stuck several years ago when I was trying to develop some kind of Fourier approach. Maybe with your deep knowledge of this kind of thing you can get me unstuck again. , The problem was that the natural Fourier basis in  was the basis you get by thinking of  as the group . And if that’s what you do, then there appear to be examples that do not behave quasirandomly, but which do not have large Fourier coefficients either. For example, suppose that  is a multiple of 7, and you look at the set  of all sequences where the numbers of 1s, 2s and 3s are all multiples of 7. If two such sequences lie in a combinatorial line, then the set of variable coordinates for that line must have cardinality that’s a multiple of 7, from which it follows that the third point automatically lies in the line. So this set  has too many combinatorial lines. But I’m fairly sure — perhaps you can confirm this — that  has no large Fourier coefficient., You can use this idea to produce lots more examples. Obviously you can replace 7 by some other small number. But you can also pick some arbitrary subset  of  and just ask that the numbers of 0s, 1s and 2s inside  are multiples of 7., If these observations are correct, then they suggest another very interesting subproblem: describe all obstructions to randomness. That is, find a nice explicit set  of functions defined on  such that (the characteristic function of) any set with the wrong number of combinatorial lines correlates with a function in . Ideally, correlation with a function in  would imply a density increase on some subset., Of course, this would be aiming for a Roth-type proof rather than a Ruzsa-Szemerédi-Solymosi-type proof.</t>
  </si>
  <si>
    <t>C1691</t>
  </si>
  <si>
    <t>appealing method</t>
  </si>
  <si>
    <t>32.  Calling Gil’s post 29 and my earlier one 30.  , Sorry for the lengthiness of the posts, but I wanted to throw out one more idea and one more question., Suppose the issue discussed in my #30 is indeed a problem.  Here’s a possible (perhaps far-fetched) way around it:  , First, find the simultaneously “rich” triples (a+r,b,c), (a,b+r,c), (a,b,c+r) as in Terry’s post #18.  Now take a new distribution on combinatorial lines: Uniform on lines which have exactly r wildcards.  , This may improve things because its marginals on x, y, and z are precisely the uniform distributions on Gamma_{a+r,b,c}, Gamma_{a,b+r,c}, and Gamma_{a,b,c+r}.  And we know A is dense under these distributions, by the definition of richness., Working “slicewise” in this way has some intuitive appeal to me because it seems compatible with the prospect of getting the “correct” Sperner by these ideas, as opposed to just the “weak” Sperner.</t>
  </si>
  <si>
    <t>C1692</t>
  </si>
  <si>
    <t>33. In response to Ryan’s question in 30, I see that I didn’t explain myself clearly enough. Here’s what I meant., Suppose you have a distribution on combinatorial lines with the property that the size of the variable set has a very high probability of being very close to . (NB, I don’t just mean order  but between  and . This is I think the point of misunderstanding.) What I was claiming was that it was quite easy to choose a dense set of sequences such that if  and  are two of your sequences then the number of 1s in  and the number of 1s in  never differ by almost exactly .</t>
  </si>
  <si>
    <t>C1693</t>
  </si>
  <si>
    <t>perhaps this?</t>
  </si>
  <si>
    <t>34.  Re Tim’s #33:  Ah, I see.  Right.  , So perhaps the thing to do is not to choose the number of wildcards to be Binomial(n,1/sqrt(n)), but, uh, I dunno, perhaps Poisson(sqrt(n))??</t>
  </si>
  <si>
    <t>C1694</t>
  </si>
  <si>
    <t>comment management</t>
  </si>
  <si>
    <t>identifying threads</t>
  </si>
  <si>
    <t>We’ve already got a number of threads developing. Here is my best effort at sorting them out., Discussion of original Furstenburg-Katzelson proof (#1, #5, #6, #10)
 set problem (#2, #7, #23)
Finding lower and upper bounds (#3, #8, #11, #12, #15, #16)
Sperner’s theorem (#4, #21, #22, #27, #28, Gil #29)
Creating a quasirandom definition (#18, #19, #26)
Positive density (#4, #9, #17)
Analogue of Varnavides theorem (#13, #14, #16, #17, #18, #24, #25), The latter two threads might be combinable., I haven’t numbered this comment as it’s a metacontribution rather than a contribution — but thanks for it.</t>
  </si>
  <si>
    <t>C1695</t>
  </si>
  <si>
    <t>C1658; C1648; C1658</t>
  </si>
  <si>
    <t>35.  Now the question, following up on the separate thread initiated by Jozsef (specifically, #2 and Tim’s #7), just to confirm I have the question right…, There is a dense subset A of {0,1}^n x {0,1}^n.  Is it true that it must contain three nonidentical strings (x,x’), (y,y’), (z,z’) such that for each i = 1…n, the 6 bits ,  x_i x’_i 
 y_i y’_i 
 z_i z’_i , are equal to one of the following:,  0 0     0 0     0, 1     1 0     1 1     1 1 
 0 0 ,   0 1 ,   0, 1 ,   1 0 ,   1 0 ,   1 1 ,
 0 0     1 0     0, 1     1 0     0 1     1 1 , ?</t>
  </si>
  <si>
    <t>C1696</t>
  </si>
  <si>
    <t>identifying challenge (don't like this code but not sure what else to use)</t>
  </si>
  <si>
    <t>natural distributions come with awkward property</t>
  </si>
  <si>
    <t>36. (Responding to 34) Unfortunately, Poisson(root n) is just as concentrated around root n as Binomial (n,1/sqrt n) (as one would expect since binomial tends to Poisson). That’s what slightly bothers me — the most natural distributions have that awkward property.</t>
  </si>
  <si>
    <t>C1697</t>
  </si>
  <si>
    <t>confidence</t>
  </si>
  <si>
    <t>some correct version must exist</t>
  </si>
  <si>
    <t>37. (Re 36.)  Hmm.  But there has to be *some* correct distribution for the wildcards.  , After all, what *is* the distribution on the difference in 1-counts between independent and uniform x and y?  It’s distributed as the sum of n i.i.d. r.v.’s which are +1 with probability 2/9, -1 with probability 2/9, and 0 with probability 5/9.  So it’s like a Gaussian with standard deviation sigma = 2/3sqrt(n).  , So we could put in a number of wildcards equal to round(|N(0,4/9n)|)…  , This looks weird enough that it’s probably a wrong idea, but I still feel there may be a “natural” probabilistic way to do it.   , Or maybe I revert to the suggestion of thinking about distributions on fixed numbers of 1’s, 2’s, 3’s as in #32… 🙂</t>
  </si>
  <si>
    <t>C1698</t>
  </si>
  <si>
    <t>poke holes</t>
  </si>
  <si>
    <t>38. Here’s an attempt to throw the spanner in the works of #32. Let’s define  to be the set of all sequences  with the following property: if the number of 1s in  is even then , and if the number of 1s in  is odd then . , I first claim that virtually all slices are rich. Indeed, take a typical slice defined by the triple  Then just choose  1s, taking care not to choose , choose the appropriate value of  according to whether  is even or odd, and then fill in the rest with the appropriate number of 2s and 3s. The only thing that can go wrong is that one of  and  is equal to 0, but for all normal slices we’re OK., Now I claim that we can’t have a combinatorial line with an odd number of wildcards. The reason is that when the wildcards change from 1 to 2, the final coordinate  is forced to change from 2 to 3, which is not allowed., So it looks to me as though it would be disastrous to take the uniform distribution over lines with some fixed number of wildcards (unless, perhaps, one had done some more preprocessing to get a stronger property than mere richness).</t>
  </si>
  <si>
    <t>C1699</t>
  </si>
  <si>
    <t>split threads</t>
  </si>
  <si>
    <t>multiple threads (with parent posts) suggested</t>
  </si>
  <si>
    <t>(Another metacomment.), Tim, now may be the right time to create multiple posts so people can sort into the discussion they want to focus on. Given the rate posts are piling up it will get too hard to do it later. In fact, by the time I hit “submit” I’m guessing 3 more comments will have come up. 🙂, #30, #32, #33, #34, #36, #37 spawned off Varnavides theorem thread, although tilting over to general randomness
#31 (off of #29) Sperner, sort of — Fourier approach might spawn its own thread
#35 IP_d problem thread, Jason—I’m going to answer this question over on the Questions of Procedure post. Or rather, I’m going to ask what others think. I agree that it would, for instance, make it easier for a newcomer if they had a more organized structure of comments.</t>
  </si>
  <si>
    <t>C1700</t>
  </si>
  <si>
    <t>respond to problem</t>
  </si>
  <si>
    <t>Regarding the “division of mathematical geniuses into two classes, ordinary geniuses and magicians”:, I have no difficulty in imagining rules that would allow the presence of a single mathematical genius of the magical kind to imbue the entire collaborative mathematician with the benefits of his or her “magical” abilities.</t>
  </si>
  <si>
    <t>C1701</t>
  </si>
  <si>
    <t>value recognition</t>
  </si>
  <si>
    <t>4.35pm: Everything I said in my previous comment applies, only more so. It feels as though this process is to normal research as driving is to pushing a car. However, the number of comments is already getting quite large, and I can imagine some people being put off by the thought of having to wade through them all. But already several subquestions have emerged. The question is, should we already be writing new posts about those subquestions and continuing discussion of them in properly separated threads? I wasn’t expecting to have to face this question so soon, but it’s probably a good idea to think about it quickly before the problem gets worse. Jason Dyer has already kindly had a go at classifying the various comments into different threads, which would make the organizational task easier. Opinions would be welcome, both on whether this needs to be done and on what the subthreads should be.</t>
  </si>
  <si>
    <t>C1702</t>
  </si>
  <si>
    <t>use timestamps rather than numbers for comment reference</t>
  </si>
  <si>
    <t>Incidentally, in other comment threads, it is often customary to refer to a specific comment by a timestamp, e.g. “Gowers Feb 2 3:18 pm”.  But I will adhere to the numbering convention also…, 39.  Wow, this thing is evolving rapidly… I will need some time to catch up, but I wanted to contribute two thoughts I had this morning…  with regard to Gil’s 29 (Feb 2 4:16 pm), observe that the union of all  where b+2c lies in a set that has no length 3 progressions, will have no combinatorial lines.  So by plugging in the Behrend example it now seems that we have the lower bound  (if I haven’t made a miscomputation somewhere)., Secondly, if one applies the corners argument locally instead of globally, one can make the r in the rich triple  to be of bounded size, r=O(1).  I don’t know if this is helpful though.  But it begins to remind me of the isoperimetric inequality for the cube (which would correspond to the case k=2, r=1)., Morning Terry! Yes, that time stamp idea would be good, and would save me having to do a lot of editing to number comments. (Even if everyone remembers to number their comments, they don’t always know what number their comment will actually turn out to be.)</t>
  </si>
  <si>
    <t>C1703</t>
  </si>
  <si>
    <t>Gowers 20 (9.17am), or Gowers 38 (5.29 pm).    (Terry 4 9.26pm, Tim Austin 16 10:16pm).]</t>
  </si>
  <si>
    <t>handle counterexamples</t>
  </si>
  <si>
    <t>hereditary richness</t>
  </si>
  <si>
    <t>40.  Two more thoughts.  Firstly, I can now show that , by taking the set , or equivalently the union of all the  such that  is not divisible by 3.  (The upper bound  follows from the general inequality .)  So maybe  is computable also, for what it’s worth., Secondly, one may need some sort of “hereditary” richness, in which one considers not only the global counts a, b, c of 1s, 2s, and 3s in n, but also considers all subsets of n and looks for richness there too.  If there is one subset of n in which the richness fluctuates much more than in the original index set n, then we pass to that set (incrementing a certain “richness energy” along the way) and keep going until one obtains “richness regularity” (by a standard “energy increment argument”), which should mean something like that the “richness statistics” of any “non-negligible” subindex set of the index set should be close to the statistics of the original index set.  This may help avoid the kind of counterexamples that appear for instance in Gowers 20 (9.17am), or Gowers 38 (5.29 pm).    It also reminds me of the stationarity reduction used in the ergodic theory world (Terry 4 9.26pm, Tim Austin 16 10:16pm).</t>
  </si>
  <si>
    <t>C1704</t>
  </si>
  <si>
    <t>alternate approach</t>
  </si>
  <si>
    <t>41.  Incidentally, given that we are trying to find triangles in sparse (but now constant degree) graphs, we may eventually have to use the type of regularity lemmas associated with bounded degree graphs, as for instance studied by Elek and Lippner,, http://arxiv.org/abs/0809.2879</t>
  </si>
  <si>
    <t>C1705</t>
  </si>
  <si>
    <t>computer-proof</t>
  </si>
  <si>
    <t>computational plan</t>
  </si>
  <si>
    <t>42. I need to break out the compiler, but for what it’s worth, here’s my brute force data structure I’m going to use to try to get (at the least lower bound, and if they match upper bound exact) values of :, One set of nodes (call them “red”) correspond to the elements of 
Another set of nodes (call them “blue”) correspond to the specific combinatorial lines. They each have degree 3 and are linked to by the blue nodes., Greedy algorithm:
1.) Look at the red nodes; out of the set of red nodes with highest degree, pick one at random.
2.) Remove that node, and all blue nodes linking to that node, and all edges corresponding to the red node and the blue nodes.
3.) If there are any blue nodes remaining, return to 1. Otherwise, all combinatorial lines have been removed.</t>
  </si>
  <si>
    <t>C1706</t>
  </si>
  <si>
    <t>(42 fix) blue nodes are linked to by the red nodes.</t>
  </si>
  <si>
    <t>C1707</t>
  </si>
  <si>
    <t>Christian Elsholtz</t>
  </si>
  <si>
    <t>related problem</t>
  </si>
  <si>
    <t>(43), Let me consider a related problem, which can be thought of as a
generalization:
we consider sets of 3^n where all lines, not just combinatorial lines,
are forbidden. This problem is also known as Moser’s cube problem.
It is known that the extremal configurations have, 2,6,16,43 points in
dimensions n=1,2,3,4 respectively.
The bounds in this problem were 3^n/sqrt(n) and o(3^n) respectively, as
well., These general lines can be modeled by two different wild cards.
Say (1,x,3,y,x) is a line, if x runs from 1 to 3, and y runs from 3 to 1., Here is a sketch of an improvement of the lower bound, in the spirit of
Terry’s idea (#39)., The sets Gamma_{a,b,c} do not contain any line, so taking unions of
several Gammas, one would need to study (with r wild cards x
and s wild cards y) Gammas  with indices
(a+r,b,c+s), (a, b+r+s, c), (a+s, b, c+r).
Then take those Gamma_{a’,b’,c’}, where
a’+2b’+3c’ is taken from a set without a 3 progression, and one gets
a lower bound of 3^n/exp(c sqrt(log n)), Since the Hales-Jewett theorem is on combinatorial lines:, some of the ideas discussed before might work for general lines,
i.e. Moser’s cube problem as well. Is there any general lower bound
construction that works for combinatorial lines only?
(Terry’s example with 18 ponts in dimension 3 has lines, so what is the right generalization?)., What is genuinely different for combinatorial lines?</t>
  </si>
  <si>
    <t>C1708</t>
  </si>
  <si>
    <t>C1701?</t>
  </si>
  <si>
    <t>don't fix what isn't broken yet</t>
  </si>
  <si>
    <t>Dear Tim,, This is indeed a promising start.  It feels like the dynamic I have experienced with multi-author collaborations in the same room, but also resembles collaborations I have had with authors in different time zones (as one gets the uncanny feeling that progress is being made on the problem while one sleeps).  , I think we are beginning to bump up against the limits of the wordpress environment though.  For instance, the only way to migrate comments from one thread to another is by hand, which is quite tedious.  I would be hesitant to “fix” what isn’t “broken” yet, and so would leave the single massive thread as it is, at least until there is a clear divergence into two largely non-interacting subthreads, with one of them ripe for a recap post., One of the beauties of a digital medium such as this, though, is that any cleaning up of the organisational structure can always be done ex post facto; the important thing, at this stage, is just to get the thoughts and ideas entered into the system somewhere, and it can be sorted out later.</t>
  </si>
  <si>
    <t>C1709</t>
  </si>
  <si>
    <t>amusing comparison</t>
  </si>
  <si>
    <t>preemptive attack</t>
  </si>
  <si>
    <t xml:space="preserve">Incidentally, the following famous quote of Erdos seems apropos to our current project (though without the aliens):, Aliens invade the earth and threaten to obliterate it in a year’s time unless human beings can find the Ramsey number for red five and blue five. We could marshal the world’s best minds and fastest computers, and within a year we could probably calculate the value. If the aliens demanded the Ramsey number for red six and blue six, however, we would have no choice but to launch a preemptive attack. </t>
  </si>
  <si>
    <t>C1710</t>
  </si>
  <si>
    <t>Boris</t>
  </si>
  <si>
    <t>showing the overlap between theorems; Sperner cont.</t>
  </si>
  <si>
    <t>44. As far as I know describing obstructions to pseudorandomness is open even for Sperner’s theorem or Kruskal-Katona theorem (the latter corresponds to dealing with sets ). Consider the following simple problem:, Let  be a dense subset of  and  be a dense subset of . When is the number of pairs  such that  close to expected?, Besides the obvious obstruction when all elements  contain , but none of elements  do, there is also a more subtle obstruction. Let  be any subset of size  in . Choose any   Let  belong to  iff  is in the interval  and  belong to  iff  is in the interval . The sets  and  are of density close to , but their union is an antichain., Of course, such examples can be made more complicated by taking several sets  for different moduli ., I suspect that there might a Freiman-type theorem buried here. There is even a weak connection to sumset addition: a shadow of a set  is just  where ‘s are the one-element sets, and the addition occurs in appropriate semigroup (it is easy to see that a few results from additive combinatorics do carry over to that setting).</t>
  </si>
  <si>
    <t>C1711</t>
  </si>
  <si>
    <t>A quick note on the Procedural Question:  If an experiment of this level of prominence is successful (and especially if the follow-on experiments meet with success), I would imagine that news of such a development would travel quickly within the mathematical community, other collaborative experiments will begin, and before too long it will become unusual to solve difficult problems alone., The problem of the CV line remains both important and unsolved.</t>
  </si>
  <si>
    <t>C1712</t>
  </si>
  <si>
    <t>(45) Not a major concern at the moment, but if at some point we write up the precise bounds obtained from Behrend set constructions, we may as well use the best known Behrend set bound, due to Elkin, see e.g. this exposition of Green and Wolf:, http://arxiv.org/abs/0810.0732</t>
  </si>
  <si>
    <t>C1713</t>
  </si>
  <si>
    <t>William Gasarch</t>
  </si>
  <si>
    <t>suggested readings</t>
  </si>
  <si>
    <t>work already done</t>
  </si>
  <si>
    <t>45.5. In the paper, Some Lower Bounds for the Hales-Jewitt Numbers
by Eric Tressler, he has the following:, HJ(3,3)&gt;6
HJ(4,3)&gt;6</t>
  </si>
  <si>
    <t>C1714</t>
  </si>
  <si>
    <t>problem changed</t>
  </si>
  <si>
    <t>(46)  Numbering of the previous two posts needs to be changed, @Jason (42): in view of existing examples, it may be worth restricting one’s search space to those sets that are unions of ‘s, rather than arbitrary subsets of .  The problem is now some sort of weighted corner-avoidance problem, but one which may be more tractable to brute force computer search., @Boris: The problem you describe sounds very close to the machinery of influence, hypercontractivity, isoperimetric inequality, etc., but Gil is of course the one to ask regarding these things.</t>
  </si>
  <si>
    <t>C1715</t>
  </si>
  <si>
    <t xml:space="preserve">(C1671, C1672, and Terry 39&amp;44) </t>
  </si>
  <si>
    <t>restate problem</t>
  </si>
  <si>
    <t>Comment on the lower bound. (Gil 15, Terry 16, and Terry 39&amp;44) Without loosing anything, we can suppose that the number of 0-s,1-s, and 2-s are . Then the range where a+2b (the sum of 0-s plust twice the sum of 1-s) is triangle free has length about  If we care about the details, like we want to use Elkin’s improvement, then  we should note this one as well. It changes the constant multiplier in the exponent.</t>
  </si>
  <si>
    <t>C1716</t>
  </si>
  <si>
    <t xml:space="preserve">monologue </t>
  </si>
  <si>
    <t>(47) contd. I think that we should get a better lower bound by using bounds on corners than on 3-term arithmetic progressions, however I’m not sure what is the best known lower bound on corners.</t>
  </si>
  <si>
    <t>C1717</t>
  </si>
  <si>
    <t>Tyler Neylon</t>
  </si>
  <si>
    <t>describing method (latex notation)</t>
  </si>
  <si>
    <t>(48), @Jason (42): The structure you point out – a bipartite graph with one set of vertices representing combinatorial lines $$L$$, and the other representing elements of $${3}^n$$ – can be used to algorithmically find $$c_n$$ exactly (it sounds like you’re going for a probabilistic approach), although the code is more involved, and a bit slow (but polynomial in the size of the graph)., I think we can reduce this to a min-cost flow problem.  Basically, we want the smallest set of edges which covers $$L$$ — this corresponds to the smallest subset of $${3}^n$$ which can be removed to get a line-free set.  Create the following directed graph: add vertex $$s$$ with edges to everything in $$L$$.  Every line in $$L$$ has an edge to all three points it contains.  Every point in $${3}^n$$ points to a new vertex $$t$$.  Every edge has unit cost, and unit capacity, except the edges between $$L$$ and $${3}^n$$, which have unlimited capacity.  Then a min-cost flow from $$s$$ to $$t$$ with at least $$|L|$$ capacity is what we want.  This can be found in time $$O(n^2m^3\log n)$$ where $$n$$ is number of nodes, $$m$$ is number of edges see Schrijver’s Combinatorial Optimization, ch 12.  Not super fast, but maybe do-able for small values of our $$n$$.  Also possibly of theoretical interest?, Side note: In case my latex notation doesn’t turn out correctly, could someone mention the proper syntax for these comments?  And in case it does look right (for others), I’m just surrounding the math parts in double dollar signs.</t>
  </si>
  <si>
    <t>C1718</t>
  </si>
  <si>
    <t>oops, that cool-looking face is supposed to be a forty-eight  (  48  )</t>
  </si>
  <si>
    <t>C1719</t>
  </si>
  <si>
    <t>(48) To Christian (43) If r=s=1 then you get 3,3,3 as an arithmetic progression. I don’t see a simple way to resolve the problem of degenerate arithmetic progressions in the general setting.</t>
  </si>
  <si>
    <t>C1720</t>
  </si>
  <si>
    <t>oops twice! (as ( 48 ) was used twice)</t>
  </si>
  <si>
    <t>C1721</t>
  </si>
  <si>
    <t>(50) I don’t envy Tim’s job to clean up the numbering system… but one can of course use fractions or something…, @ Joszef (47), the best lower bound for corners is necessarily between that for 3-term progressions and for triangle removal, since triangle removal implies corners implies 3-term progressions.  But ever since the original Ruzsa-Szemeredi paper, the best lower bounds for triangle removal come from… the Behrend construction for 3-term progressions.  This is not a satisfactory state of affairs, but I don’t think there has been much progress in this regard.  (Although I could imagine that the Elkin refinement could be pushed a little further for corners instead of 3-term progressions.), Of course, Gowers has tower-type lower bounds for the regularity lemma used to prove triangle removal, but this does not directly seem to lead to any new lower bounds on the latter.</t>
  </si>
  <si>
    <t>C1722</t>
  </si>
  <si>
    <t>process question; latex comments</t>
  </si>
  <si>
    <t>(51) Incidentally, to make latex comments,  use “$latex Your LaTeX code$”.  There are some quirks to the code, see the bottom of my post, http://terrytao.wordpress.com/about/, for details.</t>
  </si>
  <si>
    <t>C1723</t>
  </si>
  <si>
    <t>issue handling</t>
  </si>
  <si>
    <t>latex comments</t>
  </si>
  <si>
    <t>Well, that failed horribly… I meant “$latex Your LaTeX code$” (where I artificially italicised the first dollar sign).</t>
  </si>
  <si>
    <t>C1725</t>
  </si>
  <si>
    <t>Timothy Chow</t>
  </si>
  <si>
    <t>addl reading here; also -- I am currently digging through the chaotic mass of information … but I'm also a grad student, so I'm not sure about whether that helps or hinders his point…</t>
  </si>
  <si>
    <t>This is a comment about assigning credit in a field where there are massive collaborations.  What often happens in practice is that recommendations (oral or written) become a lot more important.  The way a serf—er, I mean, a grad student—gets a job is that the nobles—I mean professors—talk to each other and figure out who gets what job.  Of course this is what happens even in “individualistic” fields like mathematics, but the political aspect assumes much greater importance in fields where you can’t assess how strong someone is just by looking at publications but must work with them for a while, or ask someone who has worked with them for a while., When politics becomes this important, it becomes hard for someone who doesn’t come from a famous school, or who simply didn’t get along with his or her advisor, to break through the “old boy network” on merit alone., I don’t think that the fact that a massive Wiki collaboration stores all the information in a publicly accessible database helps as much as you might think at first.  Who has the time or inclination to dig through such a chaotic mass of information to extract the Truth?  Besides, there’s always the chance that something that seems clear from an examination of the Wiki will in fact be seen to be way off the mark by someone who knows the full story of what happened, including offline events that were not recorded.  The glut of information on a Wiki may in fact drive people making hiring decisions to rely *more* on the grapevine than on the written record., By the way, I don’t know if anyone has mentioned “The Bourbaki Gambit” by Carl Djerassi.  It is a fictional work but it is a fascinating exploration of some of the benefits as well as the pitfalls associated with collaborating under a pseudonym.  Djerassi is both an excellent scientist and an excellent writer.</t>
  </si>
  <si>
    <t>C1726</t>
  </si>
  <si>
    <t>prove me wrong</t>
  </si>
  <si>
    <t>not in a contentious way, but in a please challenge this way</t>
  </si>
  <si>
    <t>(52) Something that might help me out — could someone produce a counterexample where the greedy algorithm I outlined above in (42) *doesn’t* work?</t>
  </si>
  <si>
    <t>C1727</t>
  </si>
  <si>
    <t>related results</t>
  </si>
  <si>
    <t>( 53 ).  Hi Boris!  My student Karl Wimmer and I have some recent results about obstructions to pseudorandomness for Kruskal-Katona.  Karl’s still writing them up for his thesis but he’s currently sidetracked with job interviews etc.  , The results say what you might guess: Roughly, if A is a subset of {n choose n/2} with constant density mu, then the density of the upper shadow of A is at least mu + const. log(n)/n… unless A is very noticeably correlated with a single coordinate.  As Terry guesses, it’s “influences”, “hypercontractivity”, “Gil stuff” etc.  , Karl was planning to finish writing it and its applications in Learning Theory within two months.  But if this polymath project veers too close I guess we’ll have to try to “rush to print” 🙂  I currently don’t see connections to the analogous Sperner problem; however I’ve only thought about it for like 5 minutes…</t>
  </si>
  <si>
    <t>C1728</t>
  </si>
  <si>
    <t>Mark Betnel</t>
  </si>
  <si>
    <t>intrigued bystander</t>
  </si>
  <si>
    <t>I’m trying to follow this even though I don’t understand the problem — the experiment is _awesome_.  I hope that you will write some kind of analysis/review of the method and its evolution for a general audience — I can’t wait to try something similar in physics!</t>
  </si>
  <si>
    <t>C1729</t>
  </si>
  <si>
    <t>sub problem</t>
  </si>
  <si>
    <t>(54) Tim Austin had a small comment which may be a clue of some sort: the ergodic theory proof of DHJ is heavily reliant on the ordering of the index set n, even though the conclusion of DHJ is of course invariant under permutations of the index set.  (For instance, it is convenient to divide n into n-r and r for some moderately large r, and re-interpret subsets of  instead as a family of subsets of , indexed by elements of .) The standard proof of the colouring HJ theorem also has this sort of feature, in that one must arbitrarily order n, or at least partition it into components, in some fashion.  So one may have to “break symmetry” here and not rely on a purely graph-theoretic argument.</t>
  </si>
  <si>
    <t>C1730</t>
  </si>
  <si>
    <t>teaser remark</t>
  </si>
  <si>
    <t>more to come later (thus a teaser)</t>
  </si>
  <si>
    <t>55. I’ve been busy this evening and am about to go to bed, so only time for a quick remark at this stage, which again may be implicit in previous remarks. Let me call a set of the form  a triangular grid of sidelength . The remark is that by means of an averaging argument, there is no problem in finding a triangular grid of sidelength , say, such that for every element of the grid all of  is close to , and such that a positive proportion of the sets  are rich in elements of . If we restrict to such a set, then we can hope for a Varnavides-type theorem because now a typical combinatorial line will have the same typical size of variable set as the sidelength of a typical equilateral triangle in the grid. In other words, in this set we no longer have the problem that the natural weights differ from the natural weights for corners. I’ll try to make this point more precisely tomorrow.</t>
  </si>
  <si>
    <t>C1732</t>
  </si>
  <si>
    <t>reporting on failed attempts</t>
  </si>
  <si>
    <t>Sperners &amp; Varnavides &amp; why it doesn't seem to work</t>
  </si>
  <si>
    <t>56.  I thought it might also be worth reporting here on some things I tried that don’t seem to work, though perhaps I am missing something., Firstly, I tried improving the lower bound we now have on  by not taking the global statistics a, b, c of 1s, 2s, and 3s (and their resulting sets , but instead partitioning n into subsets, using the local statistics for each subsets to create local versions of the ‘s, and then somehow gluing it all back together again.  This failed to improve upon what we already have, and I think the reason is while the global  have no combinatorial lines, the same is not true of their local analogues (unless one takes a Cartesian product of several local ‘s, but this seems to be rather lossy.)  Indeed, I still don’t know of any good example of a really large set with no combinatorial lines that isn’t somehow built out of the ‘s., The other thing I toyed with was trying to use the machinery of shifting and compression (in the spirit of Frankl, or Bollobas-Leader, or one of my papers with Ben Green) to try to get good answers to the k=2 problems (e.g. finding a good “robust” version of Sperner’s theorem, e.g. a Varnavides version).  But this seems not to work too well.  The problem seems to be that the extremisers for Sperner’s theorem don’t look much like downsets (they seem to be more like the boundary of a downset, though I don’t see how to exploit this).  In any event, these techniques are quite specific to k=2 and would be unlikely to shed much light on k=3 except perhaps by analogy.</t>
  </si>
  <si>
    <t>C1733</t>
  </si>
  <si>
    <t>monologue - with how did we end up here? uncareful</t>
  </si>
  <si>
    <t>( 57 ).  On the topic of more analytic proofs of Sperner:  I think I now see why Boris mentioned Kruskal-Katona in the same breath as Sperner.  Let me try to sketch the connection I see.  I’m sure it’s well known., Let  be odd for simplicity and write  for the set of strings in  with exactly  ‘s.  Let .  , Let  denote  and let  denote ‘s density within .  , One particular thing Sperner tells us is that if  then  contains a “combinatorial line” (because the overall density of  is at least that of ‘s density within ). I.e., there is  such that ., Here is a way to see that with Kruskal-Katona:  K-K implies that the upper-shadow  of  has density at least  within .  Now together  and  have density exceeding  within , hence they overlap., —, Indeed, I think you can get most of Sperner out of extending this argument.  Let me be uncareful.  Suppose that ‘s overall density exceeds that of  within .  As an example, perhaps  has  of the strings in ,  of the strings in  and  of the strings in .  Now K-K implies that ‘s upper shadow is also at least  of .  And the upper shaddow of that is at least  (basically) of .  Etc.  When you get up to , you either get a collision and are done, or you have at least  of .  Then you get at least  of , and then you have  of  and you get a collision and are done., —, The reason I kind of like this proof is that there is an “analytic” proof of Kruskal-Katona that seems amenable to “robustification”., Although to be honest, I can’t quite remember how we got talking about this subject just now…</t>
  </si>
  <si>
    <t>C1734</t>
  </si>
  <si>
    <t>C1710, C1733</t>
  </si>
  <si>
    <t>explain prior; "pushing shadows towards the center"</t>
  </si>
  <si>
    <t>(58) The reason I mentioned Kruskal-Katona is that Sperner’s original proof of Sperner’s theorem involved pushing shadows towards the center level like Ryan indicated. He used simple double-counting argument, of which Kruskal-Katona is the modern descendant., The point of the example I gave is to show that even if the shadow grows by only 1+o(1), it does not imply correlation with a single coordinate or even a small set of them., The version of Kruskal-Katona qualitatively similar to what Karl Wimmer and Ryan proved was proved recently by Peter Keevash http://arxiv.org/abs/0806.2023</t>
  </si>
  <si>
    <t>C1737</t>
  </si>
  <si>
    <t>titles &amp;/ threaded comments --&gt; way to see the big picture</t>
  </si>
  <si>
    <t>One thing which struck me as I tried to follow the polymath discussion itself it that it’s practically screaming for ‘threaded comments’, and ‘comment titles’, as at Groklaw.  In the absence of these tools to allow me to focus my attention on those parts of the discussion I can follow, I’m finding it impractical to see the big picture without investing the time required to read and understand every comment.</t>
  </si>
  <si>
    <t>C1738</t>
  </si>
  <si>
    <t>thread titles; TBD if it helps or hurts</t>
  </si>
  <si>
    <t>OK from now on I’m going to attach what one might think of as “thread titles” to various comments. In particular, all new comments of mine will have some kind of thread title, and I hope others will follow suite. This ought to make navigating through the comments easier. , A number of interesting mathematical questions have been thrown up as a result of the discussion. With some of these there might be a case for a new post that briefly explains the question and why it came up, with the expectation that comments about that question would then go with that post. The advantage of that is that it would bring related comments closer together. A potential disadvantage of doing it in general is that the subconversations would become more isolated from each other and it would be harder to discuss connections between them. At this stage it’s not clear to me which of these considerations outweighs the other. (And of course they may not be the only considerations.)</t>
  </si>
  <si>
    <t>C1739</t>
  </si>
  <si>
    <t>Sune Kristian Jakobsen</t>
  </si>
  <si>
    <t>draw attention</t>
  </si>
  <si>
    <t xml:space="preserve">59.
It is possible to show that . Look at the set </t>
  </si>
  <si>
    <t>C1740</t>
  </si>
  <si>
    <t>23, 2</t>
  </si>
  <si>
    <t>within-thread references</t>
  </si>
  <si>
    <t>coalesce</t>
  </si>
  <si>
    <t>combine posts</t>
  </si>
  <si>
    <t xml:space="preserve">connecting Jozsef's alternative problem (comment 2) with dHJ </t>
  </si>
  <si>
    <t>60.  Thread title:  Jozsef’s alternative problem., I’m going to start by adding a few small thoughts on things I was writing about yesterday, and after that I’ll read more carefully the recent batch of comments and see if I have any reactions to them. Yesterday (comment 23) I suggested the following variant of Jozsef’s alternative problem (comment 2). Suppose  is a dense subset of the set of all pairs  of subsets of . Can you find three disjoint sets ,  and  such that ,  and  all belong to ? , This question can’t have grabbed people’s attention much, since the answer is a trivial no.  Just let  be the set of all pairs  such that . That’s definitely almost all pairs., However, can we make a sensible question out of this? A sensible question would be some density-type condition on  that would guarantee a triple of the given kind. An obvious candidate would be to insist from the start that  is a set of disjoint pairs of sets. Note that there are  of these, since each element can choose whether to go into ,  or neither. , Just for fun, let’s represent each pair  of disjoint sets as a sequence of 1s, 2s and 3s. Then a configuration of the desired kind is … a combinatorial line., So this rather nice new question was in fact the question we started with. But at least this thought process clarifies the relationship between Jozsef’s problem and density Hales-Jewett.</t>
  </si>
  <si>
    <t>C1741</t>
  </si>
  <si>
    <t>Beginner</t>
  </si>
  <si>
    <t>alphabetic order of authors</t>
  </si>
  <si>
    <t>Usually, in mathematics,  the authors order of the paper is alphabetic. I do not understand it. However, I do not think that is a good way.I have talked with one of the authors of some papers. I find that some author do not really understand their paper, even he is the first author. Sometime, he will say “you can ask *****”. Unfortunately, I always meet this case. I even know somebody who have big prize but she does not really know her paper for this prize, which makes me confuse. Can I trust paper? Can I trust prize? What can I trust???? I think that it is good way for changing the author orders, which is only related with the contribution to the paper. Or, make a comments to show the contribution of every author.</t>
  </si>
  <si>
    <t>C1742</t>
  </si>
  <si>
    <t xml:space="preserve">you at different time slices is two different yous; simultaneous discovery in ZCP </t>
  </si>
  <si>
    <t>A small remark about the previous comment: there are numerous examples of singly authored papers where the author (after a suitable time lag) doesn’t really understand the paper. There’s even a famous example (the details of which I’m afraid I’ve forgotten) of a result that was independently proved by three people of whom two were different time slices of the same person. So one should be very careful about drawing any conclusions from conversations of the kind you describe.</t>
  </si>
  <si>
    <t>C1743</t>
  </si>
  <si>
    <t>C1730, dyer post-38</t>
  </si>
  <si>
    <t>summarize thread(s)</t>
  </si>
  <si>
    <t>Varnavides up to now</t>
  </si>
  <si>
    <t>61. Thread title: Varnavides.  (This is the thread devoted to thinking about how to find a suitable statement that says that a dense set doesn’t just contain one combinatorial line but contains “a dense subset of all possible combinatorial lines”. The problem is that the most natural interpretation of this is false. See Jason Dyer’s comment just after 38 for numbers of other comments that belong to this thread.), I want to continue with what I was talking about in 55. At the moment I am in the happy state of not knowing why we are not already done. Of course, I don’t for a moment think that we are done, but being in this position is always nice because you know that by the time you see properly why you aren’t done you are guaranteed to understand the problem better. , The grounds for this unrealistic optimism are that we now seem to have an easy solution to the Varnavides problem. Just to recap, the problem is that one would expect any triangle-removal argument to lead not just to the conclusion that a dense set contains one combinatorial line, but to the conclusion that the number of combinatorial lines it contains is within a constant of the trivial maximum (which is what you get when your set has density 1). , To recap further, this statement is false for density Hales-Jewett, because you can take as your set the set of all sequences  that take each value roughly  times.
Standard probabilistic arguments show that almost all sequences have this form, but the size of the set of variable coordinates in any combinatorial line in this set is very small, and this can be used to show that the set of combinatorial lines has cardinality far smaller than . (This is the number of combinatorial lines, because each point chooses whether to be 1, 2, 3 or variable.), Let’s regard this as a Varnavides-summary comment. I’ll continue this line of thinking in my next comment.</t>
  </si>
  <si>
    <t>C1744</t>
  </si>
  <si>
    <t>C1730,39,40</t>
  </si>
  <si>
    <t>monologue; Varnavides continuation</t>
  </si>
  <si>
    <t>62. Thread title: Varnavides., A problem we were grappling with yesterday was how to put a natural measure on the set of combinatorial lines in such a way that the variable sets were forced to be small. Here is a proposal for a solution to that problem. I’ve already hinted at it in 55, and I think Terry may have had it in the back of his mind at around 39 and 40. Briefly, the suggestion is to restrict to a  large triangular grid of slices . Let me elaborate on what I mean by this., First, a slice is a set of the form , where that is the set of all  with  1s,  2s and  3s. (There’s redundancy in the notation, since , but the symmetry more than makes up for it.), Secondly, a triangular grid is a subset  of the set  of the form  for some choice of  such that  and . Triangular grids are just translates of  that live inside . (It would be possible also to consider dilated triangular grids where you look at points of the form  for some fixed , but at the moment I have no need of these.), A triangular grid of slices is then just a collection of slices indexed by a triangular grid., Again, I think it makes sense to stop this comment here and continue in a new comment.</t>
  </si>
  <si>
    <t>C1745</t>
  </si>
  <si>
    <t>why do they forget their paper?</t>
  </si>
  <si>
    <t>Thanks for Gowers’s comments. I really understand that the author may forget his paper after a long time. However, I talk with some authors just for the very recently papers……… Maybe, the case  I meeting is a little special. Anyway, as a begginer, I do not understand why the authors order is alphabetic in mathematics.</t>
  </si>
  <si>
    <t>C1746</t>
  </si>
  <si>
    <t>make a claim</t>
  </si>
  <si>
    <t>Varnavides continuation</t>
  </si>
  <si>
    <t>63. Thread title: Varnavides., Now I make the following claim. Suppose we choose a random point in  as follows. First we choose a random element of , where the probability of choosing  is . (Equivalently, we choose a random element of  and let  be the number of 1s, 2s and 3s.) Next, we choose a random element  of , this time from the uniform distribution. Finally, we choose a random element of the slice . The claim is that the resulting probability distribution on  is very close to uniform. (By this I mean that any event in one distribution has a probability that’s within a very small additive constant of the probability according to the other distribution.) The reason for this is that when  are all smaller than  and  are all around  (as they almost always are), then the ratio of  to  is very close to 1., An averaging argument tells us that there must exist  close to  such that a positive proportion of points in the triangular grid of slices indexed by  belong to . So instead of looking at density Hales-Jewett in all of  we can try to prove that if  is a dense subset of a big triangular grid of slices, then  contains a combinatorial line. In my next comment I’ll try to say why I think this is a good thing to do.</t>
  </si>
  <si>
    <t>C1747</t>
  </si>
  <si>
    <t>64. Thread title: Varnavides., Note that if we restrict to a large triangular grid of slices in this way, then we have various convenient properties. For example, all the points in all the slices have about  each of 1s, 2s and 3s. And any combinatorial line has a variable set of size at most . I’d like to claim now that a Varnavides-type theorem applies to large triangular grids: that is, if you have a dense subset of a large triangular grid of slices, then not only do you get a combinatorial line, but you even get within a constant of the total number of combinatorial lines in the entire grid. The idea here, by the way, is not (yet) to try to prove this theorem directly, but just to check that it is true by showing that it follows from density Hales-Jewett., Here’s how density Hales-Jewett can be applied. Let’s assume that  is a dense subset of the triangular grid of slices indexed by , where  belongs to . Suppose that  is a fixed constant chosen to be large enough that every subset of  of size at least  contains a combinatorial line. Now for every , which means almost every  since we’re assuming that  is much much larger than , let us randomly choose  places to put a 1,  places to put a 2 and  places to put a 3. That leaves  places unfilled. The set of ways of filling those places is a copy of , so if it contains at least  points from , then it contains a Hales-Jewett line. , An averaging argument shows that that happens with …, OK, I’m sorry to say that I do after all need to consider dilated triangular grids. Since that is the case, I’m going to abandon this attempt to be precise, for now at least, and simply say in the next comment what I think should happen. Then maybe others will tell me that they’re not convinced, or that they are convinced, and perhaps we can zero in on something.</t>
  </si>
  <si>
    <t>C1749</t>
  </si>
  <si>
    <t>Boris Keevash paper</t>
  </si>
  <si>
    <t>question - assume external knowledge (like pivot)</t>
  </si>
  <si>
    <t>65.  If there’s a “Sperner” thread I guess this would be it.  , Boris, thanks for the reference to the Keevash paper.  While you’re handing out references :)…  I guess it would be relevant to ask, Is there a Sperner’s Theorem known for different product distributions on ?  , In the case relevant to us:  What is the densest antichain in  under the -biased product distribution?, This must be known…</t>
  </si>
  <si>
    <t>C1752</t>
  </si>
  <si>
    <t>66. Thread title: Varnavides., All I was really trying to get at in 63 was this. Choose a random translate and dilate of the triangular grid  in such a way that it is a subset of . If you make the dilates you look at all have width at most  for some smallish , then nearly all aligned equilateral triangles in  will be included in one of these copies of  about the same number of times., Now let  be a dilate and translate of , where the constant of dilation is . One can randomly choose a copy  of  inside  in such a way that the numbers of 1s, 2s and 3s is given by points in  is given by points in . To do this, suppose that . Randomly fix  coordinates to be 1,  coordinates to be 2,  coordinates to be 3, and randomly partition the rest of  into  sets , each of size . Then our random copy  consists of all sequences that are constant on each  and take the given fixed values outside the . , My claim is that a simple averaging argument should show that if a positive proportion of these  contain a Hales-Jewett line (as I claim they will if  has density ) then the number of Hales-Jewett lines in  is within a constant of the trivial maximum. I’m going to leave this for now as I feel that to do it properly I’d have to go away and write something down, and I’m not allowing myself to do that.</t>
  </si>
  <si>
    <t>C1753</t>
  </si>
  <si>
    <t xml:space="preserve">C1747? </t>
  </si>
  <si>
    <t>monologue; triangle removal (I think this is Jozsef's alternative problem?); he will think in the next comment &lt;-- TAP</t>
  </si>
  <si>
    <t>67. Possible thread title: triangle removal., Actually, I was trying to prove a Varnavides-type result not because we need it but because it was a sort of reality check: if we can’t get such a result then it is unlikely that triangle removal will work. But since I’m now fairly confident that we can get such a result, I want to see what happens if one just goes ahead and tries to apply some kind of triangle-removal lemma in the case where  is a dense subset of a large triangular grid of slices. , So let’s fix notation again. I’m going to suppose that  is a dense subset of the union of all slices , where  is some fixed element of  and  ranges over . Also, I’m assuming that  are all around  so that all slices have about the same size. , Now I want to apply the trick from comments N and P. So what is the graph now? Instead of taking  to be the full power set of  I want to take just those sets that could conceivably occur as the set of 1s in a sequence in . And that’s all sets of size , where . Similarly,  consists of all sets of size between  and , and  consists of all sets of size between  and . The edges are as before: I join  to  if the sequence that’s 1 on  and 2 on  and 3 everywhere else belongs to . And similarly for the other two bipartite graphs. And clearly a non-degenerate triangle in this graph gives rise to a combinatorial line. , I’ll think about the implications of this in my next comment.</t>
  </si>
  <si>
    <t>C1754</t>
  </si>
  <si>
    <t>TAP, monologue: continue claim</t>
  </si>
  <si>
    <t>68. Thread title: triangle removal., I didn’t mention it explicitly, but of course a necessary condition for joining  to  is still that  and  should be disjoint. So the first reason that we are not yet done is that the graphs are still very sparse, since two random sets of size  have a tiny probability of being disjoint. So the question is, has anything been gained by restricting attention to a large triangular grid of slices? Something’s been gained from the Varnavides point of view, I think, but has anything been gained from the triangle-removal point of view? That’s what I’m asking., At the moment it feels, rather disappointingly, as though nothing has been gained. It’s still the case that the graph where you join two sets if they are disjoint is importantly non-quasirandom, since the remark made in comment LL carries over to this context too. , I would hazard a guess that there are two morals to draw from this., (i) It may still be quite convenient to restrict to a triangular grid of slices, in order to make certain distributions uniform., (ii) We are probably forced to consider obstructions to uniformity., In fact, there’s a different way of justifying (ii). At some point, if a triangle-removal argument is going to work, we will have to prove a statement to the effect that if you have three bipartite graphs that are all “regular” and “dense”, then they must give rise to lots of triangles. In the normal dense-graphs case, “regular” just means quasirandom, and it even suffices for just one of the three bipartite graphs to be regular, provided there are plenty of vertices in the third set with high degree in both of the first two sets., In our case, there is a one-to-one correspondence between edges of one of the bipartite graphs and points in . So this suggests that at some point we are going to have to understand what a “regular” or “quasirandom” subset of  is like. To be continued in the next comment.</t>
  </si>
  <si>
    <t>C1755</t>
  </si>
  <si>
    <t>monologue &amp; defined; obstruction to uniformity = simple reason</t>
  </si>
  <si>
    <t>69. Thread title: obstructions to uniformity., What does it mean to “understand what a quasirandom subset of  is like? For those who don’t find the answer obvious, here’s an attempt to explain., (i) We are looking for a definition of quasirandomness., (ii) Experience with other problems suggests that this definition should have the following property: if  is a dense quasirandom subset of  and  is an arbitrary dense subset of , then there is a combinatorial line  with ,  and . Indeed, one should have not just one such combinatorial line but a dense set of such combinatorial lines. (Here is a place where having a Varnavides-type statement is actually a big help and not just a mere reassurance.), (iii) Experience with other problems also suggests that if  does not have the property in (ii) then there will be some simple reason for it. An example of such a reason is that  might be 1 for every . (This would fail to have the property in (ii) because we could take  to be the set of all sequences with .), (iv) If one can think of all possible “simple reasons” of the kind discussed in (iii), then it is often possible to pass to substructures or partitions of the ground set and obtain density or energy increases. (If you don’t know what this means, it’s not too important at this stage. The main point is that if you can do (iii) then there are standard techniques for using what you’ve done. In many other contexts, once you’ve got (iii) the problem is basically solved.), In the next comment, I’m going to write down all the obstructions to uniformity that I can think of. (An obstruction to uniformity is basically what I called a “simple reason” in (iii).)</t>
  </si>
  <si>
    <t>C1756</t>
  </si>
  <si>
    <t>Matthew Emerton</t>
  </si>
  <si>
    <t>Beginner - listing alphabetically</t>
  </si>
  <si>
    <t>why alphabetical author listing</t>
  </si>
  <si>
    <t>Dear Beginner,, There are several reasons (that I can think of) for the convention of listing the
authors alphabetically, all of which I think have a lot of merit.  Here are two:, (1) When approaching a mathematical problem, it is often not clear at the beginning
which approach will work and which will not, or which subproblems will ultimately
be important and which will be tangential.  So the division of labour in a collaboration,
and the amount of work that collaborators put into their part of the joint project,
will not always be reflected in their respective contributions to the final paper.  (It
might be that one collaborator works very hard on an approach which later turns
out not to work, or to be subsumed by a different approach.)   , There are lots of variants on this point, all of which go to explaining why the
division of effort in the collaboration may not always precisely match the division
of contributions to the final paper.  , Since it is hard to predict how such things will go (it is often just a matter
of luck), an alphabetical listing of authors is simpler and fairer than an
after-the-fact analysis of who contributed what to the final paper, and in
what proportion., (2)  Often in collaborations, people at different levels in the academic
hierarchy are working together.  I’ve always found it pleasantly democratic
that the authors’ names will simply be listed alphabetically, rather than
(e.g.) the senior author’s name always coming first.  (My understanding
is that this is not the case in all other fields, and I find the convention in
mathematics fairer, and more protective of beginning researchers.), Also, one should bear in mind that in a collaboration in which authors
have different areas of expertise, it is not unreasonable for one author
to defer to the expertise of their collaborator in the area in which the
collaborator works.  After all, one reason for collaborating is to bring
together people with different areas of expertise.  , Finally, echoing Tim’s remark above, I would hesitate to draw conclusions
about a person’s understanding of their own (or other’s) papers from
casual comments.  The level of focus and understanding that someone
can bring to the internal dialogue of their own mind, or to their dialogue
with a close collaborator, is frequently of a totally different order
of magnitude to the one they might bring to a casual conversation in the
tea room., Some mathematician’s are always “on”, and ready and able to explain
their (or other’s) work at any and all times, but I would guess that those
individuals are more the exception than the rule.</t>
  </si>
  <si>
    <t>C1757</t>
  </si>
  <si>
    <t>monologue; a place to contribute for beginners</t>
  </si>
  <si>
    <t>70. Thread title: obstructions to uniformity., Before I start this comment, I want to make a metacomment. If you are reading this and are not familiar with the kinds of techniques people are throwing around, and therefore feel you can’t really contribute, here is a place where you don’t necessarily need to know anything to contribute: we have a simply stated question, which may have a simple answer. (The question will be of the form, “Here are all the Xs I can think of off the top of my head. Can anyone think of any more?”), For the purposes of this comment, I’ll define a set  of density  to be uniform if for every set  of density  the number of combinatorial lines  is approximately  times the number of combinatorial lines in . Similar definitions apply if we restrict to a triple of slices or a triangular grid of slices., Obstruction 1. In any combinatorial line, a coordinate must either take all three values or just one. Therefore, a set  is not uniform unless the number of sequences  in  such that  is roughly  for every  and . To prove this seems to be not quite trivial. An obvious set  to consider is to take  such that the number of points with  is significantly less than  and let  be the set of all sequences  such that . Then the only points in  that can make lines with  are ones with . Therefore, if we get the right number of combinatorial lines in , then we can drop to the subset  that consists of those points only and we find that we get more combinatorial lines than we would expect (given the densities of the restrictions of  and  to ). I think one can mess around with this information and obtain a set  that proves that  is not uniform., Given that that was slightly tricky (it might be nice to do it properly though), I’ll restrict attention for now to what I might call  strong  obstructions to uniformity. I’ll call a set  strongly non-uniform  if I can find a dense set  such that there are  no  combinatorial lines  with ,  and . So finding more strong obstructions really is a genuinely elementary problem (in the sense of not needing special knowledge)., Having come to this decision, let me start again in a new comment.</t>
  </si>
  <si>
    <t>C1758</t>
  </si>
  <si>
    <t>C1710 perhaps</t>
  </si>
  <si>
    <t xml:space="preserve">monologue; can anyone find more </t>
  </si>
  <si>
    <t>71. Thread title: obstructions to uniformity., Strong obstruction 1. If there exist  and  such that  for every  in , then  is strongly non-uniform. Proof: let  and let  be the set of all sequences such that . You can’t have a combinatorial line in which the th coordinate is  once and  twice., Strong obstruction 2. If there is a positive integer  such that for every  the number of 1s, 2s and 3s in  is always the same mod , then  is strongly non-uniform. Proof: If  and  belong to a combinatorial line and have the same number of 1s, 2s and 3s mod , then the size of the variable set must be a multiple of . Therefore, we can choose  to be a set where the sequences again have fixed numbers of 1s, 2s and 3s mod , but different numbers from those of ., Strong obstruction 3. This generalizes the previous example. Suppose that for every  we know that the number of 1s belongs to a set  of residues mod , the number of 2s belongs to a set , and the number of 3s belongs to a set . Now let  be sets of residues mod , and let  be the set of all sequences with the number of 1s in  etc. If  and  are points of  that belong to a combinatorial line, then let’s suppose that to get from  to  you change some 2s to 3s. This tells us that the size of the variable set belongs to  mod . This in turn tells us that the number of 1s in the third point of the line belongs to  mod . So if  is disjoint from any set of the form , then  is strongly non-uniform. And similarly for the other variables. Of course, if  doesn’t consist of all residues, then one might say that we could take  to be singletons. But that’s true only if  is small, since otherwise  is not dense. This example works even when  is large — it can tend to infinity with . (An example might be when we insist that for all sequences the numbers of 1s, 2s and 3s is between  and  mod  for some small constant .), Strong obstruction 4. One can generalize further by passing to  a subset. That is, instead of looking at the numbers of 1s, 2s and 3s in the whole sequence, one just looks at the numbers of 1s, 2s and 3s in some specified set  of coordinates. The proof is more or less the same., I haven’t tried hugely hard to find more obstructions. Does anyone know of any? Does Boris’s comment 44 have any implications here?</t>
  </si>
  <si>
    <t>C1759</t>
  </si>
  <si>
    <t>C1744, C1744, C1755, C1749</t>
  </si>
  <si>
    <t>72. Regarding the definition of triangular grid in #62 at 1:47 pm, to make sure I understood it properly, should it say  instead of ? ,  Thanks — I’ve changed it now. , Regarding the obstructions to the uniformity mentioned in #69 3:54 pm, doesn’t it follow from discussion about Varnavides that to talk about pseudorandom sets we want our sets to be dense subsets in a suitable union of  that live near the middle of the lattice?, Answer to Ryan’s question from #65 at 2:48 pm: I can’t think of a reference for the result you want, but it follows from LYM inequality that the level of largest weight is the largest antichain.</t>
  </si>
  <si>
    <t>C1761</t>
  </si>
  <si>
    <t>multi-voice</t>
  </si>
  <si>
    <t>*key point, this is a monologue continuing but *not* by the original speaker; monologue; multi-voice</t>
  </si>
  <si>
    <t xml:space="preserve">73. One can generalize obstructions from #71 at 4:49 pm further: instead of counting number of 1’s 2’s and 3′, weight individual coordinates by small integer weights. Passing to a subset is a special case of that when some weights are zero.,  Not sure what was going wrong, but I’ve deleted the other two copies of this comment.  </t>
  </si>
  <si>
    <t>C1763</t>
  </si>
  <si>
    <t>Bogdan</t>
  </si>
  <si>
    <t>This is a great idea! I was trying to find something like this for a long time., Do you think CC-By +/- SA would do as a license for this work?
Someone asked who would be in charge of publishing the results. My answer would be another question: Who is in charge of publishing hard cover books of Wikipedia articles?</t>
  </si>
  <si>
    <t>C1764</t>
  </si>
  <si>
    <t>monologue; multi-voice</t>
  </si>
  <si>
    <t>74. Thread title: obstructions to uniformity., In answer to Boris’s question (72, second paragraph), I agree that it looks as if any definition of pseudorandomness will have to restrict attention to something like a triangular grid of slices near the middle. But I was hoping that we could do things in two stages. Stage 1 would be to find strong obstructions to uniformity. Then in stage 2 one would weaken the definition back to what I first had: instead of getting no combinatorial lines in  one just asks for a number that differs from what you would expect for a random . At that point, one would have to ask, “What do we expect from a random ?” and then it would become important to restrict to a triangular grid or some such structure.</t>
  </si>
  <si>
    <t>C1767</t>
  </si>
  <si>
    <t>75. Thread title: obstructions to uniformity., Let me check that I understand Boris’s comment 73. The idea is to pick an integer  and a sequence of integers , and to let  be the set of all sequences  such that  belongs to a specified set  of residues. , Now choose  to be the set of all sequences  such that  mod . Then if ,  and  all lie in a combinatorial line, and  and  belong to , then the characteristic function  of the set of variable coordinates (or wildcards, as some are calling them) has the property that $\sum_{i\in D}r_i$ belongs to  mod . It follows that . So if we can find a dense set  of residues mod  such that  then  is strongly nonuniform., That neatly covers a lot of examples. Can anyone think of any more? Or what about heuristic arguments that these are the only examples? (At the moment, my guess is that there are further examples waiting to be discovered.)</t>
  </si>
  <si>
    <t>C1768</t>
  </si>
  <si>
    <t>toomuchcoffeeman</t>
  </si>
  <si>
    <t>Tim, Matthew</t>
  </si>
  <si>
    <t>compare to teaching</t>
  </si>
  <si>
    <t>delurk</t>
  </si>
  <si>
    <t>delurking (laugh); good that going first doesn't mean I know more</t>
  </si>
  <si>
    <t>Delurking just to add to Tim and Matthew’s remarks: explaining what you’ve done is a lot harder than doing it, in my personal view. This is why teachers have to learn, whether by themselves or institutionally, how to teach, not just what to teach., Oh, and I think that as an accepted convention across a broad spectrum of mathematics articles, alphabetical order of authors is excellent. My name appears at the front of all joint work to date, and it’s good to know that the intended audience will attach precisely *no* weight to that fact whatsoever 😉</t>
  </si>
  <si>
    <t>C1769</t>
  </si>
  <si>
    <t>76. Thread title: obstructions to uniformity., I think I’ve got a further generalization of 75. Just replace the group of integers mod  by an arbitrary finite Abelian group . So now  are elements of , and  and  are dense subsets of . Then repeat exactly what I wrote in 75 except that “residues” or “residues mod ” should be replaced by “elements of “.</t>
  </si>
  <si>
    <t>C1770</t>
  </si>
  <si>
    <t>C1733, 21, 20, 38</t>
  </si>
  <si>
    <t>77.  Thread title: Is triangle removal still necessary?, Greetings again from the Pacific Standard Time zone!, I had one thought about the bigger picture.  The initial reasoning in the main post goes like this:, 1.  The standard proof of the corners theorem uses the triangle removal lemma.
2.  The DHJ theorem generalises the corners theorem.
3.  Hence, it is natural to look for a proof of DHJ that uses (some generalisation of) the triangle removal lemma., But, now that we have used the corners theorem in our arguments (to locate a triple  of rich tuples), the above logic loses quite a bit of its force.  Indeed, if we look at the standard way in which the corners theorem is embedded in the DHJ theorem, by representing a set  as the set , we can see that any new proof of DHJ we have will not give any new proof of the corners theorem for a given dense set A, since we will need to use the corners theorem for precisely that set A in order to get the rich triples.  So there is no a priori reason for the rest of the proof to involve a triangle removal argument at all.  (Of course, triangle removal is still implicitly used in the invocation of the corners theorem.), (Note that the sketch of Sperner via Kruskal-Katona in Ryan.57 has this flavour: one uses things like the pair removal theorem from Gowers.21 to locate a rich pair , and then uses completely different arguments from then on.), There is however one caveat that seems to suggest that either some vestige of triangle-removal still remains in the rest of the argument, or else some preliminary regularisation is needed.  The reason for this is that there are other ways to embed the corners problem into the DHJ problem  For instance, one can embed a corner-free set  into a combinatorial line-free set .  The richness profile  of this set is essentially A+A, and thus much more likely to contain corners than the original set A.  So if we were to somehow prove DHJ on a rich triple without any further triangle removal, this would imply a “nearly-triangle-removal-lemma-free” proof of the corners theorem of A, reducing it to the substantially simpler-looking problem of finding corners in A+A., But if we could find some way to “detect” this sort of “product structure” in the set , and pass to an appropriate sub-index set of n in order to isolate a more “essential” component of this set, such as , then this objection may disappear.  This of course ties in with the obstructions-to-uniformity thread, and also with the counterexamples mentioned in Gowers.20, Gowers.38, and the “hereditary richness” idea I proposed in Terry.40, and maybe also the stationarity in Terry.4, Austin.16., A serious difficulty, though, would be if there are many other ways to embed corners into DHJ that are not easily “detectable” by inspecting things like the richness profile of the embedded set with respect to various index sets.  If there are an enormous number of such embeddings then it seems unlikely that we can eradicate triangle removal completely from the remainder of our arguments.</t>
  </si>
  <si>
    <t>C1771</t>
  </si>
  <si>
    <t>78. Thread title:  for small n, @Sune.59: The lower bound  you have compares pretty well with the upper bound .  It may be possible to shave the upper bound down a notch, by trying to figure out what the extremal subsets of  are that have 18 elements but no combinatorial lines.  Any 54-element subset of  with no combinatorial lines must be extremal on every three-dimensional slice, which looks unlikely if there are few extremals.</t>
  </si>
  <si>
    <t>C1772</t>
  </si>
  <si>
    <t>the question isn't good yet (twice, again when this column was hidden)</t>
  </si>
  <si>
    <t>79. Thread title: Sperner, As will be obvious to many people, given some of the discussion, the question I asked in 28 is not yet a good one. Indeed, if we take both  and  to be the set of all sets of size between  and , then there will be far fewer than  disjoint pairs, but it will be very hard to remove all disjoint pairs., However, in the light of the Varnavides discussion, there is a natural way of rescuing the question. No time to check whether the result is sensible. Let’s just restrict attention to sets of size between  and  for some fairly small . If  and  are two subsets of this “middle part” of the power set of  such that the number of disjoint pairs  with  and  is far smaller than the number of disjoint pairs of sets of sizes between  and , does it follow that we can remove a small number of sets from  and end up with no disjoint pairs?</t>
  </si>
  <si>
    <t>C1773</t>
  </si>
  <si>
    <t>80.  Thread title: Sperner, Actually, one might as well just restrict to single layers rather than a whole cluster of layers around . Choose  slightly less than , say, and make  and  consist of subsets of the set of sets of size .</t>
  </si>
  <si>
    <t>C1774</t>
  </si>
  <si>
    <t>referring to a different post &amp; what that would imply &lt;&lt; why coalescence</t>
  </si>
  <si>
    <t>81. I am not sure whether generalization of Gowers #76 at 6:39 pm is truly a generalization since if a set F is nonuniform (as it must be for  to hold), then it correlates with some character. That should imply correlation with some other set for which G=cyclic.</t>
  </si>
  <si>
    <t>C1775</t>
  </si>
  <si>
    <t>C1772,C1773</t>
  </si>
  <si>
    <t>suggested reading</t>
  </si>
  <si>
    <t>82. Re Sperner:, I have to run to class in a second so I can’t say if this is actually be relevant to TimG.79,80, but… , See this paper (and its referencers/referencees) for the theory on structure vs. pseudorandomness for independent sets in Kneser graphs:, http://www.ams.org/mathscinet-getitem?mr=2178966</t>
  </si>
  <si>
    <t>C1776</t>
  </si>
  <si>
    <t>83.  Thread title:  for small n., In comment 40, the set  was introduced.  This set only includes lines  with  and .  So when n=4, we can just exclude (still thinking in ) points  and ., This shows that ., For n=5, we can keep  excluded, and omit the extra 15 points given by any choice of  plugged into each of  .  This is decidedly less elegant than the n=4 case, but we see that, .</t>
  </si>
  <si>
    <t>C1777</t>
  </si>
  <si>
    <t>this is similar to a monologue - follows and continues the previous thread - but feels different because it is working/testing the idea rather than continuing to expound</t>
  </si>
  <si>
    <t>84.  Thread title:  for small n., @Tyler.83: nice!  It seems that just excluding those x for which  already knocks out a significant fraction of combinatorial lines, at least when n is small.  It may be that some secondary set of a similar nature can then be removed to knock out quite a few more lines for medium n (e.g. n = 5-10), at which point the rest can be picked off by ad hoc methods.  This may lead the way to suggest a different asymptotic lower bound than the current Behrend-based lower bound of .  If so, this may provide an excellent set of examples with which to test the upper bound strategies (the Behrend example tends to be rather intractable to compute with in practice)., So it might be worth trying to push the lower bounds for , etc. as best we can, though it’s much less likely now that we will be able to compute these numbers exactly.  (I don’t see the upper bounds budging much from the trivial ,  – after all, density Hales-Jewett is a hard theorem – though I would imagine that one should be able to maybe knock one or two from the upper bound for, say  (after all, every 2-dimensional slice of an extremiser here has to have exactly 6 elements, and there are only three such slices available).)</t>
  </si>
  <si>
    <t>C1778</t>
  </si>
  <si>
    <t>Emmanuel Kowalski</t>
  </si>
  <si>
    <t>value of collaboration</t>
  </si>
  <si>
    <t>what are large collaborations good for?</t>
  </si>
  <si>
    <t>One thing “large collaborations” can be very good for is big foundational projects, in the right conditions. I’m not thinking of Bourbaki here (since the rate of appearance of the Bourbaki volumes was never very fast, and the number of collaborators not that large at any given time) but of the rewriting of algebraic geometry by the Grothendieck school. Although the individual pieces typically appeared under single authorship (with the Dieudonné-Grothendieck EGA’s being almost an exception), it really seems that the whole series of SGA volumes, together with the massive theses of people like Illusie, Raynaud, Berthelot, Giraud, etc,  amount together to a very massive and well-defined project directed by Grothendieck where the amount of discussion and active collaboration was remarkable. (This being before internet and such things, it was very much localized in space, however)., It’s actually not clear to me however if suitable circumstances could arise again to make a similar project workable today…</t>
  </si>
  <si>
    <t>C1779</t>
  </si>
  <si>
    <t>Terry 8</t>
  </si>
  <si>
    <t>give an easy proof of the weaker statement; where is the key step missing?</t>
  </si>
  <si>
    <t>85.  Thread title: A weak form of DHJ, As I mentioned in Terry.8, DHJ is the statement that  as .  This is a hard theorem.  But one can at least give an easy proof of the weaker statement that the trivial bound  must be strict (i.e. ) for infinitely many n, as follows., Suppose that  for all but finitely many n, then there exists an m, and an n much larger than m, such that .  Thus there exists a combinatorial line-free subset A of  with exactly  elements., Now think of  as a whole bunch of parallel copies of , each parameterised by an element from .  As A has exactly  elements and is combinatorial line-free, each m-dimensional slice of A must have exactly  elements.  We can assign each element of  a colour based on exactly what the associated m-dimensional slice of A looks like; there are at most  colours available., Now we use the colouring Hales-Jewett theorem, and conclude that if n is large enough depending on m, there exists a monochromatic line in .  Unwinding all this, we get a combinatorial line in A (note that all the slices of A are non-empty)., Incidentally, an argument like this appears in Szemeredi’s original proof of Szemeredi’s theorem, though of course many many more things need to be done in that proof beyond this simple argument.  A lot of Szemeredi’s argument, by the way, applies to Hales-Jewett, except for a crucial step where he applies what is now known as the Szemeredi regularity lemma.  In the Hales-Jewett setting, the graph that one would wish to apply this lemma to is far too sparse for the strategy to work, it seems.</t>
  </si>
  <si>
    <t>C1781</t>
  </si>
  <si>
    <t>monologue; suggested reading</t>
  </si>
  <si>
    <t>86.  Szemeredi’s proof of Roth’s theorem, While on the subject of Szemeredi’s arguments, Endre also has a simple combinatorial proof of Roth’s theorem (avoiding Fourier analysis or the regularity lemma), instead relying on the Szemeredi cube lemma.  This can for instance be found in Graham-Rothschild-Spencer’s book, or Chapter 10.7 of my book with Van, or in Ernie’s writeup, Click to access szemeredi.pdf, the basic idea is to observe that if a set A in  is dense, then it must contain a high-dimensional cube Q.  If A has no arithmetic progressions, then 2 . Q – A must be essentially disjoint from A.  Expressing the d-dimensional cube Q as the final element of a sequence , where each  is one dimension larger than the preceding , and using the pigeonhole principle, we can find i such that  has roughly the same size as .  We can write  for some step , and we thus see that  is very stable under shifting by , and thus both it and its complement can be partitioned into long arithmetic progressions of step .  Since A is disjoint from , it is squeezed into the other progressions, and on one of these we have a density increment.  Now apply the usual density increment argument and we are done., It’s not clear whether this argument can be adapted to give the corners theorem, let alone the k=3 case of DHJ, but perhaps it should be looked at.</t>
  </si>
  <si>
    <t>C1782</t>
  </si>
  <si>
    <t>Laurens Gunnarsen</t>
  </si>
  <si>
    <t>just amazing quotes; why are professionals afraid of being wrong in public</t>
  </si>
  <si>
    <t>“In mathematics we agree that clear thinking is very important, but fuzzy thinking is just as important as clear thinking.”, — Harish-Chandra, “Discovery is the privilege of the child: the child who has no fear of being once again wrong, of looking like an idiot, of not being serious, of not doing things like everyone else.”,  — Alexander Grothendieck, “Without fantasy one would never become a mathematician.”,  — Marius Sophus Lie, “When a person works, he must have knowledge or he will make terrible mistakes.  But at the same time, knowledge alone doesn’t do anything new.  You must have instinct and somehow be conscious of making use of instinct.  It is an interesting question how to give kids knowledge without having them lose their instinctive power.  If you just keep pounding them with knowledge, most lose their instinct and try to depend on knowledge.”  ,  — Heisuke Hironaka, “One of the reasons we don’t do as well as we should is that we are all over-taught.”,  — Israel Moiseevich Gelfand, Why are mathematicians so reluctant to say anything on the public record which may end up being wrong, foolish, or naive?  Is it really just their fear that the practice might damage their professional reputations?  If so, then it would seem they must be shockingly ignorant of the history of mathematics.  For, again and again, the most successful masters of the art, from Euler to Atiyah, have spoken eloquently of the need to swashbuckle — and they have practiced what they preached, too.  , Just to drive this point home, let me quote a few more examples:, “To discover something in mathematics is to overcome an inhibition and a tradition.  You cannot move forward if you are not subversive.”,  — Laurent Schwartz, “Undoubtedly, the capstone of every mathematical theory is a convincing proof of all its assertions.  Undoubtedly, mathematics inculpates itself when it foregoes convincing proofs.  But the mystery of brilliant productivity will always be the posing of new questions, the anticipation of new theorems that make accessible valuable results and connections.  Without the creation of new viewpoints, without the statement of new aims, mathematics would soon exhaust itself in the rigor of its logical proofs and begin to stagnate as its substance vanishes.  Thus, in a sense, mathematics has been most advanced by those who have distinguished themselves by intuition than by rigorous proofs.”,  — Christian Felix Klein, “What gave me a place among the mathematicians of our day, despite my lack of knowledge and form, was the audacity of my thinking.”,  — Marius Sophus Lie, “If mathematics is to rejuvenate itself and break exciting new ground it will have to allow for the exploration of new ideas and techniques which, in their creative phase, are likely to be as dubious as in some of the great eras of the past.  Perhaps we have high standards of proof to aim at but, in the early stages of new developments, we must be prepared to act in more buccaneering style.”,  — Michael Atiyah, It seems to me far-fetched to suggest that most mathematicians would quarrel with any of these views.  Everyone, I think, knows perfectly well that Euler, Riemann, and Poincare advanced our art tremendously, despite their failure to prove (as we now understand the meaning of that word) a significant fraction of their most influential results.  , Moreover, I doubt very much that any of the following observations will seem at all controversial to the readers of this blog:, “I think that a felicitous but unproved conjecture may be of much more consequence for mathematics than the proof of many a respectable theorem.”, — Atle Selberg, “In the work of the scientist, formulating the problem may be the better part of the discovery, the solution often needs less insight and originality than the formulation.”,  — George Polya, “In fact, mathematics is not just about proving theorems, but it’s about finding imaginative and productive ways to think about broad areas of abstract reason.”  ,  — Curtis McMullen, “Very often in mathematics the crucial problem is to recognize and discover what are the relevant concepts; once this is accomplished the job may be more than half done.”,  — Israel Nathan Herstein, So: with all this “cover” extended to them by the some of the most eminent masters of the art in all its long, rich history, why do so many mathematicians still feel so uneasy about thinking fuzzily in public?  Why is “blue sky” thinking still considered somehow disreputable?  If Sophus Lie attributed his own success as a mathematician to the audacity of his thinking, then why are we all so timid?  , Of course it’s true that some of us — notably, by the way, the proprietor of this very blog, who recently observed that , “Mistakes are an important part of the thought process.  It’s a good research strategy to be a little bit cavalier about the details and go back and check them afterwards.  It speeds up the process of having ideas.”, do in fact continue to stress, publicly and vigorously, the need for a certain wildness of mind in pursuing the art of mathematical investigation.  , But the clear majority of mathematicians still seem very strongly disinclined to let their hair down and swashbuckle in the grand old manner, especially when they know that others can see them.  Despite the urgings and object lessons of their many illustrious forebears, and despite the indisputable value (glory, even) that attaches to success in the project, they just can’t seem to let themselves go.  , Part of the problem, I think, is that swashbuckling is an art, and we don’t really teach it.  Many mathematicians hesitate to swashbuckle in public for the same reasons that they hesitate to dance in public.  But this really just begs the question.  For if we (as a community, anyway) know how to swashbuckle, and if we agree that swashbuckling is a crucially important skill, then the real question is: why don’t we teach it?  , And here I think the answer is that many of the greatest swashbucklers are notoriously inarticulate; their knowledge is what Michael Polanyi would call “tacit.”  It is like the knowledge that native speakers of a language have of its proper use.  Though tremendously rich, various, and reliable, this knowledge does not take the form of detailed linguistic rules, arranged in a clear logical hierarchy, and recasting it into that form is a vast and daunting project.  , (I invite native speakers of English to contemplate composing, based on their own acquaintance with the language, something like Quirk and Greenbaum’s COMPREHENSIVE GRAMMAR OF THE ENGLISH LANGUAGE — a remarkable, and even a humbling, work.)  , This analogy to the tacit knowledge of native speakers, by the way, seems to appeal also to William Thurston, who has noted that , “Studying mathematics one rule at a time is like studying a language by first memorizing the vocabulary and the detailed linguistic rules, then building phrases and sentences, and only afterwards learning to read, write, and converse.  Native speakers of a language are not aware of the linguistic rules: they assimilate the language by focusing on a higher level, and absorbing the rules and patterns subconsciously.  The rules and patterns are much harder for people to learn explicitly than is the language itself.  In fact, the tremendous and so far unsuccessful attempts to teach languages to computers demonstrate that nobody can yet describe a language adequately by precise rules.”, And this, I think, gets us pretty close to the root of the problem.  , For anyone who has studied a foreign language seriously knows that although the first year or two may largely be given over to assimilating explicitly understood patterns (regular verb conjugations, rules for the use of prepositions, etc.) it really isn’t long before much subtler things start to happen.  And in the end, one learns to do many things (correctly!) for which one simply cannot offer an explanation.  The crucial element that makes this possible is immersion in the language, because the native speakers from whom one learns these things do not (indeed, cannot) teach them by explaining them.  , On 22 November 1888, Hermite wrote to Mittag-Leffler to express his frustration with Poincare.  “Poincare shows the way and gives the signs,” said Hermite, “but leaves much to be done to fill the gaps and complete his work.  Picard has often asked him for enlightenment and explanations on very important points in his articles in the Comptes Rendus, without being able to obtain anything except the statement: ‘It is so, it is like that,’ so that he seems like a seer to whom truths appear in a bright light, but mostly to himself alone.”  , The trouble here is that Poincare was the native speaker of a language that Picard, Hermite, and Mittag-Leffler had to struggle even to parse.  Poincare’s knowledge wasn’t mystical; it was just beyond his powers to articulate.  And, as simple examples show, there’s nothing especially strange about that.  Native speakers of English will likely all agree that of the two sentences , (1) Did you notice the funny way Bob looked at Alice?, (2) Did you notice a funny way Bob looked at Alice?, the second is somehow “wrong.”  But why, exactly, is it wrong?  What’s the problem with it?  And, most of all, how would you explain what’s wrong with it to a native speaker of Japanese?  , This, I’m afraid, is exactly the sort of question with which our best swashbucklers are constantly confronted, and it ought to give us a little more sympathy for Poincare’s predicament than Hermite could muster.  For, even if they were hard for others to follow, wouldn’t you rather spend your time writing sonnets than composing a tome like Quirk and Greenbaum?  If asked to explain why enough sentences like (2) above are wrong, wouldn’t you eventually just answer, as Poincare evidently did, “it is so, it is like that,” and go back to your poetry?, I think, in the end, we’re just reluctant to admit that a great deal of the knowledge that matters most to us is inarticulate — that we can sometimes be sure of something, and be correct, without really knowing why.  But the truth is a stubborn thing, and the truth is that people often know more than they can say — in fact, that’s exactly why they’re so valuable.  People like Poincare may not be mystic seers — their tacit knowledge is, I’m sure, the result of immersion rather than divine inspiration — but they are extraordinarily hard to replace, or to duplicate.  , Can we hope to manage without them, though, if we bring to bear on our problems a vast collective intelligence?  Might we achieve through massively collaborative investigations results as wildly original and imaginative as those of the best natural swashbucklers?  It would certainly be nice if we could, and I think there are some genuinely exciting reasons for optimism about this possibility.  , But it may be prudent to leave to Georg Frobenius, a notoriously sharp-tongued critic, the last, skeptical word: , “Organization is of the utmost importance in military affairs, as it is…for other disciplines where the gathering process of practical knowledge exceeds the strength of any individual.  In mathematics, however, organizing talent plays a most subordinate role.  Here weight is carried only by the individual.  The slightest idea of a Riemann or a Weierstrass is worth more than all organizational endeavors.”]</t>
  </si>
  <si>
    <t>C1785</t>
  </si>
  <si>
    <t xml:space="preserve">problem isn't elementary enough; difficulty of problem limits people who can get around it; How would we know (formulate other questions)? </t>
  </si>
  <si>
    <t>A very general comment about how things are going. I’d say that at the moment the collaboration is not “massive”, though it is much larger than anything I’ve ever been involved in before. That may be because the problem is insufficiently elementary. (I have one or two ideas about problems that are both elementary and extremely interesting, but that’s for the future.) But it occurs to me that even  if it never becomes a massive collaboration, even the idea of doing research “in public” is one that could be valuable if it became common practice. For example, I often tell my research students that a large part of what one does when trying to solve a problem is formulate other questions. However, that’s a hard thing to explain properly because there is a lack of examples: by the time a result gets written up, all those questions along the way get forgotten about, except for the ones that ended up as part of the eventual solution. But if people routinely wrote public accounts (either collaboratively or individually) of how their ideas were developing, it would not only be fascinating to watch (especially on the rare occasions that somebody suddenly said, “Aha!” and a problem one was following became solved), but it would also provide a useful resource for someone who had that “I just don’t really know how to go about it” feeling about mathematical research.</t>
  </si>
  <si>
    <t>C1786</t>
  </si>
  <si>
    <t>testing idea</t>
  </si>
  <si>
    <t>87. Thread title: obstructions to uniformity. Reply to 82., Boris, I was not sure it was a true generalization either, and I’m still not sure. Let me attempt to come up with a set where it might have a chance of being one., Let us consider two functions defined on the set of all sequences in . First of all, choose a largish  and a subset  of positive density in  with the following properties: (i)  is not much larger than , and quite a bit smaller than ; (ii) for every  there are about the same number of  such that , and vice versa. , Now let’s choose some fairly random sequences of weights  and  and let  be the set of all sequences such that  mod . , OK that almost certainly doesn’t work, for the reason you say: there will be some character that correlates in a big way with , and that will give us  and  such that  has a tendency to lie in an unusual subset of ., I’m becoming convinced that it isn’t a generalization, but I can’t quite rule out that there might be some further things one could do.</t>
  </si>
  <si>
    <t>C1787</t>
  </si>
  <si>
    <t>C1770, 20, 40</t>
  </si>
  <si>
    <t>88. Thread title: is triangle removal still necessary?, This is a response to Terry’s comment 77. Obviously what you ask is an important question, but I’d like to understand more precisely what you mean by it. , To begin with, let me distinguish carefully between two interpretations of the question. One would be “Is it possible to do without any analogue of the triangle removal lemma from this point on?” and another would be “Is it unnatural to try to use the triangle removal lemma from this point on?”, The background to the question is that if a positive proportion of the slices (for a definition of this word, see 62) is rich, then by the corners theorem one can find a triple of rich slices of the form , , . So one might take the view that you use the triangle removal lemma (via the corners theorem) to get yourself to a triple of rich slices and then let other methods take over from there., Now we haven’t actually said what we mean by “rich”. It has to mean more than “intersects densely with ” since it is easy to find examples where  intersects three such slices densely but there is no combinatorial line. (See e.g. comment 20.) And it seems unlikely that there is a definition of “rich” such that (i) every dense set  intersects a dense set of slices richly and (ii) given any triangle of slices intersected richly by  you must get a combinatorial line from that triangle of slices. , At this point it’s worth going back and reading Terry’s comment 40. The idea there is that if you don’t get a dense set of rich slices, then perhaps you can pass to substructures (e.g. by fixing a few coordinates) where something like density or energy improves and try again. This would be a sort of mixed argument: first use density/energy-increase arguments to get to a situation where lots of slices are rich (which I see as some kind of quasirandomness property, but perhaps I shouldn’t), then apply the corners theorem to get a triple of rich slices, and finally apply some rich-slices counting lemma to get a combinatorial line. (I’m not at all sure that that’s what Terry had in mind, and would be interested to know.), Anyhow, perhaps that suggests that triangle removal could be used just to get a triple of good slices, and other arguments could be used to do the rest. In my next comment I’ll discuss the other interpretation of Terry’s question.</t>
  </si>
  <si>
    <t>C1788</t>
  </si>
  <si>
    <t>C1770, 67</t>
  </si>
  <si>
    <t>test by adding more questions as in C1785</t>
  </si>
  <si>
    <t>89. Thread title: is triangle removal still necessary?, Is it clearly wrong to try to prove the whole theorem via a triangle-removal lemma? I would present the reasoning in the main post slightly differently. Admittedlly it starts out in the way that Terry describes at the beginning of his comment 77. However, I think that the argument gains considerably in force when you add the following fact., 4. It is possible to define a tripartite graph in such a way that nondegenerate triangles correspond to combinatorial lines in . Moreover, the construction naturally generalizes the tripartite graph that you construct in order to deduce the corners theorem from the triangle removal lemma., Here’s a way one might justify this. For a long time it was known that the triangle removal lemma implied Roth’s theorem, but until Jozsef came along, nobody had observed that it would also do corners. Before that one might have reasoned as follows., Let us label the lines of slope 1 in  according to the value of . If we have a corner, then the labels of the lines that it lies in must form an arithmetic progression of length 3. And indeed, since our dense subset of  might even be a union of lines of slope 1, we see that the corners theorem implies Roth’s theorem. So perhaps we should use Roth’s theorem to find a rich triple of diagonals and then use other arguments to obtain a corner. , Is this a fair analogy or does it break down somewhere?, Before giving up on triangle removal, I would want answers to the following questions., (i) Is it possible to formulate a triangle-removal statement that isn’t obviously false and that implies that the tripartite graph discussed in 67 contains lots of triangles (because it contains lots of edge-disjoint degenerate ones)? , (ii) If so, is there the slightest chance of proving the statement by imitating the proof of the usual triangle-removal lemma? Or does the sparseness and nonquasirandomness of the bipartite graph where we join two sets if they are disjoint make a project of this kind hopeless?, I could perhaps add a third question, of a slightly different kind., (iii) Is it the case that in order to prove that a regular triple contained many triangles, one would have to develop tools (connected with obstructions to uniformity) that could be used to give an easier proof that didn’t go via triangle removal, regularity lemmas etc.?, I feel reasonably optimistic about (i) if one restricts to a triangular grid of slices. I’m much less sure about (ii) and (iii).</t>
  </si>
  <si>
    <t>C1790</t>
  </si>
  <si>
    <t>(C1771, C1776, C1777)</t>
  </si>
  <si>
    <t>contradiction</t>
  </si>
  <si>
    <t>90:  for small  (Re to 78 83 and 84), :, In 2 dimensions there are only 4 such set with 6 elements:  for i=1,2,3 and . , In 3 dimensions there is only one such set S with 18 elements. Proof: Let S be such a set. Now let , for i=1,2,3. Now each  has to have 6 elements and be of the above from, and the intersection of the ‘s has to be empty. Thus the ‘s must be a permutation of the ‘s. The only permutation, that does not give any combinatorial lines is  for i=1,2,3., Now asssume that  and let S be a set  in 4 dimensions and with no combinatorial lines. Again let , for i=1,2,3. Now two of the ‘s has to have 18 elements and thus be of the above form. By if two of them are identical, the third can at most have 27-18=9 elements, and S at most . Contradiction.</t>
  </si>
  <si>
    <t>C1792</t>
  </si>
  <si>
    <t xml:space="preserve">how could we do this better? </t>
  </si>
  <si>
    <t>I’m starting a discussion modeled after this discussion, with the basic goal of designing and creating a collaboration tool well suited to this sort of thing. In particular, I hope that the “collaborative programmer” can be of assistance in choosing and customizing the next home for the “collaborative mathematician”., I’ll be watching here, but if anyone has ideas about what’s missing from the simple blog format that would be useful in this sort of collaborative effort, or information about current forums/blogs/wikis/other tools that might be suited to the task, your input would be most welcome.</t>
  </si>
  <si>
    <t>C1793</t>
  </si>
  <si>
    <t>C1767, Boris</t>
  </si>
  <si>
    <t>91. Thread title: obstructions to uniformity., I don’t know whether this is genuinely different, but in the Hales-Jewett theorem one doesn’t actually care that the set  is . So perhaps we could take three other numbers, such as , and take the set of all  such that  belongs to  mod . I don’t immediately see how to get this from Boris’s construction, at least as I presented it in 75.</t>
  </si>
  <si>
    <t>C1794</t>
  </si>
  <si>
    <t>Boris, Tim, C1767</t>
  </si>
  <si>
    <t>intuition</t>
  </si>
  <si>
    <t>92.  Thread title: obstructions to uniformity., Let me try to sketch a another obstruction to strong uniformity.  Hopefully I have understood the notion of strong non-uniformity correctly!  For the remainder of this comment, let  denote .  , Partition the coordinates n into disjoint “blocks” of size roughly .  For a uniform random string , let $F$ denote the event that  contains a block which is all-2’s.  The probability a particular block is all-2’s is ; hence the probability it is not-all-2’s is .  Since there are also about  blocks, the probability that all blocks are not-all-2’s is basically .   So the probability of $F$ is basically .  Call it ., So let  be the set of all strings which have an all-2’s block, which has density about ., On the other hand, suppose we have a combinatorial line  with .  Then that block of 2’s stays fixed in  and .  So take  to be the set of strings which do *not* have a block of all-2’s.  This is also plenty dense, having density about .  But then we couldn’t have ., You might object that this only worked because we were insisting that it was  (i.e., the wildcard=1 point) that was in , but this can be circumvented by making  equal the set of strings with a block of all-2’s *and* a block of all-1’s.  (These events are practically disjoint, so this  would still have density about .), This example does seem to me different from Boris and Tim’s examples.  At first it looks similar because you are counting that the number of 2’s in a particular set of coordinates is equal to a particular number.  But then things differ because you take an “or” across all blocks.  You can make it even more different by taking the “block-of-all-2’s *and* block-of-all-1’s” example.  Or you could instead let  be the set of strings with a “run” of 2’s of length about  somewhere within them., Does this example work?, If so, I think my intuition agrees with Tim’s (expressed at the end of #75) that there may be “too many” obstructions…</t>
  </si>
  <si>
    <t>C1795</t>
  </si>
  <si>
    <t>93. Thread title: an alternative problem., In 60. Tim suggested a problem where we consider certain pairs of sets. “A sensible question would be some density-type condition on A  that would guarantee a triple of the given kind. ”  One candidate might be the following: Given a subset S of the  subsets of an n-element set, then two elements of S form a pair if their symmetric diference is also in S. I think, but I can’t prove it yet, that if S is dense,  then the number of such pairs (triples) is at least . If so, then there is a direct application of the triangle removal lemma, however I have to think about the interpretation of the result.</t>
  </si>
  <si>
    <t>C1797</t>
  </si>
  <si>
    <t xml:space="preserve">"goofy" question; other goofy things ;)  -- this particular user seems to be the most willing to try goofy things, to ask dumb questions, and so on … </t>
  </si>
  <si>
    <t>94.  Obstructions to strong uniformity., Can’t you also do other goofy things like take any example  which is strongly-non-uniform and, say, tack 23 onto the end of each string (changing  to )?  This hurts the density by only .  Now take the dense  which failed with the original  and tack, say, 12 on the end of all of its strings.  This also only loses density .  But if  and  were a bad example before, they are still bad now.  And  is no longer of the weighted-sums-modulo-m type, even if it was before.</t>
  </si>
  <si>
    <t>C1798</t>
  </si>
  <si>
    <t xml:space="preserve">monologue, continued claim; having "no idea where to start" makes the problem "worth pursuing" :) </t>
  </si>
  <si>
    <t>95. Thread title: Sperner, I want to make a start on the question I eventually arrived at in 80, which I’ll repeat here and make more precise. Let  be slightly smaller than , write  for  and let  and  be two subsets of . Is it the case that for every constant  there exists a constant  such that if the number of disjoint pairs  with  and  is at most  then it is possible to remove at most  sets from  and end up with two set systems  and  such that every  intersects every ?, Actually, now that I’ve formulated the question (though I’m still not certain that it’s a sensible one) I find that I have no idea where to start. All I have to say is that Boris’s example in 44 is worth bearing in mind. But in a curious way that makes me feel the problem is worth pursuing. It seems that to prove Sperner via a generalization of the trivial pair removal lemma, one has to prove this non-trivial pair removal lemma. Working out how to do that therefore introduces an extra ingredient. Once one has that extra ingredient, one can see whether it generalizes to provide the extra ingredient needed to get from the usual triangle removal lemma to a more difficult Spernerish triangle removal lemma.</t>
  </si>
  <si>
    <t>C1799</t>
  </si>
  <si>
    <t>C1758, Ryan</t>
  </si>
  <si>
    <t>96. Thread title: obstructions to strong uniformity., Ryan, I think we need to formulate more carefully what it means to have a new obstruction. I would want not to count the example you’ve given because it’s contained a bigger example where  and  consist of all strings (before you do the tacking-on process). And that bigger example is covered by what I called strong obstruction 1 in comment 71.</t>
  </si>
  <si>
    <t>C1800</t>
  </si>
  <si>
    <t>97. Thread title: Sperner, Actually, I have a small idea where to start (see 95). If we replace sets in  by their complements, then we obtain a set system that has to have a lower shadow that is very non-uniform. That is, if you count how many times a set is contained in the complement of a set in  then the resulting function mustn’t be close to constant. So it looks as though we do indeed have to understand obstructions to uniformity in Kruskal Katona.</t>
  </si>
  <si>
    <t>C1801</t>
  </si>
  <si>
    <t>(C1794, C1797), C1799</t>
  </si>
  <si>
    <t>98. Obstructions., Hi Tim, are you referring to the example from 92 or 94?  I don’t see how the #92 one fits into any of the example obstructions mentioned previously.</t>
  </si>
  <si>
    <t>C1802</t>
  </si>
  <si>
    <t>(C1787, Tim?), 88,89</t>
  </si>
  <si>
    <t>questioning an assumption</t>
  </si>
  <si>
    <t>99.  Thread title: is triangle removal still necessary?, Tim, I guess my question was intended in the weak sense as in 88 (“can we now do without triangle removal?”) as opposed to the strong sense as in 89 (“should we keep trying to mimic triangle removal?”).  Basically, I think we should keep pursuing the triangle removal tack, but bear in mind the option to also utilise many other tools (e.g. Kruskal-Katona, or some ideas from Szemeredi’s proofs of Roth’s theorem, about which I will say more in my next comment), and to also entertain the possibility that triangle removal might in fact only play a minor role in the rest of the argument.</t>
  </si>
  <si>
    <t>C1803</t>
  </si>
  <si>
    <t>100!  (do I get a prize?)   Thread title: Density incrementation, One tool that seems to be underexploited so far is that of density incrementation.  In the standard proof of Roth’s theorem (as well as Szemeredi’s proof), we may assume without loss of generality that the set A does not have significantly increased density on any reasonably long subprogression, since otherwise we could pass to that subprogression and apply some sort of induction hypothesis.  We can do the same here: to prove DHJ for some set  with density , we may assume without loss of generality that every slice of A of any reasonable size (m-dimensional, where m grows slowly with n) has density at most  (where I will be vague about exactly what o(1) means).  By Markov’s inequality, this also implies that almost all (i.e. 1-o(1)) of all such slices will have density at least  as well.  It is not clear to me how one can exploit such a fact, but it is something worth keeping in mind.  (Admittedly, this structure is not used in the graph-theoretic proofs of Roth or corners, but as I said in my previous post, we are not bound to slavishly follow the graph-theoretic model.), In a somewhat similar spirit, we can use the colouring Hales-Jewett theorem to stabilise various low-complexity quantities.  Indeed, if we have some quantity X that depends on a medium number m of the coordinates of , and takes a bounded number k of values, then (if m is sufficiently large depending on d and k), we can reduce the m coordinates to d, passing to a slice, and force X to now be constant on these d coordinates.  (I already used this argument in 85.)  Again, I don’t see an immediate way to utilise this freedom, but if we are encountering a problem that the “richness” of various slices varies too much with the slice, this is presumably the thing to do to fix that.  And there is also the Carlson-Simpson theorem to hold in reserve to soup this up even further.</t>
  </si>
  <si>
    <t>C1804</t>
  </si>
  <si>
    <t>potential answer</t>
  </si>
  <si>
    <t>101.   for small n., @Sune.90: Excellent… we now have the first five elements of , namely .  Consulting the OEIS,, http://www.research.att.com/~njas/sequences/?q=1%2C2%2C6%2C18%2C52&amp;language=english&amp;go=Search, there are a number of sequences here, but none that look likely to be a fit, especially given the bounds  we have (see Tyler.83)., Given that  does not look too close to being computable, perhaps it is time to submit what we have to the OEIS?</t>
  </si>
  <si>
    <t>C1805</t>
  </si>
  <si>
    <t>100.  Kruskal-Katona obstructions., Even in the case of Kruskal-Katona, I’m not 100% what the right question is.  Let me work off Boris’s #44 formulation of the problem., Say the density of  is  and the density of  is .  When Boris asks, when is the number of pairs  with $a \subset b$ close to expected, I assume by “expected” he means “what the number would be if  and  were random sets of the given densities”.  (Correct me if I’ve mistaken you here.), Introduce a uniformly random pair  subject to .  Let  be the event that both  and .  Note that the marginal on both  and  is uniform.  Hence if  and  were both random sets of the given densities, we’d expect the probability of  to be ., Now Boris gave two very different examples where  and yet , much less than  of course., On the other hand, there are plenty of examples where  is a constant and yet $\latex \PrL \approx \mu_A$, much *greater* than .  To achieve this, fix  to be the upper shadow of .  Now we just need to take  to be any constant-density set whose upper shadow has about the same size as .  And there is a world of such sets; too many, I think, to have a meaningful characterization by obstructions.</t>
  </si>
  <si>
    <t>C1806</t>
  </si>
  <si>
    <t>102.  The HJ cube lemma., As I mentioned in 86, there is a proof of Roth’s theorem by Szemeredi which relies on the Szemeredi cube lemma, which basically asserts that any dense subset of  contains a large cube  (in practice one can take d to be something like ).  , There is a similar lemma for k=2 Hales-Jewett: if n is sufficiently large depending on  and d, then any subset A of  of density at least  contains a d-dimensional cube, which basically is the same thing as a combinatorial line except that one now has d wildcards instead of 1., The proof proceeds by induction on d and using the k=2 DHJ (i.e. Sperner).  The d=1 case is of course exactly k=2 DHJ.  Now if d &gt; 1 and the claim is already proven for d-1, then we can foliate  into m-dimensional slices for some intermediate m.  Many of these slices will be rich and thus contain a d-1-dimensional cube, by induction hypothesis.  The placement of this cube can vary by slice, but the number of possible cubes is bounded by some constant depending on m, so by pigeonhole there is a positive density (depending on m) of slices for which the cube position is the same.  Now apply Sperner (k=2 DHJ) one more time to get the result. , One can of course embed  into  in a variety of ways, and so this cube lemma is available for use in the k=3 problem.  I don’t know yet whether Endre’s proof (see 86) can carry over in this setting, but it might be worth taking a look at.  Note that the colouring version of this cube lemma is used in the standard proof of k=3 colouring Hales-Jewett.</t>
  </si>
  <si>
    <t>C1807</t>
  </si>
  <si>
    <t>C1801, C1801, C1794, C1799</t>
  </si>
  <si>
    <t>103. Obstructions to uniformity., Ryan, re your comment 98, I’m sorry but for some reason I failed to notice your very interesting comment 92. In my comment 96 I was referring to what you said in 94., Your example in 92 strikes me as a definite advance in the understanding of the problem. Let me try to explain why. One of the difficulties of the density Hales-Jewett theorem is its “combinatorial”, as opposed to “group-theoretic’, nature. That is, we do not have a group structure on  (or at least, not one that seems to be relevant), and the notion of a combinatorial line is not one that can be expressed in purely group-theoretic terms., On the other hand, the kinds of obstructions that Boris and I were coming up with did have a group-theoretic flavour to them, even if they weren’t exactly group theoretic. I couldn’t help thinking that it was too optimistic to hope that all obstructions were of this kind. And now you have demonstrated (assuming your example checks out, which it feels to me as though it does) that there are indeed some more purely combinatorial obstructions., A quick thought at this stage. For each obstruction it is well worth thinking about the following question: is there an obvious way of restricting  so as to obtain a substructure where  is denser? In your case I was about to say that I couldn’t see one, but I think I can: we could do something like restricting to a random combinatorial subspace of the following kind. Take your partition of  into blocks and for each block choose a random subset (according to some sensible probability distribution — not sure what that is) to be a set of coordinates that vary simultaneously. But insist that at least once you … the more I write the more this feels completely wrong. So instead let me ask: can one get a density increase on a combinatorial subspace for Ryan’s set  in 92?</t>
  </si>
  <si>
    <t>C1808</t>
  </si>
  <si>
    <t>104. Thread title: Sperner, Re: Tim’s question in 95. I just want to clarify, that the conjecture (?) is that in the Kneser graph  every induced bipartite graph with at most  edges has a vertex cover of size at most  Or, equivalently, the largest matching is at most   It seems to me that the small number of edges in the induced graph implies that the number of vertices is small, but I don’t remember what is the spectral gap in . Anyways, if   is quasirandom then I don’t understand the question, but it is almost 1 am, so I will review it tomorrow…</t>
  </si>
  <si>
    <t>C1809</t>
  </si>
  <si>
    <t>adjusting comment number</t>
  </si>
  <si>
    <t>Good morning Tim! Then mine is 104. …  Now changed</t>
  </si>
  <si>
    <t>C1810</t>
  </si>
  <si>
    <t>well duh</t>
  </si>
  <si>
    <t xml:space="preserve">blind to the obvious example </t>
  </si>
  <si>
    <t>105.  Obstructions to uniformity., For some reason in 103 I was blind to the obvious example: take a subspace where all sequences are constant on Ryan’s blocks, and it’s actually contained in .</t>
  </si>
  <si>
    <t>C1811</t>
  </si>
  <si>
    <t>106. Sperner., In response to Jozsef comment 104, I think your rephrasing of my question is indeed the same question (but I’m slightly shaky on the terminology you use). Just to check: the Kneser graph  is the graph consisting of all subsets of  of size , with two of them joined if and only if they are disjoint. An induced bipartite graph just means that you pick two sets  and  of vertices in this graph and put in all the edges that you have from the graph: so you have two systems of sets of size  and join a set in  to a set in  if and only if they are disjoint. Finally, a vertex cover means a collection of vertices such that every edge contains a vertex in that collection. So if we have a small vertex cover then we can remove it and end up with no edges., It’s not the case that a small number of edges implies that the vertex sets are small. For example,  and  could both be the set of all sets of size  that contain the element 1. Then there are no edges between  and , but they both have density about 1/2. Of course, this example doesn’t have much bearing on the problem I asked.</t>
  </si>
  <si>
    <t>C1812</t>
  </si>
  <si>
    <t>This comment is deliberately not numbered., If you’ll forgive a metacomment, at some point I think we should consider trying to summarize everything we’ve learned so far (interesting examples, questions we haven’t yet answered, data about small , ideas for general approaches, etc.), write a new post, and start all over again, this time from camp 1 rather than base camp, so to speak. It would have the small advantage that people wouldn’t have to scroll through over a hundred comments (my computer now takes quite a long time to load all the mathematical gifs — if that’s the right word). Note that I’m not suggesting splitting up the threads: I’ve rather enjoyed having them all jumbled together, and I think this suggestion would keep the current atmosphere but keep things manageable. Any views? (I’m thinking of introducing a poll facility to this blog so that people can express opinions about this kind of question without having to make actual comments.), To my amazement, I seem to have managed to produce a poll. So if you want to register an opinion, you have the chance to do so. It appears as a new and strange-looking post on the blog.</t>
  </si>
  <si>
    <t>C1813</t>
  </si>
  <si>
    <t>77, 100</t>
  </si>
  <si>
    <t>strategize</t>
  </si>
  <si>
    <t>strategy(s) identification</t>
  </si>
  <si>
    <t>107. Thread title: big picture.  , Terry has already described some possible ways that an eventual proof might go (see e.g. #77 and #100). In the next comment, I’ll have a go at some proof sketches (not very detailed because I don’t know the details!). Each one would ideally be the beginning of a top-down process that ends with a fully detailed proof. But the question in each case is whether the strategy is remotely realistic., Strategy 1. Density incrementation., This strategy is to model a proof on Roth’s proof of Roth’s theorem. The idea is to keep thinking about obstructions to uniformity until we think we’ve found all of them. At that point we try to prove the following: either a set  correlates with one of our obstructions to uniformity, in which case one can show that there is a combinatorial subspace inside which  has increased density; or  does not correlate with one of our obstructions to uniformity, in which case we can prove that  contains the expected number of combinatorial lines. , Two remarks about the strategy. First, as we have noted, the “expected” number of combinatorial lines is a troublesome concept. But it ought to be possible to deal with that by restricting to a triangular grid of slices near the centre. Secondly, a density-increment proof of density Hales-Jewett would presumably yield a density-increment proof of the corners theorem. Now such a proof has been obtained by Shkredov, but it is considerably more complicated than the density-increment proof of Roth’s theorem. So we shouldn’t expect this strategy to be easy. (Actually, this has given me an idea about obstructions to uniformity in DHJ. I’ll explore it in a moment.), Strategy 2. This is roughly the original strategy I suggested. We have a tripartite graph where we join two sets if and only if they are disjoint, and we try to prove a regularity lemma for subgraphs of this graph (or perhaps portions of this graph where we restrict the cardinalities of sets so that they become “typical”). This would be a relative regularity lemma. , Two remarks about this strategy. First, I think it ought to be easy to make at least some progress, either negative or positive, by trying to produce such a regularity lemma. Either it will rapidly become clear that the task is hopeless, or we’ll manage it, or we’ll generate a bunch of interesting questions that we can’t yet answer. Secondly, in a subtle way the regularity approach to corners allows one not to understand too well what the obstructions to uniformity are for that problem: it just automatically seeks them out and deals with them. Might something like that happen for DHJ?</t>
  </si>
  <si>
    <t>C1814</t>
  </si>
  <si>
    <t>C1813, 92</t>
  </si>
  <si>
    <t>strategy</t>
  </si>
  <si>
    <t>108.  Obstructions to uniformity., No idea whether this is going anywhere, but in Shkredov’s proof of the corners theorem, he has to deal with examples of sets of the form , where both  and  are subsets of . These sets have the feature that if they contain the two points  and  then they automatically contain the point  It ought to be possible to exploit this to obtain an obstruction to uniformity in DHJ, but I don’t yet know whether it will be a new one., So let’s choose an arbitrary pair of (reasonably dense and codense near ) subsets  and  of , take  to be the set of all sequences such that the number of 1s belongs to  and the number of 2s belongs to , and take  to be the complement of . Now let  be a combinatorial line (written in 1,2,3 order). The point  has the same number of 2s as , and  has the same number of 1s as . So if  and  belong to , then  automatically belongs to , so it can’t belong to . , This is open to the same objection that Ryan talked about in 92, namely that we’re insisting that it is  that belongs to  rather than  or , but the basic idea can be used to produce an example that gets round this objection. We just have to play the same game with 2s and 3s, and the same game again with 1s and 3s, and then intersect the three resulting sets. If you choose them reasonably randomly then you’ll still get a dense  and a dense . , (Just to clarify what I’ve just said, let’s call the sets I constructed  and , since 3 was the preferred value. Now you repeat the construction I gave twice over to produce  and  and  and . Finally, you set  to be  and you set  to be . Provided the sets  and  are chosen reasonably randomly in each case, the sets  and  will be reasonably dense.), This feels like a genuinely different obstruction because it is very nonlinear. In fact, I’m basically pretty sure it’s different., So going briefly back to the big picture, one might argue that the problem with strategy 1 is that it is already difficult to carry out for corners, and looks as though it could be very much more difficult still here. So if it were just a choice between strategies 1 and 2, there would be a good reason for continuing to pursue 2 (not that I feel like giving up on 1 just yet).</t>
  </si>
  <si>
    <t>Gowers_6</t>
  </si>
  <si>
    <t>how to handle a long discussion</t>
  </si>
  <si>
    <t xml:space="preserve">The discussion about the density Hales-Jewett theorem is now getting quite long. What do you think we should do about it?We could continue with the discussion just as it is, or we could summarize it and start again, or we could summarize each thread and continue with lots of separate discussions, one for each thread. What do you think would be best? I don’t promise to do what the majority says, but I will be interested to know what the majority opinion is.Update: I have gone with the majority, but the vote was close, so as a small compromise the discussion is not divided into “lots of separate discussions” but only three. I hope this will make the discussion easier to follow without making it too fragmented. Technically the polls have not closed: there is still a chance to register a vote to show your approval or disapproval of this decision. Thanks to all those who have already voted: maybe the wisdom of crowds could be incorporated into mathematical research somehow …Take Our Poll												This entry was posted on February 4, 2009 at 1:07 pm and is filed under polymath1.						You can follow any responses to this entry through the RSS 2.0 feed.													You can leave a response, or trackback from your own site.											</t>
  </si>
  <si>
    <t>C1816</t>
  </si>
  <si>
    <t>human-proof</t>
  </si>
  <si>
    <t>ask permission</t>
  </si>
  <si>
    <t>109.  Thread title: counting lemma., I want to make a tentative appeal to procedural rule 6, the one that says that if you think you could work something out with the help of some private calculations, then you first see whether others think that would be a good thing to do. So here’s what I think I could do reasonably easily privately and not so easily if I have to type everything in here. , It’s clear that if any kind of regularity approach is going to work, then there needs to be a lemma that says that if you’ve got three suitably quasirandom subgraphs of the is-disjoint-from graph arranged in a triple, then you must have lots of triangles. But it’s not clear with “suitably quasirandom” means. A natural way to attempt to get a handle on this, if you’ve ever been involved with counting lemmas in sparse random settings, is to try to use the Cauchy-Schwarz inequality to prove that the number of triangles is close to what you expect unless something bad happens. And that something bad then turns into your definition of “is not quasirandom”. I would like permission to go away, attempt some Cauchy-Schwarz calculations, and come back and report on the results.</t>
  </si>
  <si>
    <t>C1817</t>
  </si>
  <si>
    <t>Kevembuangga</t>
  </si>
  <si>
    <t>Reasons for my vote (start ONE new  post)
– continuing the same post  will ultimately break some browsers limits.
– splitting the thread in multiple topics will  damage the continuity., What you would really need is something which will look like this TiddlyDesktop with some extra functionalities about multiple threading of ideas, concurrent updates and distributed repositories.
Not yet there…</t>
  </si>
  <si>
    <t>C1818</t>
  </si>
  <si>
    <t xml:space="preserve">how would we know? </t>
  </si>
  <si>
    <t>110. Thread title: regularity lemma., Here, by the way, is the outline of how one might try to prove a regularity lemma. Almost certainly there will be an easy argument that says that this naive strategy has no chance of working., Let  be the bipartite graph where you join two sets (fixed to have size around ) if and only if they are disjoint. Let  be a dense subgraph of this graph. We want to partition the vertices into sets where  looks like a random subgraph of . So why not argue as follows? Given partitions of the vertex sets, if there are lots of induced bipartite subgraphs where  doesn’t look random in , then you can refine the partitions in such a way that the ratio of the energy, or mean square density, of  to that of  goes up. The idea would be that although the mean square density of  could well be going up all the time (since  is not a quasirandom graph), the mean square density of  would be going up faster so the iteration would have to terminate.  , As I say, this is probably a hopeless strategy, but it gives an idea of the kind of thing that I was hoping one might be able to do, and there might be ways of modifying it that made it more promising.</t>
  </si>
  <si>
    <t>C1819</t>
  </si>
  <si>
    <t>need for threads</t>
  </si>
  <si>
    <t>The commenting really needs to support threading, otherwise following the discussions is going to get very hard, very quickly.</t>
  </si>
  <si>
    <t>C1820</t>
  </si>
  <si>
    <t>http://disqus.com/ may offer a powerful enough solution to have a deeply nested and in depth discussion.</t>
  </si>
  <si>
    <t>C1821</t>
  </si>
  <si>
    <t>A little thought about the issue Tim raised in 31. (Sorry if it duplicates some later comment or link.), The question Tim ask was what conditions (Fourier or different) will ensure semirandomness for Sperner and for our combinatorial line question for k=3, namely, a condition for a set to contain approximately “the right number” of combinatorial lines. , One possibility to consider is to ask for density on a set X of solutions for arbitrary equation of the form  (T can be any set but we can just think about a single number.) If the intersection of A and X is equal to its expected value up to a small additive error, for every X, does it suffices to imply that A has the right number of pairs   ? (for the Sperner case) or even  the right number of combinatorial lines for k=3? , Are you aware of counterexamples?, Talking about general solutions of linear equations may help also for cases where Fourier analysis gives a result but we would like to have a better one. (upper bounds on cup set? Influences of sets…) A difficulty with such a suggestion is that you need to argue recursively about dense sets inside sets which are the solution of a system of equations of the above kinds and maybe even more complicated. Also I do not see an argument that will show that if the number of solutions of linear equations is right then the number of combinatorial lines is right (for  k&lt;=3)., Another possibility (or perhaps something forced by the above possibility if you try to prove things) is to consider for X sets which are described by even more general arithmetic or other type of circuits. Such sets may also be useful for lower bound examples; I find it yet hard to believe that the examples we know (for the various questions) are in the right ball park as reality.</t>
  </si>
  <si>
    <t>C1822</t>
  </si>
  <si>
    <t>112.  Obstructions., Tim, in your #105, I don’t quite see what you’re saying…  And does it hold for the set  of all strings which contain a “run” of at least  2’s somewhere within them?  (This example has no fixed “blocks”.)</t>
  </si>
  <si>
    <t>C1823</t>
  </si>
  <si>
    <t>C1794, 92, 104, 95, 100, C1710</t>
  </si>
  <si>
    <t>113. Obstructions: These examples from #92 were really just based on an example (“Tribes”) from the  scenario.  Like Jozsef#104, I haven’t wrapped my head around the counting/normalization/distribution used in Tim’s #95; this is why in my #100 I was writing about Boris’s #44 setup instead., I feel that before thinking too much about obstructions to combinatorial-line-uniformity in , we should try to clarify things in the simpler scenario of obstructions-to-Sperner in .  , In #100, I tried to get across that I can’t even think what this should mean.</t>
  </si>
  <si>
    <t>C1824</t>
  </si>
  <si>
    <t>58, 4</t>
  </si>
  <si>
    <t>114.  Sperner/Kruskal-Katona., Actually, I’m not even sure “obstructions” is the right way to think about Sperner.  I think that what Boris said in #58 — that Sperner’s own proof by “pushing shadows around” (I like this phrase, Boris!) — may already be the “alternate combinatorial proof of Sperner” that Terry proposed to look for way back in #4!, Can we prove DHJ by “pushing shadows around”? 🙂</t>
  </si>
  <si>
    <t>C1825</t>
  </si>
  <si>
    <t>(Tyler, Sune, Terry)</t>
  </si>
  <si>
    <t>coding work</t>
  </si>
  <si>
    <t>@Tyler, Sune, Terry (on bounds), Nice! I hope to have some code working by the end of the week;  ought to be within brute force range, but I’m not sure past that., I’ve thought about the flow optimization algorithm, and I’m not convinced that will produce an improvement because of the symmetry of the original arrangment. I do still think there’s some CS trick that will help knock this down to size and get exact values for  and beyond. For the moment I’m just going to Monte Carlo it so we can get some perspective.</t>
  </si>
  <si>
    <t>C1826</t>
  </si>
  <si>
    <t>strategy(s) identification; three main problems: Quasirandomness, modifying sperner, Upper &amp; lower bounds</t>
  </si>
  <si>
    <t>If we want to go multi-thread, we can probably stick with just three, since we’re tackling what seems like three problems now:, Quasirandomness (or however you want to describe the approach to the primary problem)
Modifying Sperner (producing a new proof and/or modifying to help with k&gt;2)
Upper and lower bounds</t>
  </si>
  <si>
    <t>C1827</t>
  </si>
  <si>
    <t>115.  Obstructions., Ryan, 112, I won’t bother trying to explain what I was saying because there’s an even simpler example to show that your set yields a density increase on a subspace: you just fix a run of 1s and let everything else vary arbitrarily. That does both the blocks case and the fixed-length-of-run case.</t>
  </si>
  <si>
    <t>C1828</t>
  </si>
  <si>
    <t>platform suggestion</t>
  </si>
  <si>
    <t>For future discussions of this type, it might be useful to use a wiki platform, similar to wikipedia., This has several advantages – contributors can preview and edit their own comments in case of typo’s and updates, anyone can start a new thread on a page of its own, embedded links to other comments are do-able, as well as adding a reference section.  You can also still use inline latex notation, and user signatures with each section to maintain attribution for each comment (which would also be recorded in the page’s history anyway)., If this idea is interesting, I’d be happy to help set up something like this or volunteer my math site as a host wiki.</t>
  </si>
  <si>
    <t>C1829</t>
  </si>
  <si>
    <t>C1814 (108, 107)</t>
  </si>
  <si>
    <t>work</t>
  </si>
  <si>
    <t>116.  Big picture, density incrementation, obstructions, I’ve just realized that the example in 108 shows that strategy 1 in 107 doesn’t work as stated, or at least not completely straightforwardly. For the benefit of people unfamiliar with Shkredov’s work on corners, let me explain this in some detail., Suppose we try to prove the corners result using a density-increment strategy. That is, we try to prove that if a subset of  doesn’t have roughly the expected number of corners then there’s a substructure inside which  is noticeably denser. What is the obvious substructure? Well, we want something that will support corners, so the obvious thing to take is a Cartesian product of two arithmetic progressions with the same common difference. , However, this doesn’t work. Suppose we take  to be a Cartesian product of two random sets  and . Then there will be too many corners in  (because you just need  and  and you get  for free). But if  and  are arithmetic progressions, then  and  will look like random subsets of  and  so we won’t get any density increase. (But see a qualification to this remark later on.), This has an analogue in the Hales-Jewett setting. Suppose we take the example in 108, and we use random sets  and  to define it. Then there won’t be a combinatorial subspace contained in the resulting set  (or even intersecting it unusually densely) because the set of sizes of the 1-set of a vector in a combinatorial subspace will be a very special kind of set: the set of sums of some positive integers , and a random set will intersect such sets randomly., Both these conclusions are, however, false if we allow ourselves to pass to much smaller substructures. For instance, in the first case we could use Szemerédi’s theorem to get ourselves an arithmetic progression contained in  for some , and in the second we could use a cube lemma to get  such that all sums belong to . (I’m using these statements so that I don’t actually use the fact that  and  are random, which in general we are not going to be given.)</t>
  </si>
  <si>
    <t>C1830</t>
  </si>
  <si>
    <t>117. Obstructions., Tim, re #115 — thanks!  I understand what you mean.  I wonder if you could suggest the “quantitatives” to think about for density increment arguments.  , Let’s work with a different strongly nonuniform set.  Let  be the set of strings where the plurality digit in the first  coordinates is , the plurality digit in the second  coordinates is , and the plurality digit in the third  coordinates is .  This has density  and is strongly nonuniform.  (The “counterexample”  is the set of strings where the plurality digit in the first  coordinates is *not* , the plurality digit in the second  coordinates is *not* , and the plurality digit in the third  coordinates is *not* .  This has density  and forms no lines with .), But now it’s hard to improved ‘s density by restricting to a smallish-codimension combinatorial subspace.  Your best bet is (I assume) to put, say, lots of ‘s into the first  coordinates.  But so long as you fix only  ‘s, you’ve only improved ‘s density by .  , So I’m wondering what “quantitative aspects” one should hope for.  Perhaps  increase is enough, or  codimension is “not too much”.</t>
  </si>
  <si>
    <t>C1831</t>
  </si>
  <si>
    <t>86, 102</t>
  </si>
  <si>
    <t>understanding</t>
  </si>
  <si>
    <t>118.  Szemeredi’s proof of Roth’s theorem , Good morning again…  this topic is perhaps orthogonal to the others, but I think I begin to understand Szemeredi’s proof of Roth’s theorem(see 86) better.  For instance, I realised that it has the curious property of proving Roth in Z/NZ but not in  (at least, not without some further modification).  I also begin to see how the “sparsity” of the corners or DHJ problem is a serious difficulty extending Endre’s argument to this setting.  I don’t think this approach is totally hopeless, though, and might be worth pursuing in parallel with the “mainstream” obstructions-to-uniformity/triangle removal approach., Basically, Endre’s proof is based on three observations:, 1.  If A is dense, then it contains a structured set Q (specifically, a medium-dimensional cube)., 2.  If A has no 3-APs, and contains a structured set Q, then the complement of A contains a _large_ structured set, namely 2.Q – A., 3.  If the complement of A contains a large structured set (or equivalently, if A is “squeezed” into the complement of a large structured set), then there is some subprogression of A of increased density., Combining 1, 2, 3 and the density increment argument one obtains Roth’s theorem in Z/NZ., If we try to prove Roth in  rather than , then 1 and 2 still work fine, but I can only show 3 using Fourier analysis, but of course Roth in  is trivial with Fourier analysis anyway.  (Specifically, the question is whether one can find dense subsets A, B of  such that A is in the complement of , where d is a slowly growing function of n, and for which A, B have no density increments on a subspace.  Easy with Fourier analysis, and I don’t see how to do it otherwise.)  Somehow the problem is that  is not as “connected” as ., If we try to prove corners or DHJ, then 1 still works (see 102), but 2 now breaks down, basically because Euclid’s axiom “two points determine a line” begins to fail horribly.  Instead of A being squeezed into the complement of a large structured set, it seems that A is only squeezed into a complement of a small structured set, which is saying practically nothing.  (For instance, in the DHJ problem, colouring HJ already tells us that the complement of A must contain arbitrarily large combinatorial subspaces (for n large enough), but this seems to be a mostly useless piece of information, although it does at least imply the weak DHJ in 85.)  It my be that by localising to a well-chosen piece of  or  one can mitigate this problem, but I don’t see how yet.  And even after problem 2. is solved, one still has to grapple with 3., which as we saw was already problematic even in the model  case.</t>
  </si>
  <si>
    <t>C1832</t>
  </si>
  <si>
    <t>Ryan (plurality digit)</t>
  </si>
  <si>
    <t>119. Obstructions., Ryan, by “plurality digit” do you mean “digit for which there is a long run” or do you mean “digit that occurs most often”? From your second paragraph I think you must mean the second. , In fact, I see that you definitely mean the second, the idea being that you’d expect that digit to occur something like  times, on average anyway. But I’ll leave this comment here in case it helps anyone else.</t>
  </si>
  <si>
    <t>C1833</t>
  </si>
  <si>
    <t>120.  Density incrementation, Re: Ryan.117 (as opposed to Terry.117 🙂 now corrected — Tim, I can tell you what type of density incrementation you need to get in order to get a contradiction that finishes the proof., From the trivial bound , we know that the sequence  decreases monotonically to a limit .  DHJ is precisely the claim that , so suppose for contradiction that .  Then we can write , where  denotes a quantity that goes to zero as .  Note that the decay rate  here is completely ineffective., Thus, for n large, we can find a set  of density  with no combinatorial lines.  In particular, on any m-dimensional subspace, the density of A cannot exceed .  So, in order to get a contradiction, one needs to find a medium-size dimensional subspace on which one has a density increment that is bounded below uniformly in the dimension m of that subspace., A useful fact, by the way, is that upper bounds on density of all subspaces imply lower bounds on density of _random_ subspaces.  Indeed, consider a random subspace V of  with two properties: (a) the dimension of V is always at least m, and (b) any two subspaces which are “parallel” in the sense that their wildcard set is exactly the same will be drawn with equal probability.  Then I claim that with probability , the relative density of A in V will be .  Indeed, we can condition to fix the wildcard set of V, and observe that the remaining subspaces partition .  The mean density of the subspaces is thus the global density  of A, while from the preceding discussion we know that the maximum density is at most , and the claim now follows from Markov’s inequality.</t>
  </si>
  <si>
    <t>C1834</t>
  </si>
  <si>
    <t>here's a trick</t>
  </si>
  <si>
    <t>also a suggested reading</t>
  </si>
  <si>
    <t>121.  Szemeredi’s uniformisation trick, In 120 I noted how an extremal set A tends to have density close to  on most m-dimensional subspaces.  In Endre’s big paper (the proof of Szemeredi’s theorem), he uses a very nice double counting argument to say a much stronger statement: given any specified dense subset  of , A also has density close to  on “most” copies of .  (He eventually applies this fact to sets  that are the cells of a Szemeredi partition of a certain graph he constructs on .)  This trick does not appear to be as well known as it should be (and is absolutely crucial to Endre’s proof), so I am reproducing it here., Here is the formal claim: let  (where  means that “y is sufficiently large depending on x”, and let .  Then one can find a copy of  in A such that for every x in  and all , the relative density of A in  is ., Proof.  We need some intermediate numbers .  Pick a random copy of  in A.  By the previous discussion, every x in  has a probability  of being such that A has density  in .  By the union bound (assuming m is large depending on l), we may thus select a copy of  such that A has density  in every ., For each j, let f_j(x) be the density of A in , rounded to the nearest multiple of 1/r.  Applying coloring Hales-Jewett (because l is large compared to k, d, r), we can pass from  to a subspace  such that the  are constant on this subspace for all j: .  But by double counting the density of A on  we see that ; similarly by double counting the density of A on  we have .  The claim follows.</t>
  </si>
  <si>
    <t>C1835</t>
  </si>
  <si>
    <t>122.  Terry, re your first #120, thanks!  Er, would it be possible to explain it in the form, “The new dimension  needs to be at least , and the density needs to increase by at least .”?</t>
  </si>
  <si>
    <t>C1836</t>
  </si>
  <si>
    <t>Michael R. Douglas</t>
  </si>
  <si>
    <t>"some things are possible and others are not"; suggested reading incl.</t>
  </si>
  <si>
    <t>This is an interesting question.  I think there is quite a bit to be learned from the experience of open source development, as described for example in a very nice book “The Success of Open Source” by Steven Weber.  One gets the sense that some things are possible and others are not, and that to make such projects work one needs a serious organizational  structure behind the scenes., I didn’t have time to digest the long discussion so maybe this point has been made, but a good example of a hard problem which was solved by explicitly collaborative mathematics might be the classification of the finite simple groups.  Rather than base the discussion on particular new media or technologies (wikis, blogs, etc.), one might be better off looking at successful past efforts and then developing technology or media to support the styles of interaction which seemed to work.</t>
  </si>
  <si>
    <t>C1837</t>
  </si>
  <si>
    <t>concern with answer</t>
  </si>
  <si>
    <t>123.  I guess one thing that worries me is that it already seems hard to give explicit (nonrandom) sets  — strongly nonuniform or not! — which don’t have a modest density increment.  The only examples I know are those of the “modular arithmetic” type discussed by Boris and Tim earlier.</t>
  </si>
  <si>
    <t>C1838</t>
  </si>
  <si>
    <t>another source mentioned</t>
  </si>
  <si>
    <t>@Tyler Neylon, Yes, some kind of beefed up Wiki, see the discussion at Nathaniel Thurston’s blog</t>
  </si>
  <si>
    <t>C1839</t>
  </si>
  <si>
    <t>124 Sperner, Going back to Tim’s removal lemma in Kneser graphs 106 ; It actually says that every large matching in  spans at least the expected number edges. This would be a Ruzsa-Szemeredi type theorem in a sparse graph. From a different viewpoint it reminds me to Bollobas’ theorem, which states that any induced matching in   has size at most . There is an algebraic proof of Bollobas’ theorem by Lovasz, it might give us some information about the number of edges spanned by a large matching.</t>
  </si>
  <si>
    <t>C1840</t>
  </si>
  <si>
    <t>monologue</t>
  </si>
  <si>
    <t>125. ((follow on 111.) well, since the numeric values of the variables are not important for combinatorial lines this means that the equations (at least for k=3) can be slightly more general.)</t>
  </si>
  <si>
    <t>C1841</t>
  </si>
  <si>
    <t>not just collaboration but expose the 'dirty work'</t>
  </si>
  <si>
    <t>It could be that this attempt at “massively collaborative mathematics” actually reaches at a much, much bigger question than just massive collaboration, by exposing the “dirty work” it is likely to shed some light on the roots of creativity in mathematics, a topic which hasn’t been much delt with since the works of Poincaré and, Hadamard in The Psychology of Invention in the Mathematical Field.</t>
  </si>
  <si>
    <t>C1842</t>
  </si>
  <si>
    <t>Kevin O'Bryant</t>
  </si>
  <si>
    <t>126. Regarding Terry’s post (45), I’ve extended the Green/Wolf version of Elkin’s strengthened form of Behrend’s construction (of sets of integers without 3-term APs) to longer APs. This parallels Rankin’s extension of Behrend’s construction., http://arxiv.org/abs/0811.3057</t>
  </si>
  <si>
    <t>C1843</t>
  </si>
  <si>
    <t>127.  Density incrementation, @Ryan.122: This is true… where  is any function you choose that goes to infinity, and  is a function that you don’t get to choose, and goes to zero very very slowly (and ineffectively) as .  (But you are allowed to make f depend on g, for what it’s worth.), For sake of discussion, suppose the rate of convergence of  to  was inverse tower-exponential… then the game is basically “get a density increment of at least  on a subspace of dimension “.  Of course, we don’t know in advance that we have an inverse tower-exponential rate – so you have to prove something like this but with  replaced by some other unknown slowly growing function.</t>
  </si>
  <si>
    <t>C1844</t>
  </si>
  <si>
    <t>Tim, if it simplifies life any, I would be willing to host one of the threads (presumably the lower/upper bounds thread) on my own blog., To continue our comment numbering system, perhaps we could allocate to each thread a hundred numbers (200-299, 300-399, etc.)  with the understanding that threads would be closed and moved to new threads before that limit is reached.  (And if not, we could always improvise with decimals (299.1, 299.2, etc.) if necessary.)</t>
  </si>
  <si>
    <t>C1845</t>
  </si>
  <si>
    <t>Terry 102</t>
  </si>
  <si>
    <t>interesting fact</t>
  </si>
  <si>
    <t>would be circular so we can't use in the proof</t>
  </si>
  <si>
    <t>128. Density incrementation, One reason, by the way, why it’s so difficult to find dense subsets of  that don’t have any significant density incrementation on a large subspace is that, thanks to the k=3 DHJ theorem, they don’t exist!  (In particular, any dense subset has to have density 1 on a subspace of dimension  for some f going to infinity, by the same argument used in Terry.102.)   , Of course, we can’t actually use this fact in our proof, as it would be circular.</t>
  </si>
  <si>
    <t>C1846</t>
  </si>
  <si>
    <t>Kristal Cantwell</t>
  </si>
  <si>
    <t>I voted for multiple new threads with summary. It seems the best system. When there are multiple topics it seems best to separate them
rather than trying to summarize each topic and start again., Kristal</t>
  </si>
  <si>
    <t>C1847</t>
  </si>
  <si>
    <t>I voted for one new post, to keep the threads interconnected.  However, I think it would be better to move to a blog that supports threaded comments (such as Geeklog).  I could set one up and host it if needed.  I wouldn’t favor a wiki just yet, as it seems likely to fragment the discussion too much.</t>
  </si>
  <si>
    <t>C1848</t>
  </si>
  <si>
    <t>translation</t>
  </si>
  <si>
    <t>129. Sperner, For people who aren’t comfortable with induced matchings, here’s a translation of what Jozsef says in 124 about Bollobás’s theorem. An induced matching in a graph means a collection of edges  such that no  is joined to any  with . So the theorem is saying that in the graph where you join two sets of size  if and only if they are disjoint, the biggest collection of disjoint pairs  you can find with  always intersecting  if  is the one where you take all subsets  of a -element subset of  and let  in each case. Jozsef, there clearly needs to be a lower bound on  in terms of  here: can you remember what it is?</t>
  </si>
  <si>
    <t>C1849</t>
  </si>
  <si>
    <t>split the thread</t>
  </si>
  <si>
    <t>Metacomment: It would be useful if contributors to this discussion could look at the discussion over on the Questions of Procedure post. I’ve done a poll and there seems to be a small majority in favour of separate new posts for each thread. That would require summaries of the various threads, so I think we need to agree what they are and find out who would be prepared to write the summaries. Jason’s given us some suggestions about what the threads might be, though I think things may have moved on since then. I’ll discuss this over at the other post.</t>
  </si>
  <si>
    <t>C1850</t>
  </si>
  <si>
    <t>split the threads, suggested/identified topics), add concrete to the discussion</t>
  </si>
  <si>
    <t>I’m in a bit of a hurry now, but here, just to make the discussion more concrete, is a list off the top of my head of what some of the threads are., Upper and lower bounds for ., Trying to find different proofs of Sperner’s theorem with better chances of generalizing to density Hales-Jewett., Obstructions to uniformity and density arguments., Is there a new regularity lemma that would work inside the is-disjoint-from graph?, General discussion of strategies for proving the theorem., Using Szemerédi’s original proof as a model., Some of the above are connected, and some of them (such as e.g. the Sperner thread) could be split into further subthreads (e.g. pair removal, pushing slices around, etc.)., So two questions here. First, what should the threads be if we split into threads? Secondly, who’s prepared to write summaries? (I’m happy to do some of them — it’s probably fairly obvious which ones I feel most involved with.), Terry, that’s a kind offer, which sounds like a good idea.</t>
  </si>
  <si>
    <t>C1851</t>
  </si>
  <si>
    <t>almost a full duplicate of C1850</t>
  </si>
  <si>
    <t>I’m in a bit of a hurry now, but here, just to make the discussion more concrete, is a list off the top of my head of what some of the threads are., Upper and lower bounds for ., Trying to find different proofs of Sperner’s theorem with better chances of generalizing to density Hales-Jewett., Obstructions to uniformity and density arguments., Is there a new regularity lemma that would work inside the is-disjoint-from graph?, General discussion of strategies for proving the theorem., Using Szemerédi’s original proof as a model., Some of the above are connected, and some of them (such as e.g. the Sperner thread) could be split into further subthreads (e.g. pair removal, pushing slices around, etc.)., So two questions here. First, what should the threads be if we split into threads? Secondly, who’s prepared to write summaries? (I’m happy to do some of them — it’s probably fairly obvious which ones I feel most involved with.)</t>
  </si>
  <si>
    <t>C1852</t>
  </si>
  <si>
    <t>keep current setup for this project, plan on using something else for the next one</t>
  </si>
  <si>
    <t>I think the pace of new comments will probably slow down a bit from its current intensity, and so I would favour relatively few new posts in order to retain some residual benefit from cross-fertilisation.  For instance, I could combine “upper and lower bounds for c_n” with “Other proof strategies, including those based on Szemeredi’s arguments” in a single post on my blog.  “General strategies” sounds like a topic that should belong in every thread., It seems abundantly clear that polymath2 will be hosted on something other than a wordpress blog, but I think we should keep polymath1 in the current setup, clunky as it is.</t>
  </si>
  <si>
    <t>C1853</t>
  </si>
  <si>
    <t>interesting</t>
  </si>
  <si>
    <t>that's odd</t>
  </si>
  <si>
    <t>identifying an alternate problem … maybe missing something obvious</t>
  </si>
  <si>
    <t>130.  The k=2.5 case of DHJ, I was trying to adapt Szemeredi’s proof of Roth’s theorem to the k=3 DHJ case, somehow using the k=2 DHJ (Sperner) as an initial step, when I discovered a very strange phenomenon for DHJ, not present for corners or for arithmetic progressions: I cannot logically relate k=2 DHJ to k=3 DHJ!  Instead, k=3 DHJ trivially implies the following statement:, k=2.5 DHJ:  If n is sufficiently large depending on , and  has density at least , then there exists a combinatorial line whose first two points lie in A., But I cannot deduce k=2.5 DHJ from the k=2 DHJ, or conversely, basically because  is an incredibly sparse subset of .  Actually, despite the Sperner-type appearance to k=2.5 DHJ, I was not able to come up with a combinatorial proof of this statement at all!  Presumably I must be missing something obvious.  But in any case, this looks like an obvious test problem to work on, being strictly easier than k=3 DHJ.</t>
  </si>
  <si>
    <t>C1854</t>
  </si>
  <si>
    <t>131.  Szemeredi’s proof of Roth’s theorem, This is perhaps only for my own benefit, but I was at least able to extend Szemeredi’s proof of Roth’s theorem (see 86, 118) to the  setting.  As in 118, we know that the complement of A contains 2.Q – A for some medium-dimensional cube Q.  We can represent Q as an increasing sequence  as in 86, and use the pigeonhole principle to find a place where  stabilises, i.e. it has almost the same density as  for some medium-sized h.  Thus the set  is almost invariant under the h steps , and so is approximately equal to a union of cosets of the subspace V spanned by these h vectors.  So A largely avoids a dense union of cosets of V, so by pigeonhole, it must have significantly increased density on another coset of V, and this is enough for the density increment argument to kick in., But I do not see how to use this sort of argument to prove either DHJ or corners, the problem being that the analogue of 2.Q-A is far too sparse in either setting.</t>
  </si>
  <si>
    <t>C1855</t>
  </si>
  <si>
    <t>65, 114</t>
  </si>
  <si>
    <t>evaluating problem</t>
  </si>
  <si>
    <t>not obvious so good to think about</t>
  </si>
  <si>
    <t>132.  The k=2.5 case of DHJ., Terry: how interesting!  I sort of had thought of this k=2.5 version at some point (it was in my mind when writing #65).  My two thoughts on it were:
a) it probably should follow from some Sperner-pushing-shadows-around argument;
b) trying to extrapolate from it to the k=3 result looked very difficult (due to the incredible sparsity you mention) but worth thinking about (this was sort of in my mind at the end of #114)., So I’m surprised and interested to hear that its combinatorial proof is not obvious.  Seems indeed like a good problem to think about then.</t>
  </si>
  <si>
    <t>C1856</t>
  </si>
  <si>
    <t>132. To prove k=2.5 in post Tao.#130 note that we can assume that the number of 1’s 2’s and 3’s is  of each in all words of . Then look at copies of 2^n of the following type. For a word   in  of length n with say  stars, consider all the words obtained from  by replacing stars with 1’s and 2’s. Hence, for each  we get a copy of 2^n. Density on each such copy is at most . If , double-counting argument gives DHJ k=2.5.</t>
  </si>
  <si>
    <t>C1857</t>
  </si>
  <si>
    <t>someone … maybe C1856</t>
  </si>
  <si>
    <t>133. I was just going to say something similar.  My version:  Suppose  has density greater than  in .  Then there has to be a particular way of fixing the positions of the ‘s such that ‘s density in the resulting copy of  is still greater than .  Now apply Sperner.</t>
  </si>
  <si>
    <t>C1858</t>
  </si>
  <si>
    <t>here he is again "super-duper-naïve"</t>
  </si>
  <si>
    <t>134.  The “pushing shadows around” Sperner proof gives (I think) nice statements like, “If ‘s density is a lot more than  then it must contain lots of “half-combinatorial lines”.”  My super-duper-naive hope in #114 was that if we could find “enough” of these half-lines in  (since, after all,  has density ), we might be able to find a third point in  to finish off one of the half-lines.  But such a plan would have to be awfully sophisticated to have a shot at working, I’d guess.</t>
  </si>
  <si>
    <t>C1859</t>
  </si>
  <si>
    <t>interesting/remarkable RE the shadow</t>
  </si>
  <si>
    <t>135., The k=2.5 case of DHJ, There is more true, namely there are subcubes in any dense subset of . An m-dimensional subcube is a set of elements each has some fixed positions where all elements are the same (1,2, or 3) and m blocks where the elements in one block are all one or all two. There is an element for every possible 1-2 combination of the blocks so there are  elements in a subcube. I tried to use such subcubes for a Szemeredi type argument, but without success. It is also remarkable, that the shadow of such cube (elements where one block has 3-s) can’t be in our set or there would be a line. The shadow also contains an m-1 dimensional – empty – subspace, . So, we know that for our set is full with empty subspaces, however I don’t know if we have enough for pushing the density up in another subspace.</t>
  </si>
  <si>
    <t>C1860</t>
  </si>
  <si>
    <t>Contd. There is a relevant paper of Gunderson, Rödl, and Sidorenko, where they give sharp bounds on subcubes I mentioned in the previous note. Title: “Extremal problems for sets forming Boolean algebras and complete partite hypergraphs, J. Combin. Th. Ser. A 88 (1999), 342-367. ”
You can find it at http://home.cc.umanitoba.ca/~gunderso/published_work/paper7.pdf  .</t>
  </si>
  <si>
    <t>C1861</t>
  </si>
  <si>
    <t>136 Density increment, Let me try to make the previous observation clear. We show that if  is c-dense and line-free, then for every m there is a    such that c’ – fraction of the m-dimensional subspaces () have empty intersection with S.</t>
  </si>
  <si>
    <t>C1862</t>
  </si>
  <si>
    <t>tim's question RE sperner</t>
  </si>
  <si>
    <t>maybe I overlooked something - the messiness of science in progress again</t>
  </si>
  <si>
    <t>137. Sperner , On Tim’s question; I don’t think that there is a lower bound on m.
Also, I don’t see what would be the right question here. If we take a perfect matching, extremal for Bollobas’ theorem, with m=n/2-k (k is a small integer) then there are only a few edges, but you have to remove half of the sets to destroy all edges. Or, it is late night again, and I overlooked something.</t>
  </si>
  <si>
    <t>C1864</t>
  </si>
  <si>
    <t>interesting philosophical take on the counter argument</t>
  </si>
  <si>
    <t>138. Sperner, Ah yes, I was thinking that if  was much much larger than  then you would do better by choosing lots of completely disjoint pairs , but I was overlooking the fact that  is not allowed to be disjoint from . , Let me check the arithmetic in your last remark. If  is a small integer, then the number of sets in  is about  times the number of sets in , I think. Yes, that’s right, since the ratio of  to $\binom{n}{m}$ is , which for us is about 2. So if  is a small integer, then it is indeed the case that choosing all subsets of  gives us a positive fraction of all sets. But in this case, the only edges are the ones that join a set to its complement in ., The annoying thing (from the point of view of trying to formulate a decent conjecture) is that this makes the graph sparse. After all, the average degree in the graph, even when , tends to infinity with . (It is  which is around .), However, I think that there is still hope for a less neat conjecture that concerns several layers around the middle. And I also think that there may be some counterpart of this false conjecture for -sequences that is also false. I think once we identify this counterpart, we will see that we never expected or needed it to be true, and that will make us feel better about whatever -version we come up with. I’m busy for a few hours now but will try to make all this more precise later.</t>
  </si>
  <si>
    <t>C1865</t>
  </si>
  <si>
    <t>restriction identified</t>
  </si>
  <si>
    <t>"rescuing the conjecture"</t>
  </si>
  <si>
    <t>139.  Sperner, Just one tiny extra remark before I go. For now it seems that one way of rescuing the conjecture is to insist that  tends to infinity with , so that  is no longer a constant fraction. This feels like a natural restriction because it corresponds to insisting that the variable set has size that tends to infinity — which in general it will have to.</t>
  </si>
  <si>
    <t>C1866</t>
  </si>
  <si>
    <t>Andrew Stacey</t>
  </si>
  <si>
    <t>tool suggestion</t>
  </si>
  <si>
    <t>Have you not considered a maths-enabled forum?  Wouldn’t that make threading and starting discussions much easier?  Also, you can have more than one administrator making that aspect of it also simpler.  On a good forum, cross-posting is possible so the structure can be quite complicated without losing sight of how things link together.</t>
  </si>
  <si>
    <t>C1868</t>
  </si>
  <si>
    <t>would finding the best x help us solve y?</t>
  </si>
  <si>
    <t>140. Sperner, I think what I said in my previous two comments does indeed make sense. To see why, imagine that we tried in the DHJ case to a single triple of slices ,  and . Then the triangle removal lemma would say that if there were very few combinatorial lines coming from some subsets of these three slices, then one could remove a small proportion of points from the subsets and end up with no combinatorial lines. If  is a fixed positive integer, then this is false, but we don’t expect to be able to produce combinatorial lines with a fixed size of variable set: the size will have to depend on the density of ., If a triangle removal lemma is true for triples of slices like this when  is large, I’m not sure that it implies DHJ, because as I’ve already pointed out you don’t get degenerate triples that involve three different slices — obviously enough. In fact, this is a general point to think about: if we found the most wonderful triangle removal lemma imaginable, would it actually lead to a proof of density Hales-Jewett? (I think there is an analogy with the situation with corners that suggests to me that the answer isn’t obviously no.), Going back to Sperner, my current pair-removal problem, not yet shown to be true and not yet shown to be badly formulated, is to show that if  and  are subsets of , where  and  tends to infinity slowly with , and if there are few disjoint pairs , then it is possible to remove a small number of sets (compared with ) from  and end up with no disjoint pairs.</t>
  </si>
  <si>
    <t>C1869</t>
  </si>
  <si>
    <t>might be the missing ingredient</t>
  </si>
  <si>
    <t>141. Sperner, In relation to 140, I tried to work out what the regularity lemma says for 1-uniform hypergraphs, but the resulting statement is even more ridiculous than pair removal in the dense case and not worth repeating here. This makes me think that there’s a genuine chance that if we could prove an appropriate disjoint-pair removal lemma, that it might be the extra ingredient that’s needed to mix with triangle-removal to get DHJ. I realize that I’ve sort of said this before.</t>
  </si>
  <si>
    <t>C1870</t>
  </si>
  <si>
    <t>suggestion</t>
  </si>
  <si>
    <t>142.  Sperner, Part of the Kneser-graphs philosophy is that they behave rather like the graph on the n-sphere where you join two points if they are almost antipodal to each other. So another question that might be worth investigating is whether there is any chance of an almost-antipodal-pair-removal lemma. It would say something like this. Let  and  be two subsets of  such that the measure of all pairs  such that ,  and  is small. Then it is possible to remove sets of small measure from  and  and end up with no such pairs., It may take some work to turn that into a decent question, if indeed it can be done. I think I know what it means for the set of disjoint pairs to have small measure. It should mean small compared with the measure of all such pairs in  (which is equal to 1 times the measure of the spherical cap ). , In this continuous context, it might be necessary for the conclusion to say that after the removal what you no longer have is pairs that have inner product less than  for some . , I’m slightly suspicious of this variant, because it feels to me as though if you’ve got two sets with  no  almost antipodal pairs then at least one of them must be very small, unless  is something like . In fact, that is indeed the case as it’s saying that the distance from  to  is large, so it comes from concentration of measure. I’m not yet sure what happens if you just assume that  contains few almost antipodal pairs. If it is possible for both  and  to be large, then the result is false, and if it is impossible then it is in a certain sense trivial., But I think this could be a useful observation: it shows that if there is any chance of a statement holding in the Kneser graph, then it must use some property of that graph that distinguishes it from the sphere graph.</t>
  </si>
  <si>
    <t>C1872</t>
  </si>
  <si>
    <t>C1865, (132,C1857,C1859,C1861,C1862,118,121)</t>
  </si>
  <si>
    <t>143. Sperner, Tim, just a small correction to 139: the number k of wildcards can be taken to be bounded by a quantity depending only on the density delta, either for Sperner or DHJ.  Indeed, one can foliate  or  into slices of  or , where  is the first integer for which Sperner or DHJ applies.  By the pigeonhole principle, one of these slices has density at least , and thus contains a combinatorial line with at most  wildcards., Now, there should also be lines with wildcard length as high as  or so, I think.  I can reason by analogy with the corners setting: suppose one wanted to find corners in a dense subset of the strip .  One can cover this strip by grids of spacing k and of length at least  (where  is similar to as in the previous paragraph), and it seems to me that one should get a corner of length equal to a bounded multiple of k for any specified k between 1 and a small multiple of .  I think the same sort of argument should work in the DHJ case.  But it seems to me that it is somehow easier to fish for lines in the small k end of the pool rather than the large k end, even though the graph is denser in the latter case., Re: 132, 133, 135: thanks, it’s clear now that 2.5 and 2 are equivalent.  For some reason I was reluctant to partition the big cube  into variable-sized copies of , but I see now that that is the way one should think about it., Jozsef@135,136,137: this fits pretty well with what I said at 118.  The key step in Endre’s proof of Roth is that a small cube Q is suddenly amplified to a huge structured set 2.Q-A in the complement which has really big density (at least ) and still contains tons of cubes (and more to the point, parallel cubes).  In our situation we have a much sparser set of cubes in the complement, and they are not all parallel to each other, and it doesn’t look like this is enough to force a significant density increment anywhere.  (Note also that one could also get a similar sparse collection of non-parallel cubes in the complement from the colouring HJ theorem.)   I tried to combine all this with Endre’s uniformisation trick (121) but without luck (again, the issue is sparsity, the  in 121 need to be dense).</t>
  </si>
  <si>
    <t>CTao_35488</t>
  </si>
  <si>
    <t>Tao_2</t>
  </si>
  <si>
    <t>Lior</t>
  </si>
  <si>
    <t>200. Bounds for , Regarding the capset problem, here is a review of known values up to .</t>
  </si>
  <si>
    <t>C1875</t>
  </si>
  <si>
    <t>144 Sperner, I would like to see a removal lemma type argument for Kneser graphs very much and I agree that if k goes to infinity (Tim 138), then there should be a sensible one. Let me mention a light version of the triangle removal lemma, which is still strong enough for applications; If the number of triangles is  in an n-vertex graph, then one can remove  edges to destroy a positive fraction of the triangles. So, I don’t think that in the Kneser graph problem we should go for removing all edges, it should be enough that with a few vertices we can destroy much more than expected edges.</t>
  </si>
  <si>
    <t>C1876</t>
  </si>
  <si>
    <t>144 Contd. I meant  triangles …</t>
  </si>
  <si>
    <t>C1878</t>
  </si>
  <si>
    <t>Ryan  O'Donnell</t>
  </si>
  <si>
    <t>145.  Sperner., Hi Tim, re your #142.  It is known that for all , among sets  and  on the sphere of fixed measures, the ones which minimize the measure of pairs  with  are the “concentric” caps.  Note that in high dimensions, having inner product  is very much similar to having inner product .  The proof is by shifting.  One such proof appears here:  http://www.wisdom.weizmann.ac.il/~feige/Approx/maxcut.ps, Based on this it may be possible to calculate the answer to your question.  I actually prefer to do these things not on the high-dimensional sphere but on the equally good surrogate, high-dimensional Gaussian space.  It is known that for all , the subsets  and  of fixed Gaussian measure which minimize the probability of , where  is a pair of correlated Gaussians with covariances , are two “parallel” halfspaces.  This is a theorem of Borell:
http://www.springerlink.com/content/n761353703r7p675/, Just wanted to get those references out there; will try to think about the ensuing calculations…</t>
  </si>
  <si>
    <t>C1879</t>
  </si>
  <si>
    <t>(C1831, C1870)</t>
  </si>
  <si>
    <t>conditions needed to apply a trick</t>
  </si>
  <si>
    <t>146 Sperner, Terry @118 142, Yes, We need more structure to apply Endre’s trick. It was easy to apply when (almost) every element is a center of symmetry in the following way; Choose an element of your set (center). Any other element has a unique mirror image and if both are in your set, then your set contains a 3-term arithmetic progression. With HJ, most pairs are not in line, so the “symmetry” is only local.</t>
  </si>
  <si>
    <t>C1880</t>
  </si>
  <si>
    <t>considering potential paths</t>
  </si>
  <si>
    <t>restating basic problem - we want the density to tend to zero so we need to tend to infinity</t>
  </si>
  <si>
    <t>147.  Sperner, Terry — indeed. In fact, I came to a similar realization in the DHJ context at the end of the first paragraph of 140. But I suppose one could regard things in another way and say that we’re trying to get the density to tend to zero (very very slowly) and therefore we need  to tend to infinity., Ryan — at first I skimmed what you said and thought it was repeating what I had said, and then I realized that it wasn’t at all. Although the sphere question seems genuinely distinct from the Kneser-graphs question, it is definitely good to know that something along these lines is known., If  and  are concentric caps and are not of tiny measure, then they must reach almost all the way to the equator, at least, so my guess is that that will give them a lot of almost antipodal pairs. So at the moment my money is on few antipodal pairs implying that at least one of  and  has small measure. If so, then we would have the true-for-not-quite-the-kind-of-reason-we-hoped-for option rather than the false option.</t>
  </si>
  <si>
    <t>C1881</t>
  </si>
  <si>
    <t>einstein approximation</t>
  </si>
  <si>
    <t>while somewhere else … had an idea</t>
  </si>
  <si>
    <t>148. Sperner, As I was sitting through my daughter’s piano lesson, my mind wandered back to pair removal in , and I found myself wondering whether we were already done. Almost certainly not, but in the spirit of keeping thoughts public, let me attempt to deduce it from the theorem of Bollobás mentioned by Jozsef in 124., First, here’s the thought that’s in the back of my mind. It’s that the number of edges you need to remove to make a graph triangle free is within a constant of the largest possible number of edge-disjoint triangles in that graph. (This was pointed out to me by Tom Sanders.) The proof is that if you’ve got  edge-disjoint triangles then you need to remove at least  edges. Conversely, if you’ve got a maximal set of edge-disjoint triangles and there are  of them, then if you remove all edges from all those triangles you will be left with no triangles (because any triangle left would be edge-disjoint from the removed ones, contradicting maximality). So the two numbers are equal to within a factor of 3., Now suppose we are trying to get rid of all disjoint pairs  from  If we can find  such pairs, with no two sharing a  or a , then we have to remove at least  sets from  Conversely, if we’ve got a maximal set of disjoint pairs and we remove all sets that are involved in those pairs, then we cannot have any disjoint pairs left., I now see that Jozsef understood this way back in 104. And unfortunately, it’s not covered by Bollobás’s theorem because that concerns maximal induced matchings rather than maximal matchings., However (and this too Jozsef clearly realized ages ago), this little argument allows us to rephrase the question: if you’ve got a lot of disjoint pairs  (of sets of size  in ), where all the  are distinct and all the  are distinct, then are you forced to have a lot of disjoint pairs  with . Bollobás’s theorem states that you must have at least one such pair. I suppose an averaging argument would lift that up to something, but probably not to within a constant of the trivial maximum. But as Jozsef suggested, the proof of Bollobás’s theorem might do something for us.</t>
  </si>
  <si>
    <t>C1882</t>
  </si>
  <si>
    <t>38,44,71,73,76,108,117,60,70,71,94</t>
  </si>
  <si>
    <t>cross-thread references</t>
  </si>
  <si>
    <t>148.  Obstructions to uniformity, It took me a while to catch up with this thread – this is perhaps one thread which is particularly ripe for a fresh start with a post summarising previous progress and listing the known examples., Here are the examples of interesting “obstructing sets” to either DHJ, Sperner, or Kruskal-Katona that I can find in the above threads:, Gowers.38: A set A of words x whose last entry  depends on the parity of the number of 1s in all other entries., Boris.44, Gowers.71, Boris.73, Gowers.76, Gowers.108, Ryan.117: A set A such that for all x in A, the number (a,b,c) of 1s, 2s, and 3s of x respectively in  (or some subset S of indices in , or using some other weighting on ) lie in a structured set., Gowers.69, 70, 71: A set A such that the probability that  for some , some , and x drawn uniformly from A, deviates significantly from 1/3., Ryan.92: A consists of all the sets which contain a medium-sized block of 2s among some special collection of blocks., Ryan.94: Take any existing example of a non-uniform set A and tack on some fixed string of digits (e.g. 23) at the end, increasing n to n+2 (say) and decreasing the density by a factor of 9 (say)., It seems that one can unify all of the above examples so far.  Given a set A and weighting w on n by integers, define the richness profile of A with respect to the weight w to be the function that assigns to each triple (a,b,c), the number of elements of A whose weighted count of 1s, 2s, and 3s are equal to a, b, c, respectively.   (In most examples, w is just the indicator function of some set S of indices in n, so the profile is counting how many 1s, 2s, and 3s there are in S.), A set A has an standard obstruction to uniformity if there is a reasonably large subspace V on which A has equal or larger density, and a weight w such that the richness profile of  with respect to w, deviates in a structured way from what one would expect in the random case.  (This is for instance the case if A has significantly large density on V than it does globally.)  By “structured” I mean that the deviation is not pseudorandom in the sense of locating corners  in the richness profile., This seems to cover all known examples, while still excluding the random example.  (Incidentally: have we shown yet that the random set is quasirandom?  This seems to be a necessary step if we are to have any hope at all here.)</t>
  </si>
  <si>
    <t>C1884</t>
  </si>
  <si>
    <t>149. Obstructions to uniformity., A couple of things I didn’t quite understand there Terry. If you pull over the obstructions from  (as suggested in 116), do you call that a pseudorandom deviation? Where does that example fit into your scheme above? And what are you referring to when you talk about “the random example” in your last paragraph? Do you mean that your definition of a standard obstruction does not apply to random sets? I think I don’t really understand the last sentence of your penultimate paragraph.</t>
  </si>
  <si>
    <t>C1885</t>
  </si>
  <si>
    <t>C1870, 82 also</t>
  </si>
  <si>
    <t>150. Re the last sentence in Tim’s #142:  I mentioned this in #82 but perhaps I should have pointed to a later-on paper in the Irit Dinur oeuvre:, Click to access intersecting.pdf, Here she and Friedgut give a mostly complete characterization of large independent sets in Kneser graphs for  a little bit less than .  To be a large intersecting family, you have to nearly be a subset of a large intersecting family which is a “junta”.  (A set family  is a “junta” if a set’s absence or presence in  depends only on its inclusion/exclusion of a constant number of coordinates from .), They also discuss the “cross-intersecting” question, which is basically when you have *two* set families — as we do.  I would also guess that the improved characterization in their “Conjecture 1.3” may well be provable with “today’s technology”.</t>
  </si>
  <si>
    <t>C1886</t>
  </si>
  <si>
    <t>reading</t>
  </si>
  <si>
    <t>151. Sperner, Ryan, I didn’t manage to find an obviously relevant part of the paper you linked to in 82, but the reference you’ve just given does indeed look promising. Do you know enough about their argument to know whether it is robust? That is, if instead of assuming that you have an intersecting (or cross-intersecting) family you just assume that your sets intersect almost all the time, can you still say that there’s some small set of coordinates that explains this phenomenon? I see that their methods of proof are pretty analytic, so maybe there’s some hope here.</t>
  </si>
  <si>
    <t>C1887</t>
  </si>
  <si>
    <t>Andrew? Tom?</t>
  </si>
  <si>
    <t>need for summaries into sub-problems</t>
  </si>
  <si>
    <t>Andrew: it was one of the first things I thought of, but I’ve had a look on the web and not found anything that’s obviously easy to set up and also easy to write maths in in the way that a WordPress blog is. Tom, I looked into Disqus and was tempted, but there seem to be concerns about losing all one’s comments up to now, and about moving the entire hosting to another site. There does seem to exist a threading plugin for WordPress but it didn’t look all that easy to get going., I’ve been surprised at how much I value the rather strange and artificial linear structure that’s been imposed on the discussion so far. So I think I agree with Terry that if we do what the majority want and split into multiple threads, then the multiplicity should be small. I suggest just three, which one could loosely think of as regularity and triangle removal methods, density methods, and purely combinatorial methods. Into the first thread would go the discussion of Sperner, thoughts about possible regularity lemmas, triangle removal, etc. Into the second would go obstructions to uniformity, attempts to define quasirandomness for combinatorial lines, etc. And into the third would go upper and lower bounds for small , Szemerédi’s proof, etc. I’m happy to write a summary for the first, Terry has offered to do one for the third, and we can probably cobble something together for the second by cutting and pasting from existing comments (though maybe it would be better to tidy things up more. Maybe someone else feels like doing it.</t>
  </si>
  <si>
    <t>C1888</t>
  </si>
  <si>
    <t>152.  Hi Tim.  Since the proof is analytic, it should almost surely be fine if the initial set(s) are almost always intersecting.  Perhaps an even better reference is the proof of Thm. 1.1 in the last 4 pages of this intermediate paper:, Click to access DFR.pdf</t>
  </si>
  <si>
    <t>new thread</t>
  </si>
  <si>
    <t>Upper &amp; Lower Bounds specific thread starts here</t>
  </si>
  <si>
    <t xml:space="preserve">
This is a continuation of several threads from Tim Gowers’ massively collaborative mathematics project, “A combinatorial approach to density Hales-Jewett“, which I discussed in my previous post.
For any positive integer n, let  be the set of strings of length n consisting of 1s, 2s, and 3s, and define a combinatorial line to be a triple of such strings arising by taking a string in  with at least one wildcard x, and substituting x=1, x=2, x=3 in that string (e.g. xx1x3 would give the combinatorial line ).  Call a set  of strings line-free if it contains no combinatorial lines, and let  be the size of the largest set A which is line-free.  We then have
Density Hales-Jewett theorem (k=3): , i.e. .
This theorem implies several other important results, most notably Roth’s theorem on length three progressions (in an arbitrary abelian group!) and also the corners theorem of Ajtai and Szemeredi (again in an arbitrary abelian group).
Here are some of the questions we are initially exploring in this thread (and which I will comment further on below the fold):
What are the best upper and lower bounds for  for small n?  Currently we know , with some partial results for higher n.    We also have some relationships between different .
What do extremal or near-extremal sets (i.e. line-free sets with cardinality close to ) look like?
What are some good constructions of line-free sets that lead to asymptotic lower bounds on ?  The best asymptotic lower bound we have currently is .
Can these methods extend to other related problems, such as the Moser cube problem or the capset problem?
How feasible is it to extend the existing combinatorial proofs of Roth’s theorem (or the corners theorem), in particular the arguments of Szemeredi, to the Density Hales-Jewett theorem?
But I imagine that further threads might develop in the course of the discussion.
As with the rest of the project, this is supposed to be an open collaboration: please feel free to pose a question or a comment, even if (or especially if) it is just barely non-trivial.  (For more on the “rules of the game”, see this post.)
— I.  for small n —
Because the Cartesian product of two line-free sets is line-free, we have a lower bound
 (1)
for all , although this seems to be an inferior bound in practice.
There is a trivial bound
 (2)
which comes from the observation that any line-free subset of  can be split into three slices, each of which is essentially a line-free subset of .  In particular, since , we see that
 (3)
for .
If we identify  with  and consider the set
, (4)
thus .  Observe that a combinatorial line with a,b,c,k 1s, 2s, 3s, and wildcards respectively lies in  if and only if k is a multiple of 3, and a is not equal to b mod 3.  In particular,  is line-free for , thus matching the upper bound (3) and concluding that
 (5)
For n=4, the only combinatorial lines remaining in  are  and their permutations.  Thus (as observed in Neylon.83) the set  is line-free, leading to the lower bound .
This bound was complemented with the lower bound  in Jakobsen.90.  Thus .
For , the best lower bound currently is  (Neylon.83) and .
No attempt at getting reasonable bounds for , etc. appears in the previous threads.
Question I.A: Can we improve the upper and lower bounds on ?
Question I.B: Is there some reasonably efficient way to automate this process?
Question I.C: What do the extremal line-free sets (sets of size close to ) look like?
At some point we should submit this sequence to the OEIS.
— II. Lower bounds on  for large n —
For any integers a,b,c adding up to n, let  be the set of all strings with a 1s, b 2s, and c 3s.  Observe that if  is any set of triples (a,b,c) that avoids equilateral triangles  for , then the set  is line-free.  In particular, if we choose B to be the set of all triples  such that a+2b lies in a set free of length three arithmetic progressions (e.g. a Behrend set), then  is line-free.  This seems to give a lower bound
. (6)
Question II.A: Using the Elkin bound on Behrend sets, what is the precise lower bound one gets? (Solymosi.46.5 notes that we should restrict the Behrend set to scale  rather than n).
Question II.B: What does one get for higher k than 3?  Presumably one would use the O’Bryant bound (O’Bryant.126).
Question II.C: Do the examples from Section I extend to give competitive lower bounds for large n?
Question II.D: Are there better ways to avoid triangles or corners in two dimensions than simply lifting up the Behrend example from one dimension?
— III. Miscellanous facts about  —
Using the colouring Hales-Jewett theorem, one can show that for every m, one has  for sufficiently large m, improving (2) very slightly; see (Tao.85).
Question III.A: Anything else we can say about the ?  For instance, is there a relation to Hales-Jewett numbers HJ(3,r) (defined as the first n such that every r-colouring of  contains a monochromatic combinatorial line?)
Note: as pointed out in Gasarch.45.5, Hindman and Tressler have recently established that , , and .
— IV. Related problems —
Let  denote the largest subset of  which does not contain any geometric line (which is the same as a combinatorial line, but has a second wildcard y which goes from 3 to 1 whilst x goes from 1 to 3, e.g. xx2yy gives the geometric line ).  The Moser cube problem is to understand the behaviour of .  The first few values are (see OEIS A003142):
. (7)
It is clear that .
Elsholtz.43 proposed modifying the construction of (6) to give a similar lower bound on , but a difficulty was found in Solymosi.48.  Currently, the best known asymptotic bounds for  are
 (8)
Question IV.A.  Can we improve the lower bound in (8)?
Question IV.B. Can we get good bounds on ?
Define  to be the largest cardinality of a subset of  which contains no algebraic lines, defined as a triple  where ; such sets are known as capsets.  Clearly .  As noted my previous blog post, the best asymptotic bounds are
 (9)
Question IV.C.  Can we improve on these bounds in any way?
Question IV.D. What are the first few values of ?  Brute force calculation reveals .  (Presumably this sequence is also in the OEIS.)
Update, Feb 7: I will now maintain a running table of the current “world records” for  for small n, formed by combining all the bounds already mentioned in this post and comments.
Update, Feb 8: A more complete (and up-to-date) spreadsheet can now be found here.
n
0
1
1
1
1
2
2
2
2
6
6
4
3
18
16
9
4
52
43
20
5
150,154
96,129
45
6
450,462
258,387
112
7
1302,1386
688,1161
236,292
8
3780,4158
1849,3483
472,773
9
11340,12474
4128,10449
1008,2075
10
32864,37422
11094,31347
2240,5632
11
95964,112266
29584,94041
5040,15425
12
287892,336798
79507,282123
12544,42569
13
837850,1010394
175504,846369
26432,118237
14
2458950,3031182
477042,2539107
52864,330222
15
7376850,9093946
1272112,7617321
112896,926687
green – obtained via the inequality (1)
orange – obtained via the inequality (2)
lavender – uses the inequality 
— V. Szemeredi’s proof of Roth’s theorem —
Szemeredi provided a short proof of Roth’s theorem by purely combinatorial means, and also famously proved the full case of Szemeredi’s theorem by much more intricate combinatorial argument.  Both arguments are based on the density increment method.  In the setting of , the density increment method revolves around the critical density , which exists by (2); the density Hales-Jewett theorem is precisely the statement that  vanishes, so suppose for contradiction that  is positive.
Then one can find a line-free set  of density  such that A has density at most  for every m-dimensional subspace of  (and one can complement this lower bound with an upper bound for “most” subspaces, see Tao.100).  One can also regularise the density on other sets than subspaces, see Tao.121).  So, basically, the moment one gets a significant density increment on a non-trivial subspace, one is done (see Tao.120, O’Donnell.122, Tao.127).
Szemeredi’s proof of Roth’s theorem proceeds by first showing that a dense set A contains a large cube Q, and thus (if it is free of algebraic lines) must completely avoid the set .  This set contains (most of) lots of parallel subspaces and so squeezes A to have higher density on some other subspace, closing the argument.  (See Tao.86, Tao.118, Tao.131)
Question V.A: Is there some way to adapt this argument to density Hales-Jewett, or at least to the corners problem?  The sparsity of lines is a serious difficulty, see Tao.118, Solymosi.135.
One can at least generate lots of cubes inside A without difficulty (Tao.102, Solymosi.135), lots of combinatorial lines with two elements inside A (Tao.130, Bukh.132, O’Donnell.133, Solymosi.135), and many unorganised subspaces in the complement of A (Tao.118, Solymosi.135), but this does not seem to be enough as yet.
Question V.B: What about using the techniques from Szemeredi’s big paper on Szemeredi’s theorem?  (The immediate issue is that there is a key point where one needs to regularise a graph, and the relevant graph in HJ or even for corners is far too sparse; I’ll try to clarify this at some point.)
— A note on comments —
As in the first thread, please number your comments (starting with 200, then 201, etc.) and provide a title, to assist with following the comments.  (Presumably, in future projects of this type, we will use a platform that allows for comment threading; see this post for further discussion.)
Share this:PrintEmailMoreTwitterFacebookRedditPinterestLike this:Like Loading... </t>
  </si>
  <si>
    <t>C1889</t>
  </si>
  <si>
    <t>separating a thread</t>
  </si>
  <si>
    <t>Sperner thread mention</t>
  </si>
  <si>
    <t>153. Sperner., I’m in the middle of writing a summary of the Sperner thread (as well as a few other related ones), to be used when this discussion splits up. At the moment the plan is to have three new discussions. , While writing the summary, I had the following thought. When proving the corners result, we can use a weaker triangle-removal lemma where the hypothesis is not that there are few triangles, but the stronger hypothesis that each edge is contained in at most one triangle. The pair-removal equivalent of this is that for each  the only disjoint pair is . This starts to sound more Bollobás-like, though the sets  no longer all have the same cardinality. , So I have two questions. 1. Is there a variant of Bollobás’s theorem where the sets don’t all have to have the same size (though I don’t mind insisting that the all have size close to )? 2. If so, can we generalize its proof to a triangle-removal lemma that uses as its hypothesis that the only triangles in the tripartite graph are degenerate?, This is a strategy that could in principle do the whole thing, so I’m expecting difficulties to arise very quickly …, Unfortunately, I must go to bed now, so finishing the summary will have to wait till tomorrow.</t>
  </si>
  <si>
    <t>C1892</t>
  </si>
  <si>
    <t>Upper &amp; Lower Bounds point to soupy counter 1565</t>
  </si>
  <si>
    <t>Metacomment: All discussion on upper and lower bounds for , and proof strategies related to Szemeredi’s proofs of Roth’s theorem, should go to the new thread on my blog,, http://terrytao.wordpress.com/2009/02/05/upper-and-lower-bounds-for-the-density-hales-jewett-problem/</t>
  </si>
  <si>
    <t>C1893</t>
  </si>
  <si>
    <t>149, 116</t>
  </si>
  <si>
    <t>154: Obstructions to uniformity, @Tim.149: I’m thinking of a subset of  as being pseudorandom for the corners problem if it does not correlate with any Cartesian products (or if it has the right number of rectangles, or is small in what I like to call the “Gowers  norm”).  The example in 116, in particular, is not pseudorandom in this sense, being the Cartesian product of two random sets.  So I will label this example (pulled back to  as a standard obstruction to uniformity (at least for one of the three indices 1, 2, 3 of a combinatorial line; for the other two indices one has to modify the notion of a Cartesian product slightly)., By the “random example”, I take A to be a random subset of  of a fixed density .  This should have no noticeable density increment or other fluctuation in the richness profile for any subspace of dimension bigger than, say, .  But I haven’t checked yet (presumably it is an easy entropy calculation) that A is quasirandom in the sense you want, i.e. the number of lines between A, B, and B is the expected number for any large B.  Obviously, this is something that has to be true if the obstructions to uniformity approach has any chance of working.</t>
  </si>
  <si>
    <t>CTao_35495</t>
  </si>
  <si>
    <t>report code run</t>
  </si>
  <si>
    <t>Lower Bounds</t>
  </si>
  <si>
    <t>201.  Lower bounds for , Following Jason Dyer’s suggestion, I empirically found a few more lower bounds for  using a greedy algorithm on a bipartite graph representing combinatorial lines in .  Starting with , they are: 18, 50, 140, 420, 1155, 3346, 11340, 32676., The greedy algorithm fails to reach an optimal result beginning with , which has known value 52 (as noted above)., It was also interesting to observe that the resulting graph was in some sense very skewed – a few points are in many more lines than most of the points.  More specifically, if , then  is in  combinatorial lines.  Intuitively, most points are in the central  slices, which are the least connected, and these slices “mostly” don’t share lines, hinting at why we need very dense sets to hit every line., The source code – it’s in python – is available here:
http://thetangentspace.com/wiki/Hales-Jewett_Theorem</t>
  </si>
  <si>
    <t>CTao_35499</t>
  </si>
  <si>
    <t>202. Lower bounds for , I made a mistake in my argument that  in comment 83 on the original post.  In that argument, if you remove the indicated points with  to block the lines in , the remaining set will still include the line , for example.  Sorry about the mistake., We still know, at least, that , using the last post and .</t>
  </si>
  <si>
    <t>C1894</t>
  </si>
  <si>
    <t>r.moth</t>
  </si>
  <si>
    <t>format suggestion</t>
  </si>
  <si>
    <t>I have a suggestion – a blog is perhaps the wrong format for this type of experiment (or future experiments).  Its sequential format obviously presents difficulties in following/retrieving information.  What you want is a well structured webforum where users can create new threads on a whim, and all subposts to those threads can be easily followed – something with a directory tree structure where posts can be followed in a hierarchy.  , You may even be able to find a forum that allows you to highlight threads spawned from posts in other threads – i know one exists…i just can’t remember the name of it – though i might be thinking of news reader….but a news group is probably getting beyond the scope of this initial experiment., When you start getting into hundreds, the blog is too one-dimensional to be efficient in following a line of thought.  You most likely don’t need a newsgroup (not a public one anyway) – just a private forum with enough goodies to make this thing more accessible, otherwise I think you’re going to get swamped (think a thousand+ posts).  just a thought.</t>
  </si>
  <si>
    <t>C1895</t>
  </si>
  <si>
    <t>found something</t>
  </si>
  <si>
    <t>155. Sperner, There is a removal lemma for Kneser graphs! It holds in a certain range; “If a large subgraph has many but not too many edges, then one can remove a small fraction of the vertices destroying most of the edges.”
Some notations:  is an N-vertex subgraph of  the Kneser graph defined by the m-element subsets of the n-element base set. The graph has e edges and D denotes the largest degree and d=2e/N is the average degree.
If the vertices having degree at least Cd (for some large constant C) are incident to most of the edges, then we are done; removing N/C vertices destroys most of the edges. So, we can suppose that D&lt;Cd (after throwing away the large degree vertices) As we will see, D&lt;Cd is not possible in a certain vertex (edge) range.
I will follow it in a new windows, I want to check what did I write.(latex)</t>
  </si>
  <si>
    <t>C1896</t>
  </si>
  <si>
    <t>Link Starbureiy</t>
  </si>
  <si>
    <t>signal boost</t>
  </si>
  <si>
    <t>Tim, I’ll publicize this on my blog, as well.  This seems like a decent-enough collaborative scholastic.</t>
  </si>
  <si>
    <t>C1897</t>
  </si>
  <si>
    <t>continue work, correction</t>
  </si>
  <si>
    <t>Contd. Well, I would change a few typos if I could, but it is OK. , We are going to use the “permutation trick” of Lubell. For any of the n! permutations we say that it separates the disjoint pair A,B if no element of B precedes any element of A. Any of the n! permutations can separate at most  pairs (edges) from . Indeed, consider the set A which ends first, it would be separated from at least D+1 sets if there were  separated pairs. Or, the rightmost set B (starting last in the permutation) would be separated from at least D+1 sets, which would mean that D was not the largest degree in . The number of permutations separating two elements is . Collecting the two sides of this double counting we have  Using the initial bound on D, our final inequality is . Conclusion: If the previous inequality fails, then there are less than N/C vertices in $G_N$ which are covering most of the edges.</t>
  </si>
  <si>
    <t>CTao_35506</t>
  </si>
  <si>
    <t>203.  Greedy algorithm, Tyler, my Python is rusty, but I am correct in assuming the code does not randomize the choice of a node to remove when there’s a tie? If that’s the case, that would be the next step., Also, this brings up something related to Question I.B:, Question I.B.1 In what exact circumstances does the greedy algorithm fail; is there some larger structural concern besides corners and triangles?, Question I.B.2 Would it be possible to automate the program to avoid those circumstances?</t>
  </si>
  <si>
    <t>C1898</t>
  </si>
  <si>
    <t>156 Sperner, contd. I don’t think that the previous inequality is sharp, but I think it gives some nontrivial results. For example, if  and we take a positive fraction of the m-element sets, , and the average degree is  then o(N) vertices (sets) cover almost all edges.</t>
  </si>
  <si>
    <t>C1899</t>
  </si>
  <si>
    <t>monologue, correction</t>
  </si>
  <si>
    <t>The previous short note is full with typos. I should go to sleep now…
I meant: the size of m is around   and that the aver. degree is  but not constant.</t>
  </si>
  <si>
    <t>Gowers_7</t>
  </si>
  <si>
    <t>4, 61-64, 66</t>
  </si>
  <si>
    <t>The post, A combinatorial approach to density Hales-Jewett, is about one specific idea for coming up with a new proof for the density Hales-Jewett theorem in the case of an alphabet of size 3. (That is, one is looking for a combinatorial line in a dense subset of .) In brief, the idea is to imitate a well-known proof that uses the so-called triangle-removal lemma to prove that a dense subset of  contains three points of the form ,  and . Such configurations are sometimes called corners, and we have been referring to the theorem that a dense subset of  contains a corner as the corners theorem.The purpose of this post is to summarize those parts of the ensuing discussion that are most directly related to this initial proposal. Two other posts, one hosted by Terence Tao on his blog, and the other here, take up alternative approaches that emerged during the discussion. (Terry’s one is about more combinatorial approaches, and the one here will be about obstructions to uniformity and density-increment strategies.) I would be very happy to add to this summary if anyone thinks there are important omissions (which there could well be — I have written it fast and from my own perspective). If you think there are, then either comment about it or send me an email.Two suggestions, made by Terry in comment number 4 (the second originating with his student Le Thai Hoang), led to two of the main threads of the discussion relating to the triangle-removal approach. One was that since Sperner’s theorem is the density Hales-Jewett theorem for alphabets of size 2, and since there is no obvious way of generalizing the existing proofs of Sperner’s theorem to obtain the density Hales-Jewett theorem, then it would make sense to look for other proofs of Sperner’s theorem. The other was that the existing methods of tackling density theorems tend to prove not just that you get one configuration of a desired type but a positive proportion of the number of configurations in the whole set. One can usually obtain a seemingly stronger result of this type by an easy averaging argument (a prototype of which was proved by Varnavides in the 1950s), but in the case of the density Hales-Jewett theorem the stronger statement is false: one can easily come up with dense subsets of  with far fewer than  combinatorial lines (the number that you get in  itself).The Varnavides thread.This led to a search for a suitable Varnavides-like statement, and that search seems to have been successful — though we have not checked this carefully. (See comments 61-64 and 66.)The basic idea is to restrict attention to the set  of all sequences  such that the numbers of 1s, 2s and 3s in  are all within  of , where  is a large integer that is much smaller than . An easy averaging argument shows that if you can prove that a dense subset of  contains a combinatorial line, then you have the density Hales-Jewett theorem. (It seems that one can take  to be anything from a very large constant that depends on the density only, to an integer that is a small multiple of .) The reason this helps is that it avoids the problem one has in  that the points in a random combinatorial line are very atypical: with high probability they contain about  of one value and about  of the other two values.This seems to have cleared up the Varnavides problem, so it is something to hold in reserve and use if we get to the stage where we have a definite approach to try out on the problem. For now, one can either just pretend that the Varnavides problem doesn’t exist and think about , or one can simply bear in mind that one is thinking about sequences with roughly equal numbers of 1s, 2s and 3s and combinatorial lines with small variable sets, or sets of wildcards as some of us are calling them.The Sperner thread.Some definite progress has been made on trying to find alternative proofs of Sperner’s theorem. One approach was initiated in comments 21 and 22. The idea here was to try to find a statement that would have the same relationship to Sperner’s theorem as the hoped-for (but not yet even precisely formulated) triangle-removal lemma had to density Hales-Jewett. An argument was given in comments 21 and 22 that the statement, if it existed, should have the following form.Let  and  be collections of subsets of  such that there are very few pairs  with ,  and . Then it is possible to remove a small number of sets from  and  and end up with no such pairs.We have been calling statements like this pair-removal lemmas, even though we have not yet proved any useful ones. A statement like this implies a weak form of Sperner’s theorem as follows. Suppose you have a dense set system  that contains no pair of distinct sets  with . Then let $\mathcal{B}$ consist of all complements of sets in . If we can find  and  with , then . Since , this is a contradiction unless . Therefore, the number of pairs  with ,  and  is very small. The pair-removal statement then implies that one can remove small subsets from  and  in order to end up with no such pairs. But that contradicts the fact that  is dense and for every  we have the pair .After some difficulty in formulating a precise pair-removal lemma that wasn’t either trivial or false, we have arrived at the following test problem. (It’s not actually the pair-removal lemma we’re going to want, but it is cleaner, looks both true and non-trivial, and seems to involve all the right difficulties.)Tentative conjecture. Let , where  tends slowly to infinity with . Let  and  be subsets of  such that the number of pairs  with ,  and  is . Then one can remove  sets from each of  and  and end up with no such pairs.Some promising suggestions have been made for how to go about proving this conjecture. Jozsef (in comment 124) has drawn attention to a theorem of Bollobás that implies that if each  is disjoint from precisely one , then  and  must both be small. And Ryan (in comments 82, 145, 150 and 152) has drawn attention to existing papers on very closely related subjects. Very recently (at the time of writing it is in the last two or three hours) Jozsef has given us what appears to be a proof of a pair-removal lemma. Assuming there aren’t any irritating surprises, such as it turning out not to be quite the statement we really want, the obvious thing to do here seems to be to play around with Jozsef’s argument and see whether it can be generalized from 01-sequences to 012-sequences.A very quick word about what to expect of such a generalization. It would be “completing the square”, where vertex 00 is the trivial pair-removal lemma, vertex 01 is the pair-removal lemma in Kneser graphs, vertex 10 is the normal triangle-removal lemma (as described in the background-information post), and we are looking for vertex 11. Since getting from 00 to 10 is by no means a triviality, getting from 10 to 11 is unlikely to be a triviality either. But now we are in a stronger position than we were initially, because to get to 11 there are two potential routes. If we are really lucky, then we’ve got all the ingredients we need and just have to decide how to mix them together.Other approaches to Sperner.The above approach to re-proving Sperner has a certain naturalness to it, at least in the context of the main problem, but it is not the only one to have been discussed. If generalizing it runs into difficulties, then we have other ideas to explore that have definitely not yet been explored as far as they could have. They begin with Ryan’s comment 57 (in which he was responding to a related comment of Boris). This introduces the idea of what Boris calls “pushing shadows around”, which is apparently what Sperner himself did.Other ideas that are still to be explored.If we are going to follow the triangle-removal proof of the corners theorem quite closely, then at some point we will need to find an analogue of Szemerédi’s regularity lemma for subgraphs of the graph where you join two sets if they are disjoint. There are some obvious problems with doing this (discussed in the initial post in comment V, and comments EE to LL), and a very speculative suggestion for how a proof might look in comment 110. There would also be a need for a counting lemma: an offer to search for such a lemma in a systematic way has not yet been taken up. Remark added 7/2/09. It’s important to understand that this post is how the situation seemed to be when it was written yesterday. If you read the comments you will see that some of the assertions that looked plausible (such as the precise form of the tentative conjecture) have now been discovered to be wrong.] 												This entry was posted on February 6, 2009 at 10:03 am and is filed under polymath1.						You can follow any responses to this entry through the RSS 2.0 feed.													You can leave a response, or trackback from your own site.											]</t>
  </si>
  <si>
    <t>C1900</t>
  </si>
  <si>
    <t>ponder</t>
  </si>
  <si>
    <t>157. Sperner, Jozsef, I must try to digest what you say. It seems very promising.</t>
  </si>
  <si>
    <t>C1902</t>
  </si>
  <si>
    <t xml:space="preserve">OK, any thoughts about Sperner, triangle removal, regularity lemmas in tripartite Kneser-type graphs, etc., should now be given as comments on a new post that is meant to take over this thread of the discussion. If you would like me to modify the summary, then by all means suggest changes., For now, the obstructions-to-uniformity thread stays here, but we should get a summary written for that as soon as we can.,  Added 8/2/09 4.05pm GMT: there is now a  post on obstructions to uniformity, so all further discussion of this topic should continue there.  </t>
  </si>
  <si>
    <t>C1904</t>
  </si>
  <si>
    <t>establish numbering; rules for summarize/restart after 100 comments; summarizing Jozsef comments</t>
  </si>
  <si>
    <t>300.  One of the main reasons for this comment is to establish the numbering. Comments on Terry’s post will be numbered 200-299 (with a convention that from now on if a post receives 100 comments then it must be summarized and restarted), comments on this post will be 300-399, and comments on the obstructions-to-uniformity post, when it is written, will be 400-499., To get the ball rolling for this post, I’d like to write out Jozsef’s proof of pair removal in full detail, mainly for my own benefit so that I understand it properly, but also because if, as I hope, a major subproject for this thread will be to see if we can generalize Jozsef’s argument, it will be convenient to have that argument here for easy referral., The first thing to note is that the result Jozsef proves is not quite as strong as the pair-removal lemma we originally asked for, because what he shows is not that you can remove a small number of sets and end up with no disjoint pairs, but rather that you can remove a small number of sets and end up with removing almost all the disjoint pairs you started with. This kind of weakening of a removal lemma is good enough for many applications. For instance, if we applied it to the corners problem we would find that we could remove a small number of edges and get rid of almost all the degenerate triangles, which is just as much of a contradiction as the usual one. (In fact, even if we could show that we could get rid of one percent of the degenerate triangles we would have a contradiction.) , I’ll get on to the actual proof in the next comment.</t>
  </si>
  <si>
    <t>C1905</t>
  </si>
  <si>
    <t>301.  Pair removal in Kneser graphs., The  Kneser graph   is the graph whose vertices are all subsets of  of size , with two sets  and  joined if and only if they are disjoint. We should think of  as being  for some fairly small but nonconstant  but for now I will avoid trying to specify them., Let  and  be collections of sets of size  (i.e., subsets of the vertex set of . We can form a bipartite graph by joining  to  if and only if : this is not quite a bipartite subgraph of  (since  and  are not required to be disjoint), but it is an induced subgraph of what one might call the bipartite version of  (where each vertex set contains all -element sets and you join two such sets if they are disjoint). From now on I will blur the distinction between this bipartite graph and  itself. , The maximum number of edges that could possibly join  to  is the number of edges in  (bipartite version), which is . So we shall assume that the total number of edges is at most  for some very small constant . Our aim is to remove at most  vertices and get rid of at least half these edges (or any other fixed fraction you might care to go for), where  tends to zero as  tends to zero. , I’ll discuss how Jozsef does this in the next comment.</t>
  </si>
  <si>
    <t>C1906</t>
  </si>
  <si>
    <t>302.  Pair removal in Kneser graphs., What Jozsef ends up showing is that there is a very simple way of deciding which vertices to remove: you just get rid of all vertices of large degree. It turns out that if you do this then you either get rid of a significant fraction of all the edges, or you had almost no vertices to start with (in which case you can just remove all of them)., Now all the time we are hoping to remove a number of edges that is large as a fraction of the total number of edges, so “large degree” means “significantly larger than the average degree”. Let us suppose, then, that the average degree in our graph is . (Here I am averaging over all vertices in , including those that are not in  or .) It follows from Markov’s inequality that for any  the number of vertices of degree at least  is at most . So we will need to choose  so that  tends to zero as  tends to zero. , Suppose that removing these vertices doesn’t get rid of half the edges. That means that after the removal we have a bipartite induced subgraph of  such that the average degree is at least  and the maximal degree is at most . In the next comment I’ll explain what Jozsef does in this case.</t>
  </si>
  <si>
    <t>C1907</t>
  </si>
  <si>
    <t>303.  Pair removal in Kneser graphs., What he does is to use what he calls “the permutation trick of Lubell” to get an upper bound on the number of vertices that there can be in a graph with average degree at least  and maximal degree at most . Take a random permutation  of . Given two disjoint sets  and , we shall say that  separates  and  if every element of  is less than every element of  or vice versa. What is the expected number of separated pairs with  or ?, Let’s suppose that the total number of vertices in the bipartite graph is . Then the total number of disjoint pairs is at least . Each disjoint pair  has a probability of  of being separated (since there are  ways of ordering  of which precisely two separate them), so the expected number of separated pairs is at least . , In particular, there exists a permutation  that gives rise to at least  separated pairs. But how many separated pairs can there be for a single permutation? Well, let’s suppose first that that permutation is the identity (without loss of generality) and that we have separated pairs , ordered in such a way that every element of  is less than every element of . The crucial observation here is that if  is a set with the smallest maximal element out of any of the  (again without loss of generality), then  is a separated pair for all . Therefore, there can be at most  distinct sets  (since we know that  has degree at most ). Similarly, there can be at most  distinct , so the total number of separated pairs is at most ., It follows that , and hence that . And having got to this point, I realize that I don’t understand why the right-hand side is small. Does anyone see it, or do we wait till Jozsef wakes up? (I also have trouble understanding the significance of the final inequality in his comment 155).</t>
  </si>
  <si>
    <t>C1908</t>
  </si>
  <si>
    <t>304.  Pair removal in Kneser graphs., Maybe the point is that the right-hand side doesn’t have to be small if all we know about  is that it’s a small multiple of , but if we assume that  is much smaller (it’s possible that for applications to Sperner we may even be able to take ) and  is reasonably large, then the right-hand side is much smaller than . So this would fit in with my  comment 153 , where I suggested that using a stronger hypothesis might be helpful to prove a pair-removal lemma.</t>
  </si>
  <si>
    <t>C1909</t>
  </si>
  <si>
    <t>305. Triangle removal., Here is a possible toy problem to think about, as an initial contribution to the project of generalizing Jozsef’s proof. This time we let . Our basic objects will be pairs  of disjoint sets. We are given three collections ,  and  of such pairs. A  triangle  is a triple of the form  with ,  and . We would like to prove that if for each pair  there is at most one  such that  and  and similarly for the other two ways round, then it is possible to remove a small number of elements from ,  and  and end up removing a significant fraction of all the triangles. , There are no degenerate triangles here, so this wouldn’t do DHJ straight off, but I think it would be a good way of trying to understand whether Jozsef’s methods generalize. An alternative line of investigation would be to generalize Jozsef’s methods to a statement about several central layers of the cube rather than just one.</t>
  </si>
  <si>
    <t>C1910</t>
  </si>
  <si>
    <t>306. Triangle removal., An optimistic guess about how it might go: we just routinely try to generalize Jozsef’s argument, and at a certain point a difficulty arises, which we turn out to be able to solve using the usual triangle-removal lemma.</t>
  </si>
  <si>
    <t>C1911</t>
  </si>
  <si>
    <t>307. Triangle removal., At the very least, let’s try to do the routine generalization and see what happens. So without any serious thought about what is sensible and what is not, let us say that a permutation   separates  the three sets   and  if every element of  comes before every element of , which in turn comes before every element of , or any one of the other five such statements you get by permuting the three sets. We’ll also say that  separates a triangle if it separates the three sets used to build it., Given any two disjoint sets  and , let us define the –degree of  to be the number of  such that ,  and . (In this case, we say that  form a triangle.) We have similar definitions for the other two possible degrees., Now let’s suppose that the average degree (over all three bipartite graphs) is  and the maximal degree is . What can we say? , Let’s think about the expected number of separated triangles. The total number of triangles is  (up to some absolute constant depending on whether one orders the vertices etc.), and the probability that  separates any given triangle is . So the expected number is  Therefore, there must be some permuation  that separates at least this number of triangles. , Now let’s think about how many triangles a permutation can separate. Our assumption is that no pair of sets forms a triangle with more than  other sets. It’s at this point that, if our wildest dreams come true, we find that normal dense triangle removal is exactly what we need. But no reason to suppose that just yet. I’m going to continue in a new comment.</t>
  </si>
  <si>
    <t>C1912</t>
  </si>
  <si>
    <t>308. Triangle removal., Let’s suppose that  are separated triangles. We would like an upper bound on . If we choose  such that the maximal element of  is minimized, we see that the number of distinct sets  can be at most . Similarly, the number of distinct  can be at most . But each pair  is allowed at most  sets  in the middle, so we seem to have at most  triangles separated by . This is slightly worrying as it came out a bit too simply for my liking., If it’s correct, it shows that , and therefore that , which is exponential in . So for very small , such as we might expect to have in DHJ, we get a contradiction., I’ve got to go now, so all I’ll say at this point is that this argument feels too simple to be correct, but I can’t see what’s wrong with it. (If it’s right, then the explanation must simply be that it is not what we need.)</t>
  </si>
  <si>
    <t>C1913</t>
  </si>
  <si>
    <t>interruption</t>
  </si>
  <si>
    <t>dumb question</t>
  </si>
  <si>
    <t>309. Pair removal in Kneser graphs., Can someone help me with this dumb question?, Suppose  are the family of sets not including the last element .  Then  and  have density about  within .  (We’re thinking ,  here, right?)  It seems that the fraction of Kneser graph edges which are in  is about , which is “negligible”.  So we should be able to delete any small constant fraction of vertices from  and make it an intersecting family.  But  is  of the Kneser graph , and doesn’t the largest intersecting family inside such a Kneser graph have density only around ?</t>
  </si>
  <si>
    <t>CTao_35521</t>
  </si>
  <si>
    <t>204.  Algorithms, Jason: Yes, that code is not randomized.  I guess you might get better numbers by randomizing a bit, or by trying to improve on a first guess answer through some kind of residual graph technique., Another thought is that we can find a blocking set of minimal size as a hypergraph transversal problem.  I’m a little confused about how hard this problem is.  In Lund, Yannakakis, they apparently show the problem as being NP-hard to approximate:
http://portal.acm.org/citation.cfm?doid=185675.306789, On the other hand, a quick scholar.google search brings up several papers that claim to have efficient algorithms.  It probably helps that we have a 3-uniform hypergraph., If finding a minimal hypergraph transversal is feasible, that might help a lot toward question I.B.  If the algorithm is simple enough, it might help generate more bounds for .  Since it explicitly finds minimal blocking sets, it is also finding the sets considered in question I.C.</t>
  </si>
  <si>
    <t>C1914</t>
  </si>
  <si>
    <t>OG pivot; can't see a flaw in the reasoning</t>
  </si>
  <si>
    <t>310.  Pair removal in Kneser graphs., Ryan, all I can say is that I can’t see a flaw in your reasoning. If it’s correct, then it shows something rather interesting. I couldn’t get Jozsef’s argument to work unless I assumed that degrees were very small rather than just small, and your example suggests that it’s actually false when you merely assume that the degrees are a negligible fraction of the maximum possible. In your example, the degree of a vertex in  is still large, even if it’s proportionately small, so there’s still some hope that Jozsef’s argument is correct and adaptable to DHJ., Now I must stare at the argument that I produced in 308 and try to work out what’s going on.</t>
  </si>
  <si>
    <t>C1915</t>
  </si>
  <si>
    <t>311.  I guess you can make the degree go down fairly rapidly compared to the density by requiring the last  coordinates to be .  (Density goes down like  fraction of edges goes down like .)</t>
  </si>
  <si>
    <t>C1916</t>
  </si>
  <si>
    <t>idle wondering</t>
  </si>
  <si>
    <t>312. Counting lemma, This is idle wondering, but given a random (not quasi-random) tripartite graph, do we know the probability P of n triangles appearing given a density D? This seems like this sort of thing that ought to be just a textbook example.</t>
  </si>
  <si>
    <t>C1918</t>
  </si>
  <si>
    <t>clarifying statement &amp; develop argument</t>
  </si>
  <si>
    <t>313.  Triangle removal., I’m going to try to do two things at once. The first is express myself more clearly when it comes to arguments such as the one in 308, and the second is to try to develop an argument that involves more than one slice, in the hope that degenerate triangles will come into play somehow., Let me begin by trying to define the nicest possible  triangular grid of slices . I’ll define  to be the union of all  such that  is a triple of integers that belongs to the convex hull of , …  actually, cancel this. It seems to be more natural, if one is going for the nicest possible and most symmetrical set of slices, to go for a hexagon. So let’s take all  that sum to  and that satisfy . Here I’m imagining that  is a multiple of 3, not that it’s all that important. (This is a hexagon because there are six linear inequalities, and the symmetry of the situation makes it a regular hexagon.) Let’s write  for the union of all these . We would like to prove that any dense subset  of  contains a combinatorial line., Now I’m going to do roughly the same thing as before. I’ll assume that there are no combinatorial lines in . For each sequence  in  and each , let’s define the –set of  to be , and we’ll denote this by . As ever, we define  to be the set of all pairs  with ,  to be the set of all  and  to be the set of all  (again, always with )., The assumption that there are no combinatorial lines tells us that there are no triples  with ,  and , except in the degenerate case where . In the next comment I’ll try to hit this with Jozsef’s permutation argument.</t>
  </si>
  <si>
    <t>C1919</t>
  </si>
  <si>
    <t>(Meta-comment), Ryan, like the brackets problem you should toss a {} before the 0 there if you want to render it in LaTeX in WordPress.</t>
  </si>
  <si>
    <t>C1920</t>
  </si>
  <si>
    <t>random test</t>
  </si>
  <si>
    <t>314. Triangle removal., So now let’s choose a random permutation and see what we can say about the number of separated triangles. To do this, my first task is to say how many actual triangles there are. And the answer is , one degenerate triangle for each element of  and no others. , Next, I’d like some idea of the probability that a random permutation  separates a given triangle. Let’s suppose that the point  of  that gives rise to the triangle belongs to . Then the probability that  separates  is . So the expected number of separated triangles is ., Now suppose I just choose an arbitrary permutation — without loss of generality the identity. How many separated triangles can there be? I think this may be where the problems arise, but let’s see. Suppose that  are separated triangles. We know that for each  …, I may come back to this, but I’ve now seen where I went wrong in 308, so I should think about that first, as it’s a simpler problem.</t>
  </si>
  <si>
    <t>C1921</t>
  </si>
  <si>
    <t>new strategy; leave messy thoughts here; promising territory somehow</t>
  </si>
  <si>
    <t>315. Triangle removal: my mistake in 308., I started 308 with the claim that if you choose  so as to minimize the maximum element of , then you could see immediately that there were at most  distinct . The thinking behind this was that each  would form a triangle., But that was wrong: there is no reason for  to belong to  or for  to belong to . So it’s back to the drawing board here. (But this, I should stress, is good news as I wanted there to be a complication to give triangle-removal a chance to creep in.), Here is a new proof strategy. First I’ll copy the first part of Jozsef’s argument to get to the stage where each vertex is contained in roughly the same number of triangles. (If I can’t, I’ll remove a few vertices and get rid of a significant fraction of the triangles.) Next, I’ll argue as above that the expected number of separated triangles is reasonably large. Then I’ll try to bound the number of separated triangles if no vertex is in too many triangles and no edge is in more than one triangle. The first step of that will be to pick … actually, I still don’t see it., I was going to say that one should pick the  with smallest maximum, but I don’t see what that gives us., What we can say is this. For each  there will be some system of sets  such that  forms a triangle. If in this set system we choose  such that the maximum of  is minimized, then we can deduce that there are not too many distinct . Except that I don’t know why I even say this so confidently: what makes me think that  should lie in ? OK I’m floundering around a bit here so I’d better stop. But I’ll leave these messy thoughts here in case anyone can get a clearer idea of what ought to be done. It feels as though it’s in promising territory somehow.</t>
  </si>
  <si>
    <t>C1922</t>
  </si>
  <si>
    <t>why promising</t>
  </si>
  <si>
    <t>316.  Triangle removal., This is the kind of reason I find it promising. The graph where you join two sets if and only if one is completely to the left of the other is, under normal circumstances, much denser than the graph where you just join two sets if they are disjoint. So what Jozsef’s permutation argument is cleverly achieving seems to be to get us from a sparse context to a dense context. (I don’t yet have a fully precise formulation of this remark.) , Now let’s suppose we have our separated triangles  above. Suppose also that we have managed to show somehow that many of the pairs  belong to , and so on. We know that there won’t be many triangles, so this will imply, by the usual triangle-removal lemma, that we can remove a small number of edges and end up with no triangles. Could there be an argument along these lines that allows us to prove density Hales-Jewett by hitting it permutation by permutation? We’re in that familiar state where there’s a small probability  of being close to a solution and a large probability  of having written a load of nonsense.</t>
  </si>
  <si>
    <t>C1923</t>
  </si>
  <si>
    <t>Ronnie Brown</t>
  </si>
  <si>
    <t>need to be good ask formulating, not just solving, problems</t>
  </si>
  <si>
    <t>The emphasis seems to be on solving problems. The  1974 McLone report on mathematics graduates in employment wrote: “Good at solving problems, not so good at formulating them, the graduate has a reasonable knowledge of mathematical literature and technique; he has some ingenuity and is capable of seeking out further knowledge.” , This notion of problem formulation is related  to Grothendiek’s remarks on speculation which I have posted on http://www.bangor.ac.uk/~mas010/Grothendieck-speculation.html . , Mathematics also progresses by deepening understanding of the underlying processes; the developing of new rigorous mathematics to model these processes; and by the mathematicisation of intuitions. , I also like the remark of Tom Watson: Big questions get big answers. But maybe `big questions’ cannot be  too precisely formulated. Nonetheless they may have a big hold on the imagination. , Current development of Higher dimensional algebra looks like being multiperson! Underlying this effort is: What is and what should be `Higher dimensional algebra?’ , Communication  and exposition is also important for the progress of mathematics: witness Euclid’s geometry. The progress of wiki type expositions is again multiperson. , http://www.bangor.ac.uk/r.brown</t>
  </si>
  <si>
    <t>CTao_35526</t>
  </si>
  <si>
    <t>can we mathematically describe [x]? Can we exploit something about what we have?</t>
  </si>
  <si>
    <t>205. Algorithms, The problem with any NP-complete results is they seem to be on general cases. Even when restricting to 3-uniform hypergraphs, our graph is a lot more symmetrical than an arbitrary one. Surely there’s something about that we can exploit?, Mathematically describing those symmetries might be an interesting exercise (although perhaps someone already has in the original 150+ comment thread).</t>
  </si>
  <si>
    <t>C1924</t>
  </si>
  <si>
    <t>"tells us something non-trivial"</t>
  </si>
  <si>
    <t>317. Pair removal in Kneser graphs., Bad news – good news. Good morning! I hope that I didn’t derail the project with my last calculation yesterday – that the “removal lemma” works when . The main inequality is correct, and we see that it tells us something non-trivial if m is small compare to n. As I see now, the average degree, d, grows as  .  I think that this is the range where we have a removal lemma so far. This is a removal lemma we get by simple double-counting, so I’m afraid that we can’t expect too much out of it, but it supports Tim’s conjecture.</t>
  </si>
  <si>
    <t>C1925</t>
  </si>
  <si>
    <t>a few remarks</t>
  </si>
  <si>
    <t>318. Pair/triangle removal., Hi Jozsef. Two remarks. It seems to me (but I’d be reassured if I knew you agreed about this) that we have a removal lemma if the average degree is very small. And in interesting contexts it is. For example, if  is a counterexample to Sperner’s theorem and we let  consist of al complements of sets in , then each set in  is joined just to its complement, so the average degree is 1. , The second remark is that it’s not impossible that a simple double counting gives us something good. The reason is that when going from 2 to 3 in the dense case you go from trivial to interesting, so when going from 2 to 3 here, perhaps you go from simple to very interesting.</t>
  </si>
  <si>
    <t>CTao_35528</t>
  </si>
  <si>
    <t>206.  Algorithms, One possible way to exploit symmetries is to work in (a,b,c) space rather than the cube .  Indeed, note that the set of all  with  forms a triangular lattice of length , and that each triple (a,b,c) comes with a “weight” , which is the number of strings in  with a 1s, b 2s, and c 3s., Now pick some subset B of this lattice which contains no equilateral triangles .  Then the set  has no combinatorial lines, and has cardinality equal to the total weight of all the elements of B.  So one now has a two-dimensional problem: maximise the total weight of a subset of the triangular lattice with no equilateral triangles., The best bounds for  for  all take this form.  For instance, the  example takes B to be the entire triangle except for .  It looks feasible to search for optimal Bs for the next few ns.  Note that the set  in the main post corresponds to excluding those  for which ; after excluding those, the only equilateral triangles remaining are those whose length is a multiple of 3 and so the hypergraph splits into disconnected components based on the residues of a,b,c mod 3, which should simplify things significantly.</t>
  </si>
  <si>
    <t>C1926</t>
  </si>
  <si>
    <t>319.  Sperner., Hi Jozsef, is that a typo?   needs to be less than ; otherwise the  Kneser graph is empty.  , I’m not sure the scenario we should consider now… we have counterexamples to the Tentative Conjecture for  both constant and superconstant.</t>
  </si>
  <si>
    <t>C1927</t>
  </si>
  <si>
    <t>prove me wrong please</t>
  </si>
  <si>
    <t>320 Pair removal lemma, Now I feel a bit dummy; I wanted to check where did the calculation go wrong yesterday in my last post, but I can’t see.  Tim, in 304 you asked why is the right hand side small. By checking  what I see – again – is that it should be around . I probably badly overlook the same thing again …
I’ll go to have a morning coffee.</t>
  </si>
  <si>
    <t>C1928</t>
  </si>
  <si>
    <t>321. Sperner, Ryan, you may be ahead of me here and already see why the suggestion I’ve been making is a bad one, but what about strengthening the hypothesis of the Tentative Conjecture from the number of disjoint pairs being  to each set belonging to at most one disjoint pair? (With this second hypothesis one tries to prove that the sets must be small.), Actually, isn’t that just Bollobás’s theorem? I think it is because if I take  in 303 then I get the correct bound of . Is that the standard proof of Bollobás’s theorem?</t>
  </si>
  <si>
    <t>C1929</t>
  </si>
  <si>
    <t>322. Pair removal in Kneser graphs., Ok, I am trying to understand Jozsef’s proof (I notice it uses the greedy algorithm, interesting) and I must be missing something elementary at 303:, The crucial observation here is that if  is a set with the smallest maximal element out of any of the  (again without loss of generality), then  is a separated pair for all ., Could someone expand on this a little more? I’m not seeing why.</t>
  </si>
  <si>
    <t>C1930</t>
  </si>
  <si>
    <t>323. Pair removal in Kneser graphs., Jason, if  has the smallest maximal element and  is separated, then the largest element of  is at most the largest element of  is less than the smallest element of . If this doesn’t explain it then I don’t understand what you’re not understanding.</t>
  </si>
  <si>
    <t>C1931</t>
  </si>
  <si>
    <t>324. Triangle removal, A quick technical question: I think it should be reasonably straightforward to answer. Suppose we have a dense set  in . Suppose now that we take a random permutation  and just take from  the sequences that start with 1s, continue with 2s and finish with 3s (after you’ve used  to scramble the coordinates). And now suppose you form the tripartite graph from just those sequences. That is, you let  consist of all pairs  that are equal to  for some , and so on. We can think of  as a bipartite graph, whose vertices are subsets of , where we join  to  if  finishes before  starts. What I’d like to know is whether this graph tends to be dense. I think the straightforward answer is no, so what I really mean is whether it can be made dense if you remove a smallish number of vertices and edges, or something like that. The motivation for this question is that I’d very much like to be able to define a dense tripartite graph with few triangles and see what happens when we apply the usual triangle-removal lemma.</t>
  </si>
  <si>
    <t>C1932</t>
  </si>
  <si>
    <t>both question and answer</t>
  </si>
  <si>
    <t>325.  Pair removals, Re: 319, yes there was a typo, I meant n/2 there, thanks. But I still don’t see if anything is bad with my calculation; Please help me, is it correct that if  then d should be at least  or we have a removal lemma? After this I will try to digest Tim’s triangle removal technique.</t>
  </si>
  <si>
    <t>C1933</t>
  </si>
  <si>
    <t>326. Kneser., Hi Tim, in #321, if each set is involved in at most one Kneser edge, then I think the least number of sets you need to delete in order to eliminate all Kneser edges is with a factor of two of the number of sets (vertices), no?</t>
  </si>
  <si>
    <t>C1934</t>
  </si>
  <si>
    <t>327. Kneser, Yes, so if you can prove that you can remove a small number of sets then you’ve proved that there weren’t very many sets in the first place.</t>
  </si>
  <si>
    <t>C1935</t>
  </si>
  <si>
    <t>check my work</t>
  </si>
  <si>
    <t>it seems correct to both of us so theres a chance it's correct</t>
  </si>
  <si>
    <t>328. Pair removal, Jozsef in 325, my calculation (which I checked and I’m pretty sure it works out to be the same as yours) suggests that you get something interesting as long as  is large and  is a lot smaller than . Since  is about , it follows that we need  to be small compared with  in order to get a removal lemma. I think this agrees with you, since you are taking  and . So it seems correct to you and it seems correct to me, which means that there’s an  chance that it’s incorrect.</t>
  </si>
  <si>
    <t>C1936</t>
  </si>
  <si>
    <t>thank you</t>
  </si>
  <si>
    <t>329. Thank you Tim. I think I should apologize  that, after reading 303, I didn’t pay much attention to later posts from where I could have learned that things were OK with the calculation. In the next post I will try to understand and extend your toy version of a triangle removal lemma. Unfortunately now I have to go to the university and probably I won’t read the posts in the next 5-6 hours.</t>
  </si>
  <si>
    <t>C1937</t>
  </si>
  <si>
    <t>rough answer; self-interruption</t>
  </si>
  <si>
    <t>330. Triangle removal, Jozsef, I should make it clear that I don’t yet have an interesting new triangle removal lemma proved, so if you prove anything at all it counts as an extension of what I’ve done. But I might think just a little bit further about the vague idea of 324. , Suppose then that we have a dense set of sequences in , and for simplicity let’s assume that they’re all reasonably well balanced (meaning that they all have roughly equal numbers of 1s, 2s and 3s). How many times do we expect a given set  to occur as  for some ? The very rough answer is . Let’s be even more rough and call that . Now  has size around ., I’m going to interrupt this comment because I’ve had a different idea that I want to pursue urgently.</t>
  </si>
  <si>
    <t>C1938</t>
  </si>
  <si>
    <t>test logic; explaining understanding of a different proof</t>
  </si>
  <si>
    <t>331. Sperner and DHJ, The proof I know of Sperner goes like this. You take a random sequence of sets of the form , where  has cardinality . If  is an antichain, then it intersects each such chain in at most one set. , Now let’s imagine we choose a set at random. What is the probability that it lies in ? Let’s write  for the density of  inside layer  (that is, the number of sets in  of size  divided by ). Then the expected size of the intersection of  with our random chain is . It follows that the  add up to at most 1 (since at least one random chain will have at least the expected number of elements of  in it). Since the middle layer(s) is (are) biggest, it’s clear that we maximize the size of  by choosing a middle layer., The idea that’s just occurred to me is that we’ve just deduced Sperner from the one-dimensional corners result (which states that if you have a dense subset of  then you must be able to find  and  in it with ). What happens if we try to deduce density Hales-Jewett from 2-dimensional corners?, Well, first we need to decide what replaces a random chain. For reasons of symmetry I’d like to think of a random chain as follows: you pick a random permutation of  and then once you’ve scrambled the set you take all partitions  of  into two sets such that every element of  is less than every element of ., At this point I’m just going to guess that it might be reasonable to choose for DHJ purposes a random permutation of  followed by all partitions  such that every element of  comes before every element of , which comes before every element of . This is at least a two-dimensional structure, since it’s determined by the end points of  and . I will also think of this as the set  of all sequences in  that start with some 1s, continue with some 2s, and end with some 3s., Next question: if  contains no combinatorial line, can we deduce that the intersection of  with  is small? What I’d like to do is prove that it has no corners, in some useful sense of the word “corners”., How would we get a combinatorial line in this set? We can of course encode each element of  as a triple  where . And at this point we have a problem:  contains no combinatorial lines., Well, I suppose if that had worked it would have been discovered by now. But it suggests an amusing problem. Let  be the hexagonal portion of the triangular grid  (a 2-dimensional subset of ) defined by . Let us call a function  a corner isomorphism if it is an injection such that every aligned equilateral triangle in  maps to a combinatorial line. (An aligned equilateral triangle is a set of the form .) If we could find a corner isomorphism for some fairly large , then we could probably move the image about and prove density Hales-Jewett using an averaging argument. So can anyone either find a big corner isomorphism or (more likely) prove that no such function exists? I don’t expect this problem to be very hard.</t>
  </si>
  <si>
    <t>CTao_35537</t>
  </si>
  <si>
    <t>207. Lower bounds for , The algorithm in Tao.206 is very effective. I has found the following _without_ useing a computer:, For  take  and remove . This gives a set without triangles and with 150 elements. Thus , and this bound cannot be improved using the algoritm in 206. , For  take  and remove the permutations of . This gives , and agian, this cannot be improved using the algorithm in 206.</t>
  </si>
  <si>
    <t>CTao_35540</t>
  </si>
  <si>
    <t>none</t>
  </si>
  <si>
    <t>prove the inverse</t>
  </si>
  <si>
    <t>208. proof theoretic analysis, Could it be interesting to try to prove there is NO combinatorial proof of the theorem, sort of like Kirby and Paris proved there is no PA proof of Goodstein’s theorem?  I’m guessing “combinatorial proof” means one codeable in primitive recursive arithmetic, whose proof theoretic ordinal is omega**omega.  So we’d try to use the Hales-Jewett theorem to prove some kind of well-ordering on those point collections, which has order type larger than omega**omega, which most interesting orderings probably would have.</t>
  </si>
  <si>
    <t>C1940</t>
  </si>
  <si>
    <t>332. Sperner and DHJ, My last contribution for the day: I’ve just checked and there isn’t even a corner isomorphism from  into . The proof goes like this: you take an arithmetic progression of three points in a line and map them to ,  and . (I think I may also have wanted to insist that lines go to sets where the appropriate -set is fixed.) Those three points determine a  and their images determine what the images of the other three points under a corner isomorphism would have to be, but those three images don’t lie in a combinatorial line. (For what it’s worth, they are ,  and .)</t>
  </si>
  <si>
    <t>CTao_35548</t>
  </si>
  <si>
    <t>209. Lower bound for , Correction to 207: When I said that the bound could not be improved using the algorithm from Tao.206 I assume that triples with  had to be left out of the set. I don’t know if it can be improved without this assumption.</t>
  </si>
  <si>
    <t>CTao_35550</t>
  </si>
  <si>
    <t>210. Algorithms, The idea in Tao.206 can only prove lower bound for . But perhaps it can be modified to prove the values of some :, Let . Now we want some inequality in  that holds for every  without combinatorial lines. More on this later., Now, instead of giving each triple  with  the weight , we give it an integer weight between 0 and . Instead of looking for subsets of the triangular lattice with no equilateral triangles, we look for weightings where the weights of the points in each equilateral triangle obey the above inequality. , One example of such an inequality could be:  the sum of the two greatest of . I don’t think this inequality is strong enough, because we want to “remove” more than 1/3 of the total weight, but perhaps we can find some stronger inequalities.</t>
  </si>
  <si>
    <t>C1941</t>
  </si>
  <si>
    <t xml:space="preserve">also some suggested internal (to the project) reading </t>
  </si>
  <si>
    <t>333. Triangle removal, To understand the notations and arguments below, one should read 305-307-308 first. Tim’s proof in 307-308 works nicely, if we change the initial conditions. Our base set  is now just a collection of m-element subsets (where n=3m+k) instead of  and we are considering now every triangle formed by any three pairwise disjoint elements of   . For this set of triangles, we do have the removal lemma as Tim has calculated it. Let me add two technical remarks which might be needed for the complete proof. A triangle is called “normal” if none of its edges is edge of more than Cd other triangles. Then, the argument gives bound on the number of normal triangles. If most of the triangles aren’t normal, then we have a removal lemma. The conclusion is that if we have a small number of triangles in  compare to the size of , then a small fraction of the edges covers most of the triangles.  My second small remark is that when we bound the normal triangles separated by a permutation, then we consider the sets right from the leftmost (having the smallest last point) middle element and and the sets left from the rightmost (having the largest first point) element. These are both bounded by Cd and they span at most  separated triples, as Tim said. I’m just emphasizing the selection of the left size here, only a technical detail.
This theorem is more restricted than Tim’s original statement, but I think it might be useful. In DHJ the dense subset is given and we will work with the induced substructure.</t>
  </si>
  <si>
    <t>C1942</t>
  </si>
  <si>
    <t>334. Sperner, I was wondering what would be the proper Sperner-type theorem in  similarly useful as Sperner in . Is there something before DHJ?</t>
  </si>
  <si>
    <t>CTao_35554</t>
  </si>
  <si>
    <t>211. Sequence for , Sune.207 leaves this sequence as the last one standing in the OEIS., At our current rate of progress I suspect we can at least get an exact value for , so I’d say wait a bit longer on sending our sequence in.</t>
  </si>
  <si>
    <t>CTao_35556</t>
  </si>
  <si>
    <t>CTao_35528; CTao_35537</t>
  </si>
  <si>
    <t>summarize different sub-problems</t>
  </si>
  <si>
    <t>212. Algorithms, Here’s a summary of the different possible algorithm tracks., 1. Randomize the greedy algorithm, then run multiple times to see if any better lower bounds come out. If this doesn’t get any result that improves over Tao.206, that suggests that Tao.206 is optimal., 2. Implement Tao.206 with the dihedral group. As Sune.207 discovered this can be done well even by hand, so it might also be worth it to generate some graphics of lattices with the weights put in to let people try to solve as a puzzle — if anything in this project could be done by a non-expert, this is it., 3. Implement Tao.206 without the dihedral group. If no improvement is found then it would be worthwhile to attempt a proof that the dihedral group can *always* be removed., 4. Write a brute force confirmation algorithm that will leave no question once a  is found that it’s exact.</t>
  </si>
  <si>
    <t>CTao_35561</t>
  </si>
  <si>
    <t>updating knowledge artifacts</t>
  </si>
  <si>
    <t>213.  Upper and lower bounds, I added a table to the main post to reflect the progress so far on  for n up to 7.  (I may expand the table up to n=10 or so at some later point.)</t>
  </si>
  <si>
    <t>CTao_35563</t>
  </si>
  <si>
    <t xml:space="preserve">(Meta) Quick fix: you put 1115 when it’s 1155 for </t>
  </si>
  <si>
    <t>CTao_35564</t>
  </si>
  <si>
    <t>214. Upper and lower bounds., Shouldn’t the upper bound for  be 156? And I think the next upper bounds should be higher too.</t>
  </si>
  <si>
    <t>CTao_35569</t>
  </si>
  <si>
    <t>Thanks for the corrections!  I decided to go ahead and extend the table to n=10, though I am sure some of the bounds here could be optimised further.</t>
  </si>
  <si>
    <t>CTao_35571</t>
  </si>
  <si>
    <t>CTao_35550, 340,331</t>
  </si>
  <si>
    <t>combine ideas</t>
  </si>
  <si>
    <t>crossing threads</t>
  </si>
  <si>
    <t>215. Algorithm / Idea for bounding the  in 210, This is almost a copy of 340:, In 331 Gowers gives a proof that if  is a antichain, . Using the same idea it is possible to show that if  is a family, that intersects every chain , then . Notice that when the elements of  is only allowed to have one of two given sizes, these two theorems are equivalent. The later theorem seems to be easier to generalize to the k=3 case, and it might be useful, at least in the 200-thread.</t>
  </si>
  <si>
    <t>C1945</t>
  </si>
  <si>
    <t>relation check</t>
  </si>
  <si>
    <t xml:space="preserve">is this like another problem? </t>
  </si>
  <si>
    <t>335. Sperner, Jozsef, I think I have the answer to your last question. Let’s define the Kneser product of two set systems  and  to be the set of all pairs  such that ,  and . Then the theorem would be that every Kneser product that is dense in the set of all disjoint pairs (of which there are ) contains a corner: that is, a configuration of the form , ,  with all three of ,  and  disjoint., I’ve stated it like that to make it as similar as I can to Sperner. But a more symmetrical version is this. Suppose that ,  and  are set systems such that there are at least  ways of partitioning  as  with  etc. Then the corresponding collection of sequences contains a combinatorial line., To see that this is a natural extension of Sperner, consider the following silly way of stating (weak) Sperner. If  and  are two set systems such that there are at least  ways of partitioning  as  with  and  then the corresponding collection of 01-sequences contains a combinatorial line., It looks to me as though there should be a two-dimensional family of density Hales-Jewett statements. That is, for each  there should be a DHJ(j,k), where Sperner is DHJ(1,2), density Hales-Jewett in  is DHJ(k-1,k), and the theorem just discussed (for which it looks as though we may have a proof) is DHJ(1,3). The idea would be that for DHJ(j,k), whether or not a sequence belongs to the set depends on a j-uniform hypergraph with  as its vertex set., We should see if there is any relation between this and  Terry’s DHJ(2.5) problem . I suspect there isn’t, in which case it’s amusing to have come up with a different way of “interpolating” between Sperner and DHJ.</t>
  </si>
  <si>
    <t>CTao_35572</t>
  </si>
  <si>
    <t>216. Algorithm., This is almost the same as I suggested in 215, but simpler and weaker:, The chance that a random line with a 1s, b 2s, b 3s, and r wildcard intersects  is . Using this and the similar for b and c we get
, if  doesn’t contain any lines. Still, I don’t think this inequality is strong enough. I think something stronger is true when A, B and C all are non-empty.</t>
  </si>
  <si>
    <t>C1947</t>
  </si>
  <si>
    <t>Reid</t>
  </si>
  <si>
    <t>A practical concern is, who gets there name on the paper?  Everyone that contributed to the “brain storming”?  Or just the “major contributors”?  Both have problems.  For the former, that people who didn’t actually contribute would get credit while not producing anything, and the latter is basically, where do you draw the line of how much input or quality thereof gets credit?  Undoubtedly, there will be people feeling that they got “shafted.”  That likely leading to many people not participating in future massively collaborative events and not speaking fondly of it.  In other words, this structure is likely to fail if only because of the human factor., Another issue would that people, especially Profs, don’t like looking “stupid.”  So, they’ll be quite unlikely to contribute something that might turn out to be that way.  Not to mention that the training that Mathematicians get is completely opposite to just posting an idea without giving it much thought.  So, in general, participation would be questionable., Clearly, there are other “human” issues as well., When it comes to the method itself, there is also the problem of the deluge of nonsense.  As in, if successful, the amount of input from a truly massive collaboration would be *a lot* to sift through.  It’d also make it likely that many viable ideas will “fall through the cracks.”  This will be exacerbated if the forum for this discussion would be open to the general public (if it isn’t, how is it decided who gets access or even knowledge that the discussion exists?).  Such things tend to attract the “crackpots.”  So, there will be a *very* low signal/noise ratio., But, all in all, I really don’t think that this is a good idea if only because of the above.  That isn’t to say that it can’t work on a higher level (i.e. not problem specific).  But, the more specific the problem gets, the less likely things such as this will turn out well.  There are probably relatively very few authors on Maths papers for a reason.</t>
  </si>
  <si>
    <t>C1948</t>
  </si>
  <si>
    <t>Addendum: I find that publishing “under a collective pseudonym”, rather impotent.  What I mean by that, is that although for those already established it doesn’t really matter, for those that are trying to build a reputation, how does being involved in a discussion that resulted in a publication really increase reputation when the actual contribution is buried in a massive conversation?  At least when ones name appears on a paper there is a good guarantee that the person made a significant contribution.  But, with this sort of thing there really isn’t.  And who is going to go through these threads to determine how much the person contributed to the idea?  How do you track overall contribution when the pseudonym would constantly change?  It’s rather intractable and it makes the number of and significance of the publication moot when it comes to seeing it on a CV.  After all, one could just go around and participate in as many of these conversations as time allows.  Then after a time they’ll have gotten several “publications” and could then go around acting like they’ve done something they really haven’t.  Or they could just lie.  After all, who’s going to be able to check it?  It’d be an HR nightmare., I could see this sort of thing working on a smaller scale.  Perhaps for one group.  Perhaps a couple.  Then when a problem is being discussed, if the conversation diverges, someone could “bank” the idea for later consideration and get things back on track.  The result would be a documented conversation between colleagues (even if its just on-line notes) and a list of potential research paths that could be considered once the current one has been completed., In a larger group, this could be done simultaneously.  A subgroup of people initiate research and have some diverging thoughts that are “banked.”  Several other subgroups do the same.  But, they clearly won’t all end there research at the same time.  So, once complete, the subgroup could go back to the “bank” to see what’s there.  In an open setting, they’d have access to every ones ideas.  So, they might be able to start a “banked” idea while the originator(s) is/are still working on his/her/there research.  Of course, subgroups may or may not stay the same., But, this brings up the credit issue again.  What if the person who came up with the idea doesn’t want to pursue it now, but at a later point?  What if they don’t want to pursue it at all?  How will credit be given to him/her/them?, This idea is interesting.  But, there are a number of social issues that need to be overcome before it can be practically implemented.  Not to mention figuring out where that line is where such a thing is beneficial., At any rate, it’s 5am here and I’m a little cross-eyed at the moment.  Hopefully, I haven’t come off poorly.  Sorry, if I have.</t>
  </si>
  <si>
    <t>C1949</t>
  </si>
  <si>
    <t>u2020</t>
  </si>
  <si>
    <t>maths tuition in school kills interest maybe? What does it kill?</t>
  </si>
  <si>
    <t>@laurens:
nice 🙂, i have been a school teacher for some time
and i can say
maths tuition in schools
kills
(as compared to http://www.lulu.com/content/5511660), the best way to test what you guys are talking about
is do it with kids
and see what happens…
set out problems
and open source the solutions, could produce interesting results 😉</t>
  </si>
  <si>
    <t>C1950</t>
  </si>
  <si>
    <t>protect the data</t>
  </si>
  <si>
    <t>how to keep the conversation relevant?</t>
  </si>
  <si>
    <t>As a last comment today (I promise this time), how will you ensure that the link to the conversation that resulted in the publication remains relevant?  In other words, the internet is in a constant state of flux.  Links that are good today, may be broken tomorrow.  Data is constantly written and erased.  These conversations will be no different if only because, at some point, an upgrade in the software used will change things and, at least, alter the links.  There’s also HDD crashes and other related failures (I had that happen to me twice last year – the backup failed as well by the way, both times).  It’s bound to happen at some point.  And then the pseudonym and its related discussion become broken., The internet may have brought about a massive improvement in speed of communication.  But, with it has come a profoundly brittle storage of that information.  These concerns need to be addressed if we are to rely on such things for the storage of something as important as Mathematics., @Laurens Gunnarsen:, One must be careful to not misinterpret those quotes.  Sure, it is great to come up with something new and innovative (crackpots routinely use this as a defence of there crackpottery).  I doubt many would argue that.  But, there is a flip-side to that coin.  Many a career has been ruined by prematurely releasing resulted that were ultimately incorrect.  It is (typically) only those that are *already* well established that are able to make such leaps and fail, yet still survive.  After all, if one is routinely wrong while trying to establish a reputation, ones reputation will be that (s)he is routinely wrong.</t>
  </si>
  <si>
    <t>C1951</t>
  </si>
  <si>
    <t>ways to do it</t>
  </si>
  <si>
    <t>@u2020:, With respect, kids are the last people that this should be tested on.  After all, the complexity of the problem “we” are talking about is *well* beyond there capability.  And since with an increase in complexity, the dynamic of how one needs to work with others changes (not to mention the problem itself), any simple task that the kids might be given wouldn’t yield any usable information about the productivity of this method.  At best it’d produce a false positive/negative., Regarding ‘open sourcing’ Mathematical solutions, check out http://arxiv.org/ and other pre-print servers.  In other words, that’s already happened (to at least a large degree).  Not to mention that the usage of results is unrestricted (with citation) and anyone that is actually researching will have access to the journals through the institution they work for (e.g. there University).  This issue is also getting better, not worse.  There have been several cases of researchers releasing there work under a creative commons type license and the journals getting in trouble for not obeying the terms of that license.  I believe a few of these stories were linked to from slashdot.  So, that might be a place to find them aside from Google if you’re interesting in the details.</t>
  </si>
  <si>
    <t>CTao_35585</t>
  </si>
  <si>
    <t>Michael Peake</t>
  </si>
  <si>
    <t>217.  Lower bounds for c_n
Following Jakobsen.207 who used Tao.206
I got a lower bound for c_7 of 1302: Remove {016,106,052,502,151,511,160,610} from D_7.
and a lower bound for c_8 of 3780: Remove {017,107,026,206,125,215,071,701,161,611,080,800,260,620} from D_8</t>
  </si>
  <si>
    <t>C1952</t>
  </si>
  <si>
    <t>@reid
although for those already established it doesn’t really matter, for those that are trying to build a reputation, how does being involved in a discussion that resulted in a publication really increase reputation when the actual contribution is buried in a massive conversation?, Just like open source software developpers “pay off” is quite different from conventional developpers, open source research will certainly entail very different outcomes for the participants than standard academic publishing.
The  proof in the pudding, just let the experiments go and don’t worry about “who gets there name on the paper”, “looking stupid”, “viable ideas  falling through the cracks”, crackpots, broken links, HDD crashes,  etc…
The actual participants of polymath1 are at no risk it seems and the Internet is a well known mess yet it works, while the kind of objections you raise is exactly what prevented the much earlier Project Xanadu to ever take off, Worse is better.</t>
  </si>
  <si>
    <t>C1953</t>
  </si>
  <si>
    <t>C1945; 331</t>
  </si>
  <si>
    <t>the analogy doesn't work</t>
  </si>
  <si>
    <t>natural generalization of the Sperner proof gives the wrong theorem</t>
  </si>
  <si>
    <t>336. Sperner and DHJ., A small observation. One could regard the previous comment as showing that at least one natural generalization of Sperner to  turns out not to be the statement we want. That is unfortunate, though by no means catastrophic. In this comment I want to point out that there is a different way of generalizing Sperner that leads (I think) to a deeper theorem, though it still isn’t DHJ., Let’s go back to comment 331 and try to generalize the proof of Sperner and see what comes out, not worrying if it isn’t DHJ. To do this, we associate with any triple  the three sets ,  and . Let’s call this the triple . Now let’s suppose we have a corner, by which in this context I mean a triple of triples of the form ,  and  (with ). What combinatorial configuration do we get from the corresponding triples ,  and ? The answer is that we partition  into sets , , ,  and . Then the sequence corresponding to  is 1 on  and , 2 on  and , and 3 on . The sequence corresponding to  is 1 on , 2 on ,  and , and 3 on . Finally, the sequence corresponding to  is 1 on , 2 on  and , and 3 on  and . , Thus, we have three fixed sets, namely ,  and , and two variable sets, namely  and . If we identify each set to a point, we can think of the three sequences as   and . If we forget about the fixed sets, the restrictions to the variable sets are going . Also, and this is important, the two variable sets have the same size. (If they didn’t, then the resulting theorem would be much easier.), Given a dense set of triples that start with 1s, continue with 2s and end with 3s, then the corners theorem will tell you that you must have a configuration of the above kind. I haven’t checked this, but I’m about 99% certain that if you imitate the proof of Sperner by averaging over a random permutation, then you will be able to deduce that a dense subset of  will contain a “peculiar combinatorial line” of the above form. (Just to be clear, a  peculiar combinatorial line  is a triple of sequences that are fixed outside two sets  and  that have the same size, and inside  and  they go .), The reason I call this a deeper theorem is that it relies on the corners theorem. Indeed, it implies the corners theorem if you restrict to sets that are unions of slices. (This is because we insist that  and  have the same size.), Again, this is a slightly depressing observation because it shows that a reasonably natural generalization of the Sperner proof gives us the wrong theorem. However, again it doesn’t actually tell us that we can’t find a different way of generalizing Sperner that gives the right theorem.</t>
  </si>
  <si>
    <t>C1954</t>
  </si>
  <si>
    <t>337. Sperner and DHJ, A tiny observation, following on from 332. The main difficulty seems to be as follows. Let’s define the  order profile  of a sequence to be what you get when you collapse each block of equal coordinates to just one coordinate. For example, the order profile of  is . In  you can have a combinatorial line where every element has the same order profile: e.g.  and . But in  that is impossible. (Proof: if the last fixed coordinate before a variable string starts is  and the first fixed coordinate after it finishes is , then the variable string can only take the values  and .), I’ve vaguely wondered about having a two-dimensional ground set, so that it’s possible for three sets to meet at a point, but I haven’t managed to define a nice two-parameter family of sequences.</t>
  </si>
  <si>
    <t>C1955</t>
  </si>
  <si>
    <t>expanding on a comment</t>
  </si>
  <si>
    <t>338. Sperner and DHJ, Actually, I can’t resist just slightly expanding on the last paragraph of 337. Let’s take not  but , which we think of as the space of all functions from  to . I’d like to regard such a function as “simple” if you’ve basically got three big simply connected patches, of 1s, 2s and 3s, and if the boundaries between these patches are not too wiggly. A combinatorial line of functions like this would have the desirable property that it wouldn’t be obvious from just one of the functions what the variable set was: in some sense the “two-dimensional order profile” would be the same for all three points. , One could now ask whether the simpler structure here would make DHJ easier to prove. If so, then one could average up in the Sperner fashion. But it doesn’t look easy to say exactly what this simpler structure is.</t>
  </si>
  <si>
    <t>C1956</t>
  </si>
  <si>
    <t xml:space="preserve">also starting to seem monologish … </t>
  </si>
  <si>
    <t>339.  Sperner and DHJ, I take that back. Here’s an actual conjecture., Let’s take as our basic object the kind of thing one talks about in Sperner’s proof of the Brouwer fixed point theorem (surely a coincidence though). Chop out a large hexagonal piece from a tiling of the plane by hexagons and colour two of its edges (next to each other) red, two green and two blue, and extend these colourings from the boundary into the inside of the hexagon until you’ve coloured it all, and do so in such a way that you have three simply connected regions that meet at some point. Colourings of this kind are the basic objects that we’ll consider. Of course, “red”, “green” and “blue” is another way of saying 1, 2 and 3. , The question is, if you have a dense set of such colourings, must you have a combinatorial line? A combinatorial line in this context will be like what I described except that the three regions meet not at a point but round the boundary of a fourth region, which is the set of variable coordinates., At the moment I know pretty well nothing about this question. I don’t know whether there’s an easy counterexample, I don’t know how to think about the measure on all those colourings (which feels like a fairly nasty object of a kind that the late and much lamented Oded Schramm would have been able to tell us about), and I don’t know whether a positive answer follows from density Hales-Jewett. The one thing I feel fairly confident of is that this, if true would imply DHJ. Oh, and one other thing is that I don’t have any feel for whether this is more or less equal to DHJ in difficulty, or whether there is a chance that it is easier., Actually, there’s another thing that I’m confident of — in fact, certain of — which is that it is a natural generalization of the trivial fact that underlies Sperner. (That is the fact that if you have a dense set of 2-colourings of a line of points, then two of those 2-colourings will form a combinatorial line.), This conjecture is probably not to be taken too seriously, but I quite like the fact that it doesn’t follow easily from DHJ.</t>
  </si>
  <si>
    <t>C1958</t>
  </si>
  <si>
    <t>will this theorem work?</t>
  </si>
  <si>
    <t>useful at least in another thread</t>
  </si>
  <si>
    <t>340. Variant of Sperner, First I must admit, that I haven’t read much in this thread, so I don’t know if this has been said before. I got this idea while I tried to find some low values of .
In 331 Gowers gives a proof that if  is a antichain, $\sum_{A\in\mathcal{A}}\frac{1}{\binom n{|A|}}\leq 1$. Using the same idea it is possible to show that if  is a family, that intersects every chain , then $\sum_{A\in\mathcal{A}}\frac{1}{\binom n{|A|}}\geq 1$. Notice that when the elements of  is only allowed to have one of two given sizes, these two theorems are equivalent. The later theorem seems to be easier to generalize to the k=3 case, and it might be useful, at least in the 200-thread.</t>
  </si>
  <si>
    <t>CTao_35593</t>
  </si>
  <si>
    <t>218. Lower bounds for c_n, It is curious that the current lower bounds for c_2, c_5 and c_8 are respectively one-third of the current lower bounds for c_3, c_6 and c_9., I have a lower bound for c_12: 287892, built from (abc) = (A02,705,423,165,462) and permutations, with A=10); , and a lower bound for c_15 of 7376850, built from (abc) = (40B,13B,708,168,735,465,762) and permutations, with B=11.</t>
  </si>
  <si>
    <t>C1959</t>
  </si>
  <si>
    <t>341. Sperner, I’m reading  335, and I’m trying to understand the conjecture. First, there is a coloring theorem for subsets that says that one can find three disjoint sets in the same colour class that their unions are also in that colour class. It is a special case of the Finite Union Theorem (Folkman’s Theorem) which is equivalent to the finite sums theorem. It states that any finite colouring of the natural numbers contains arbitrary large monochromatic IP sets. The density statement is clearly false without extra conditions on the dense subset. It is obvious that the finite union theorem implies the finite sum theorem, however the other direction is difficult; one can use Van der Waerden for the reduction. Maybe we can also prove some density theorem for disjoint set unions using Szemeredi’s thm. It is still not Tim’s cross-product conjecture, but it seems to be quite promising. Let me also mention that the other proof of finite union theorem uses HJ! About the details: a possible reference is Graham, Rothschild, Spencer, “Ramsey Theory”. Now it’s family lunch-time, so I will be away for a while, but I’m quite excited about this possible “density finite union theorem” so I will come back a.s.a.p.</t>
  </si>
  <si>
    <t>CTao_35595</t>
  </si>
  <si>
    <t>CTao_35593; CTao_35550</t>
  </si>
  <si>
    <t>219.  Lower bounds for , Hi Michael!  I propagated your lower bounds back in n using (2), and they seem to give quite good bounds.  Certainly our accuracy for  is much superior to what we currently have for  or ., I also like the suggestion in Jakobsen.210 to try to understand the ways in which a line-free set can intersect .  A test problem that might be susceptible to brute force attack is the following: consider the set .  This is the union of three groups of 12 vertices, and it contains 24 triangles, each of which meets each of the three groups in exactly one vertex, with each vertex belonging to two triangles.  Now let  be a line-free subset of S, where , , .  The question is: what constraints are there on the triple ?  A simple double counting argument shows that  (this is already alluded to in 210).  And it is easy to see that  can attain the values .  But are these the only ways that  can be as large as 24?   If so, this suggests that the most efficient way to build line-free sets is to zero out some of the  and pile all the vertices into the rest – in short, to perform the type of strategy we are already doing from 206 onwards.</t>
  </si>
  <si>
    <t>C1961</t>
  </si>
  <si>
    <t>C1945, C1959, C1941, 308</t>
  </si>
  <si>
    <t>342.  Sperner, Jozsef, What I wrote in 335 was meant to be more or less the same as what you suggested in 333 — a very slight generalization perhaps, but you can make it the same if you look at the special case . And I think that, as you say, it can be proved by the argument of 308. Or are we talking about different things?</t>
  </si>
  <si>
    <t>C1963</t>
  </si>
  <si>
    <t>343. In comment 335 what is meant in general by DHJ(j,k)?</t>
  </si>
  <si>
    <t>C1964</t>
  </si>
  <si>
    <t>I think it can</t>
  </si>
  <si>
    <t>344. Sperner/DHJ, Boris, I hadn’t actually worked it out, but I think I can. Basically, DHJ(j,k) is density Hales-Jewett in  but with  placing a restriction on the complexity of the dense set  Let me give the case  first. This is equivalent to the normal density Hales-Jewett theorem, but I’ll state it slightly differently. , Actually, I think I may as well go for the whole thing right from the start., Suppose that for each subset  of  of size  you have a set  of functions from  to the power set of  such that the images of all the points in  are disjoint sets. Let’s write  for a typical element of . I now define a set  of (ordered) partitions of  into  sets  by taking all partitions  such that for every  of size  we have that  belongs to . Thus, in a certain sense the set of partitions (which are of course in one-to-one correspondence with sequences in ) depends only on what collections of  sets there are in the partition. Then DHJ(j,k) is the claim that if your dense set  has this special form, then it must contain a combinatorial line., My suggestion, which I think I could justify completely if pushed to do so, is that if  then one can prove DHJ(j,k) by a fairly simple adaptation of the proof of Sperner as given by Jozsef. Sperner, by the way, is DHJ(1,2), and the problem we have been considering is DHJ(2,3). In general, I suspect that DHJ(j,k) is of roughly equal difficulty to DHJ(j,j+1). It might be interesting to see if we can deduce DHJ(j,k) from DHJ(j,j+1), though at the moment my feeling is that we can prove DHJ(1,k) not by deducing it from DHJ(1,2) but by imitating the proof of DHJ(1,2), which is not quite the same thing.</t>
  </si>
  <si>
    <t>C1965</t>
  </si>
  <si>
    <t>general remark</t>
  </si>
  <si>
    <t>in a certain x we have y</t>
  </si>
  <si>
    <t>345. Triangle Removal in Kneser Graphs, I will go back to the “density finite union theorem” soon as I think it is relevant to our project, but first here is a general remark about the removal lemma. I just want to make it clear that in a certain range we have a real removal lemma. Given three families of sets A,B, and C. If the number of disjoint triples (one element from each) is smaller than X (something depending on the sizes |A|,|B|, and |C|) then a small fraction of the disjoint pairs covers EVERY triangle. To see that, we just have to iterate the counting of “normal” triangles. (post 333.)</t>
  </si>
  <si>
    <t>CTao_35597</t>
  </si>
  <si>
    <t>219. Lower bounds for c_n, I wish to correct the triples for c_12 in my previous post (see below)., I have found a way to automate construction of lower bounds,
when n is a multiple of 3., The current lower bounds for c_{3m} are built like this,
written in terms of Tao.206’s (a,b,c):
c_3 from (012) and permutations
c_6 from (123,024) and perms
c_9 from (234,135,045) and perms
c_12 from (345,246,156,02A,057) and perms (A=10)
c_15 from (456,357,267,13B,168,04B,078) and perms (B=11)
To get the triples in each row, add 1 to the triples in the previous row; then include new triples that have a zero., This method gives a lower bound for c_99 that is bigger than 3^98.</t>
  </si>
  <si>
    <t>C1966</t>
  </si>
  <si>
    <t>check understanding; nothing stops us from [x]</t>
  </si>
  <si>
    <t>346. I think I misunderstand comment 344. Consider DHJ(k-1,k). We have  sets  each of which gives a rise to a subset of  which I call .  Then the subset  of  that corresponds to  that is the intersection . However, nothing stops us from make  large, and their intersection empty.</t>
  </si>
  <si>
    <t>C1967</t>
  </si>
  <si>
    <t>347. Boris, I wasn’t clear enough in what I meant. Of course, you are right in what you say, but the statement is that if the intersection is dense then you get a combinatorial line, and not the weaker assumption that each individual  is dense. Of course, in the case  you can consider just a set system , just as in Sperner you can consider just the set of points where your sequence is 0.</t>
  </si>
  <si>
    <t>C1968</t>
  </si>
  <si>
    <t>C1965?</t>
  </si>
  <si>
    <t>348. Density Finite Union (DFU) Theorem, My previous remark was about a possible DFU thm. Let us see the simplest version. What would be a necessary density condition to guarantee a pair of disjoint sets A and B that A,B, and  are in this “dense” set? Considering the arithmetic analogue, if we have a set  with cn elements a that 2a is also in S, then there is a nontrivial solution for x+y=z.</t>
  </si>
  <si>
    <t>C1969</t>
  </si>
  <si>
    <t>what would be a meaningful notation?</t>
  </si>
  <si>
    <t>349. DFU contd., The first density condition would be that the number of disjoint pairs is at least .The second condition should be something related to sets having 2/3n+-k elements. I’m still not sure what could be a meaningful  notation for density here.</t>
  </si>
  <si>
    <t>C1970</t>
  </si>
  <si>
    <t>potential proof</t>
  </si>
  <si>
    <t>350. DFU, A possible statement could be the following; Given a family F of subsets of n. Let us suppose that the number of disjoint pairs in F is at least   We are going to define a graph on F. The verices are the sets in F and two are connected iff they are disjoint and their union is also in F. Then, either one can remove   vertices to destroy all edges, or there are  edges where c’ depends on c only. I’m not sure that the statement is true, but something like this should be true.</t>
  </si>
  <si>
    <t>C1971</t>
  </si>
  <si>
    <t>scope shrink</t>
  </si>
  <si>
    <t>too ambitious - step back</t>
  </si>
  <si>
    <t>351. DFU (Density Finite Union) theorem., Well, now I see that  is way too ambitious;  let me change it to f(n)|F| where f(n) goes to infinity.</t>
  </si>
  <si>
    <t>CTao_35599</t>
  </si>
  <si>
    <t>?219; Terry?</t>
  </si>
  <si>
    <t>220. Lower bounds for , Hi Terry.  An answer to your test question is that
you can keep 8 from each group of 12: Remove those, such as 0201,
whose doubled digits are in positions 1 and 3, or
positions 2 and 4.  This removes all lines because the
wild-card digit has to match the digit two positions away
once in each line.</t>
  </si>
  <si>
    <t>C1972</t>
  </si>
  <si>
    <t>counter example</t>
  </si>
  <si>
    <t>352. DFU, I’ve got to go to bed, but as a last comment, let me ask whether 350 is intended as a set-theoretic analogue of Ben Green’s theorem that if you have a set with few solutions of  then you can remove a small number of elements and end up with no solutions of . It would be very nice to be able to prove something like that (and a generalization to larger finite unions). , If one were going to try to find a counterexample, one would have a large collection of sets of size around , and one would partition them into disjoint pairs, and one would add to the collection the set of unions of these pairs, which would turn them into a matching in your graph. The question would then be whether one could do this without creating  further edges. , Here’s an attempt to do so. First we choose a random collection  of sets of size , big enough that its  lower shadow is all of . Next, we choose all sets of size at most . Then the number of disjoint pairs is certainly at least . Also, the number of edges is at most . Next, it seems to me that it will be very hard to remove all edges: the fact that  is random and that every vertex is contained in an edge (and we could make  slightly bigger so that each vertex is in several edges) ought to mean that we can choose a large matching. How big is ? Well, each set in  covers  small sets, so by my calculations the number of edges is , which is a lot smaller than . Sorry if some of this turns out to be nonsense — I must must sleep now.</t>
  </si>
  <si>
    <t>C1973</t>
  </si>
  <si>
    <t>353. DFU, Just to say that I wrote 352 before seeing your 351.</t>
  </si>
  <si>
    <t>CTao_35600</t>
  </si>
  <si>
    <t>disprove</t>
  </si>
  <si>
    <t>221. Algorithm / Upper bounds., One way to show that the idea in 210 can _not_ work would be the following:
Find a weighting w, such that for every a,b,c and r, , there exist sets  with  and no lines in , but with . , I don’t know if such a weighting exist, but in the k=2 case (Sperners theorem) it does: Let  if  and 0 otherwise. Now for a given a, b and r we can choose a set A, of elements x with  and a set B, of elements x with . These set are big enough, and don’t contain any lines. And the sum of the weight function is almost .</t>
  </si>
  <si>
    <t>CTao_35603</t>
  </si>
  <si>
    <t>210; 219</t>
  </si>
  <si>
    <t>222. Alogrithm/ Upper bounds, The obvious generalization to the k=3 case works: Let  if . Now we can choose a set A with elements x, such that  and a set C with elements x, such that  and a set B. Now  don’t contain any lines. , This weight gives a density of almost ¼. So the idea in 210 won’t work for large n. Still, I think it might be interesting to look at the questions Tao asked in 219 for general a, b, c and r.</t>
  </si>
  <si>
    <t>CTao_35604</t>
  </si>
  <si>
    <t>223. Lower bounds of , There is a connection between ,  and :
Of the 450 length-six sequences defined in Peake.219,
150 begin with a 1….., and 52 begin with 12….., The same thing applies with the current lower bounds of c_7, c_8 and c_9, It also gives lower bounds of 32864 for c_10, and 837850 for c_13</t>
  </si>
  <si>
    <t>CTao_35606</t>
  </si>
  <si>
    <t>CTao_35597; CTao_35600 (not 220); CTao_35604</t>
  </si>
  <si>
    <t>transient but interesting</t>
  </si>
  <si>
    <t>224. Lower bounds for , @Peake.219: This is quite interesting.  I wonder if it is possible to extract an asymptotic for the lower bound obtained by this method as  (i.e. Question II.C).  It is also interesting to see that  is really decaying very slowly as ., It may be time to set up some sort of communal spreadsheet for all this data – I’ll have a look into this., @Jakobsen.220: Ah well, it was worth a shot.  (Note, by the way, that the bound  in 219 implies the sharp bound , since a line-free set must omit at least one element from  and similarly for cyclic permutations; so a better understanding of when equality occurs in  would lead to a classification of when one has the maximal cardinality of , which should assist with the upper bound for  as with Jakobsen.90).  Update, Feb 8: I made an arithmetic error here, this inequality is not enough by itself to get to 52; one also needs to figure out how to relate , etc. into the mix.  But the general point may still be valid., In light of the discussion in Gowers’ threads, it seems that the Kruskal-Katona theorem,, http://en.wikipedia.org/wiki/Kruskal%E2%80%93Katona_theorem, is likely to be relevant here, at least for large n., @Peake.223: Hmm.  Does this mean that all of our optimal counterexamples are in fact nested (e.g. is the  example a slice of the  example?)  This may be a transient phenomenon, but still an interesting one.</t>
  </si>
  <si>
    <t>CTao_35608</t>
  </si>
  <si>
    <t>tracking data; downloaded spreadsheet - but because it was upgraded June 17, 2014, 7:39 PM from old google sheets there's no edit or comment history</t>
  </si>
  <si>
    <t>225.  Spreadsheet, OK, I _think_ I’ve set up a collaborative spreadsheet at, http://spreadsheets.google.com/ccc?key=p5T0SktZY9DsU-uZ1tK7VEg, to track the current data we have for .   It should be editable to anyone with a google account.  It should automatically propagate the bounds (1), (2) to any new bound entered.  (I also have a backup copy in case something goes wrong.)  One should presumably be able to program the computations in 219 into here too.  Please feel free to contribute to it.</t>
  </si>
  <si>
    <t>C1977</t>
  </si>
  <si>
    <t>conjecture</t>
  </si>
  <si>
    <t>354. DFU (Density Finite Union conjecture), Let me state here a conjecture. It might not be directly connected to our project, however I’ve been looking for the right formulation for a while and I think that this is the right one; First we have to find the proper notation of density since simple density wouldn’t guarantee the result we are looking for. The “weighted density” of a set  is given by the sum of the (normalized) number of pairwise disjoint k-tuples in S for all 1&lt;kc&gt;0 there are m pairwise disjoint sets,  that  for any nonempty . This form is clearly a density version of Folkman’s theorem; If we colour the subsets of n by K colours, then at least one class has density &gt; 1/K.</t>
  </si>
  <si>
    <t>C1978</t>
  </si>
  <si>
    <t xml:space="preserve">Somehow I lost the middle of the text between 10   , 355. DFU (Density Finite Union conjecture), Let me state here a conjecture. It might not be directly connected to our project, however I’ve been looking for the right formulation for a while and I think that this is the right one; First we have to find the proper notation of density since simple density wouldn’t guarantee the result we are looking for. The “weighted density” of a set  is given by the sum of the (normalized) number of pairwise disjoint k-tuples in S. . The maximum number of pairwise disjoint k-tuples is  so D(S) is a number between 0 and 1. The conjecture is that for any number m, if S contains no m pairwise disjoint elements with all  possible nonempty unions, then it is sparse. D(S) goes to 0 as n goes to infinity.  , With different words, if S is dense (and large enough) then there are m pairwise disjoint sets,  that  for any nonempty index set </t>
  </si>
  <si>
    <t>C1980</t>
  </si>
  <si>
    <t>damn!</t>
  </si>
  <si>
    <t>Yah, sure Kevembuangga.  Let’s not worry about any practical issues that entail some semblance of reality.  Let’s not worry about whether people are actually good researchers and are able to prove that.  Let’s not worry about whether any and/or all this research will vanish in the blink of an eye.  Let’s not worry about the flood of crackpots that has already caused problems on the arXive and many a persons/researchers blog, etc, etc, etc., Ignoring valid practical very *very* real problems is delusion., Point of fact, your example objections are apples and oranges comparisons; at best sophistry.  What we are talking about here are people that are capable of doing real Maths research.  And those people are so much more rare than programmers it isn’t funny.  Open-source is a *very* different beast.  I should know, I participate in it.  So, to apply such ideas in Maths without giving it any thought, is a *very* bad idea.  Not to mention a waste of time and grant money., Also, worse is better?!?!?  Are you serious?!?!?  Do you honestly think that the journals will publish worse material?  Do you honestly think that it is beneficial to waste time on sifting through crap?  Because, that’s the whole point isn’t it.  To get to a place that is more efficient that still results in a publication.  The journals will /not/ put up with worse.  And I certainly don’t see any benefit in any scheme where any crackpot can post his/her crackpottery.  Especially, when the choice is either to sift through it (*big* waste of time) or have some sort of moderating system like Slashdot.  A system that is inherently grossly flawed., Because, that kind of system is *very* flawed.  Ideas will either rise or fall based on the bias of the people moderating.  Ever post something against RMS in a thread about him?  Something true?  What happens?  You get modded into oblivion is what happens.  Similarly for all the academic threads.  If you post something that is a valid concern, but someone who likes the idea comes across your post, they’ll mod you down.  To think that such things won’t happen in the Maths setting is naive beyond belief., Point of fact, such moderation systems are a crap shoot at best.  And most of the time they don’t really work.  It’s just that people don’t see what was modded down, or didn’t get modded up because they can’t be bothered to look at the posts at that low of a level.  It’s just too much of a time commitment and people are lazy and/or have way too much other stuff to deal with e.g. classes, administrative demands, marking, training TA’s/lab assistants, etc, etc, etc., As I said, this idea /could/ be beneficial on a smaller scale.  But, the “massively” way… not so much.  Too many problems in too many areas.</t>
  </si>
  <si>
    <t>C1981</t>
  </si>
  <si>
    <t>confrontation</t>
  </si>
  <si>
    <t>Please, guys, calm down!  We’re not going to resolve this by shouting at each other.</t>
  </si>
  <si>
    <t>C1982</t>
  </si>
  <si>
    <t>356.  DFU, Dear Jozsef, I’ve edited your last comment so that the formulae show up, and made a couple of other tiny changes (such as changing  to ). Please check that I haven’t introduced any errors., As it stands, I don’t understand your conjecture. A typical disjoint -tuple has all its sets of size around , so it seems to me that the set of all sets of size around  is dense in your sense. And there is of course no hope of getting finite unions in this set. Am I misunderstanding something?</t>
  </si>
  <si>
    <t>C1983</t>
  </si>
  <si>
    <t>Reid — you have something important to say, and you have said most of it.  While I don’t agree with your conclusion that this is necessarily a bad idea, I will give an enthusiastic second to the notion that it should be approached with a great deal of caution, lest it spin out of control, and I’m very much in favor of engaging in a respectful discussion about the risks and rewards of this sort of collaboration.</t>
  </si>
  <si>
    <t>C1984</t>
  </si>
  <si>
    <t>just because it's fun; we need to see the process too</t>
  </si>
  <si>
    <t>Perhaps I can attempt a calming comment here. I think that Reid introduces some valid concerns, but it’s important to distinguish between two possible scenarios when one is thinking about open-source mathematics. One is that it gradually takes over to the point where pretty well all mathematics is done that way. Then it really is the case that we would have to rethink in a big way how we assign credit, and at the moment it looks to me as though what we would end up with would be quite a bit less satisfactory than what we have today. (I am not sure about this, but there are serious problems that I don’t see how to solve.) The other scenario is that open research with several collaborators becomes something that some people feel like doing for some problems, not because they want to take over the world, but just because it is fun, and because the resulting conversation, though messy and full of ideas that go nowhere, is interesting by virtue of that very fact: it shows you the things that the journals and textbooks hide., With these concerns in mind, and also the concern that an open-source project on some topic could accidentally put someone in a very awkward position if they happened to be working on the same topic and had already made progress, I will be choosing future polymath problems quite carefully, with the aim of keeping the whole thing entertaining while not encroaching on the territory of normal, private mathematics.</t>
  </si>
  <si>
    <t>C1986</t>
  </si>
  <si>
    <t>why do this</t>
  </si>
  <si>
    <t>because it is fun</t>
  </si>
  <si>
    <t>I’d like to emphasize a small point gowers just made.  I think that “because it is fun” is crucial.  Whatever other motivations people might have, I’d like to assert that “it is fun” ought to be a requirement for ongoing participation in a collaboration like this.</t>
  </si>
  <si>
    <t>CTao_35614</t>
  </si>
  <si>
    <t>226. , Just a quick note:  is *not* in the OEIS.</t>
  </si>
  <si>
    <t>Gowers_8</t>
  </si>
  <si>
    <t>This post is one of three threads that began in the comments after the post entitled A combinatorial approach to density Hales-Jewett. The other two are Upper and lower bounds for the density Hales-Jewett problem , hosted by Terence Tao on his blog, and  DHJ — the triangle-removal approach, which is on this blog. These three threads are exploring different facets of the problem, though there are likely to be some relationships between them.Quasirandomness.Many proofs of combinatorial density theorems rely in one way or another on an appropriate notion of quasirandomness. The idea is that, as we do, you have a dense subset of some structure and you want to prove that it must contain a substructure of a certain kind. You observe that a random subset of the given density will contain many substructures of that kind (with extremely high probability), and you then ask, “What properties do random sets have that cause them to contain all these substructures?” More formally, you look for some deterministic property of subsets of your structure that is sufficient to guarantee that a dense subset contains roughly the same number of substructures as a random subset of the same density.For example, suppose you are trying to find a triangle in a dense graph. (We can think of a graph with  vertices as a subset of the complete graph with  vertices. So the complete graph  is our “structure” in this case.) It turns out that a quasirandomness property that gives you the right number of triangles is this: a graph of density  is quasirandom if the number of quadruples  such that  and  are all edges is approximately . That is, the number of labelled 4-cycles is roughly what it would be in a random graph. If this is the case, then it can be shown that it is automatically also the case that the number of triples  such that  and  are edges is approximately , again the number that you would expect in a random graph.This might seem a slightly disappointing answer to the question. We are trying to guarantee the expected number of one small subgraph and we assume as our quasirandomness property something that appears to be equally strong: that we have the expected number of another small subgraph. How can that possibly be a good thing to do?A first answer is that if you have the right number of 4-cycles then it doesn’t just give you triangles: it gives you all small subgraphs. But an answer that is more pertinent to us here is that we can draw very useful consequences if a graph does not have the right number of 4-cycles. For example, we can find two large sets of vertices  and  such that the number of pairs  such that  is an edge is significantly larger than  (which is what we would get for a random graph). Note that this is a global conclusion (an over-dense bipartite subgraph) deduced from a local hypothesis (the wrong number of 4-cycles). We can turn this round and say that we have an alternative definition of quasirandomness: a graph of density  is quasirandom if for any two large sets  and  of vertices, the number of pairs  such that  is an edge is about . This definition turns out to be equivalent to the previous definition.This sort of local-to-global implication is extremely useful. The local property can be used to show that sets have substructures. And if the local property fails, then one has some global property of the set that can be exploited in a number of ways.It is not too important for the purposes of this thread to understand what all these ways are. But one of them does stand out: a global property is useful if it allows you to find a substructure of the main structure such that the intersection of  with that substructure is denser than it would be for a random set. In the graphs case, our substructure will be a large complete bipartite graph. The obvious substructure to hope for in the density Hales-Jewett set-up is a combinatorial subspace (which is like a combinatorial line except that you have several different variable sets, with the number of these sets being called the dimension of the combinatorial subspace). However, as I shall argue in a comment after this summary, we will probably need to go for something more complicated than a combinatorial subspace.So one question that it would be very good to answer is this: what on earth do we mean by a quasirandom subset of ? Or rather, what local property would guarantee roughly the expected number of combinatorial lines in a dense subset of ? (Technical point: even this is probably not quite the right question, since we ought to work not in  but in a suitable triangular grid of slices, so that the uniform measure is a sensible one to use.) Of course, we would also like to understand what global properties would guarantee this, but that is a topic for the next section.Obstructions to uniformity.If one wants to devise a proof that depends on a quasirandomness property, then one wants that property itself to have some properties. These are (i) that it should have a local definition that allows one to show that quasirandom sets contain many combinatorial lines; (ii) that every non-quasirandom set should be non-quasirandom for a global reason (such as intersecting a large structured set more densely than expected); and (iii) that every set that is non-quasirandom for a global reason like this should look “too dense” in some substructure that is similar to the main structure.One of the main purposes of this thread is to understand (ii) in the case of the density Hales-Jewett problem. What are the global reasons for a set not to have roughly the expected number of combinatorial lines? These are what is meant by obstructions to uniformity. The dream is to be able to say, “It’s clear that a set with one of these global properties will not necessarily have the expected number of combinatorial lines. But in fact, the converse is true too: if a set does not have the expected number of combinatorial lines then it must have one of these global properties.”How might we work out what the obstructions to uniformity are? There are two possible approaches, both of which are valuable. One is just to think of as many genuinely different ways as we can for a set to fail to have the expected number of combinatorial lines. Another is to devise a local quasirandomness property and to see what we can deduce if that local property does not hold. So far, all the discussion has centred on the first approach, though in the end it is the second approach that one would have to use (as it is in other contexts where the theory of quasirandomness is applied).There was quite a bit of discussion about the first approach in the “obstructions to uniformity” thread on the combinatorial approach to density Hales-Jewett post. It was summarized by Terence Tao in his comment number 148, so I won’t give lots of links here (though I will give some). But let me briefly say what the obstructions we now know of are, and add one that has not yet been mentioned.Example 1. One fairly general class of obstructions is obtained as follows. Let  be some fixed function from  to , let  be a positive integer, let  be a structured set of integers mod  (I’ll say what “structured” means in a moment), let  be integers mod  and let  be the set of all sequences  such that .Suppose now that  is a combinatorial line in , with the variable coordinates being 1 for , 2 for  and 3 for . Let  be the variable set. Then  and . Therefore, . Now we already know that , so if there is a significant correlation between  and the dilation  of  (let’s assume for simplicity that  is invertible mod ), then knowing that  and  belong to  makes it more (or less if the correlation is negative) likely that  will belong to . Such correlation is possible if  is a set such as an arithmetic progression or a Bohr set, and the fraction  has reasonably small numerator and denominator when written in its lowest terms. (Incidentally, Boris Bukh is the expert on sums of sets with their dilates.)The example given is what one might call an extreme obstruction. If  is an extreme obstruction constructed in that way, then a less extreme obstruction derived from  would be any set  such that  is significantly different from . A simple example of such a set  is any set such that the number of sequences  with  is significantly different from . Here we are taking  for , ,  for every , , and . (These are not the unique choices that give the example.)Example 2. The next class of obstructions is closely related to obstructions that occur in the corners problem. Suppose that  and  are two subsets of , with density  and , respectively. Then  has density  in . Now suppose that we have two points in  of the form  and  for some . Then the point  also belongs to . Therefore, if you have the two 45-degree vertices of a corner, you automatically get the 90-degree vertex. The effect of this is to give  more corners than a random subset of  of density . This is an important example in the corners problem, because if  is a structured subset of  and the sets  and  are random subsets of , then  will have density roughly  inside  as well, unless  is very small. The original proof of Ajtai and Szemerédi accepted this problem and used Szemerédi’s theorem to pass to a very small substructure with a density increase, and I think we should (initially at least) follow their lead, because it is likely to be much simpler. Shkredov, in his quantitative work on the corners problem, defined “structured set” to mean something like a set , where both  and  are highly quasirandom subsets of a structured subset of .These facts about corners naturally suggest the following class of obstructions in the DHJ problem. This class is a generalization that I should have spotted of a class that was suggested in  my comment 116 . It also relates very interestingly to some of the discussion over on the Sperner thread about simpler forms of DHJ. (See for example  comment 335  and  comment 344. )Let ,  and  be subsets of . Then let  be the set of all sequences  such that the 1-set of  belongs to , the 2-set of  belongs to  and the 3-set of  belongs to . Suppose that the resulting set  happens to be dense (which is not necessarily the case even if ,  and  are dense). Then  has a tendency to contain too many combinatorial lines, however random the sets ,  and  are, basically because if  is a combinatorial line then you know things like that if the 1-set of  lies in , then so does the 1-set of .The discussion over at the Sperner thread has almost certainly already given us the tools to deal with a set  of such a kind. The idea would be to find a partition of almost all of  into combinatorial subspaces with dimension tending to infinity. The proof would be a development of the proof of DHJ(1,3), which it looks as though we already have. This would be an imitation of the Ajtai-Szemerédi approach to corners, we will find ourselves wanting to use DHJ(1,3) as a lemma in the proof of DHJ(2,3). (Actually, as I write this, I begin to see that it may not be quite so straightforward. We would probably need a multidimensional Sperner theorem, and I now realize that it is thoughts of this kind that motivate Jozsef’s attempt to find a density version of the finite-unions theorem—see comment 341 and several subsequent comments.)Example 3. This is an intriguing example introduced by Ryan O’Donnell in  comment 92. He considers (amongst other similar examples) the set  of all sequences  that contain a consecutive run of  1s, where  is chosen so that the density of  is between  and , say. (A simple calculation shows that you want to take  to be around .) Now if two points in a combinatorial line contain a run of  1s, then at least one, and hence both, of those points contains a run of  1s in its fixed coordinates, which forces the third point to contain a run of  1s as well. So once again we get the wrong number of combinatorial lines, because you only have to find two points in a combinatorial line to guarantee the third.It is easy to see that a number of variants of this example can be defined. (For example, one can permute the ground set, or one can ask for a run whose length varies according to where you are, etc. etc.)What next?If we are going to try to prove that a non-quasirandom set must have an easily understood obstruction to uniformity, our task will be much easier if we can come up with a single description that applies to all the examples we know of. That is, we would like a single global property that is shared by all the above examples (and any other examples there might be) and that allows us to obtain a density increase on a substructure. In comment 148,  Terry did just that, defining a notion of a standard obstruction to uniformity. However, I do not yet understand his definition well enough to be able to explain it here, or to know whether it covers the more general version of Example 2 above. Terry, if you’re reading this and would like to give a fully precise definition, it would be very helpful and I could update this post to include it.The main questions for this thread, it seems to me, are these.1. What would be a good definition of a quasirandom subset of , or rather of some suitable union of slices in ?2. Have we thought of all the ways that a set can have too many combinatorial lines? (Ryan’s example is troubling here: it seems to contain an idea that could be much more widely applicable. One might call this the “or” idea.)3. Do we have a unified description of all the obstructions to uniformity that we have thought of so far, or, even better, a description that might conceivably apply to all obstructions to uniformity?Comments on this post should begin at 400.												This entry was posted on February 8, 2009 at 4:53 pm and is filed under polymath1.						You can follow any responses to this entry through the RSS 2.0 feed.													You can leave a response, or trackback from your own site.											]</t>
  </si>
  <si>
    <t>C1993</t>
  </si>
  <si>
    <t>All of these issues are indeed solvable.  Outside of the blogging (e.g. Blogger/WordPress) format, Google has introduced Knol, which I am finding to be invaluable.  The company is finally getting more serious when it comes to content hierarchy (i.e., folders and categorized search) in the product, and each knol entry has the option of yielding moderated collaboration.  So, for instance, once can start a very specific topic like ‘Advances on the Fefferman-Stein decomposition theorem’ or ‘A new lemma for 3-epps embedded in some space’ on Google Knol, open the collaboration to moderated (limited) accessibility, and go from there.  (A total sales pitch, here 😉 Importing Google Documents into the knol is feasible, as is having an online pre-publication video conference.  Both tools (realtime document editing + webcam conferencing) are the future, so what better way to experiment with both than through this method (?)., Another issue I’d like to raise pertaining to large-scale activities such as these, is that they are done quite often in astronomy.  It’s not uncommon for a paper to have authorship well-into the dozens for a single project; many of whom may or may not be familiar with one another (or their work), but still must face the restrictions of working remotely.  Usually, collaborations in this field happen precisely with differences of location being encouraged, since it’s necessary to verify an observation of some astronomical object in different timezones.  , I’m seriously giving this problem some thought, but I’ll have to hiatus this for the moment and get some real work done.  In the meantime, look into Google Knol.</t>
  </si>
  <si>
    <t>C1994</t>
  </si>
  <si>
    <t>timing</t>
  </si>
  <si>
    <t>One more quick note…, Timestamps are essential for these types of things.  Regardless, I foresee some new software (for tracking contribution relevance) perhaps needing to be developed if we are to pull this off.</t>
  </si>
  <si>
    <t>C1997</t>
  </si>
  <si>
    <t>process question; showing work creates informative mess; process note - poll instead of post to get feedback</t>
  </si>
  <si>
    <t>400. Quasirandomness., In  comment number 109, I asked for the go-ahead to do certain calculations away from the computer. Nobody responded to the request, which suggests to me that making requests that demand blog comments for their replies is not a good idea. In future, if I have such a request I will do it via a poll. (If anybody else wants me to fix up a poll for them, I think I now understand how to get such a poll to appear in a comment, so I’d be happy to do it for them.) However, given that I have not been granted permission to do these calculations, I am going to do them in public instead. The result may be a mess, but I hope that if it is, then at least it will be an informative mess., What I want to do is prove a counting lemma for triangles in a special class of tripartite graphs, where the vertices are subsets of , and any edge has to join disjoint sets. (This class has already been much discussed.) Such a lemma would say that if all three parts of the graph are quasirandom, then the number of triangles is roughly what you expect it to be. At this stage, we do not know what “quasirandom” means, so we might seem to have a serious problem. However, this may well not be a problem, since the existing definitions of quasirandomness didn’t just spring from nowhere and turn out to be useful: one can derive them by attempting to prove counting lemmas and seeing what hypotheses you need in order to get your attempts to work. That is what I plan to try to do here., Let me give the definitions that I will need in order to state a counting lemma formally (with the exception of the definition of “quasirandom”, which I’m hoping will emerge during the proof). I shall follow standard practice in additive combinatorics, and attempt to prove a result about -valued functions rather than about sets. Let ,  and  be three copies of the set of all subsets of  of size between  and  Let us write  not for the usual Cartesian product, but rather for the set of all pairs  such that ,  and , and similarly for the other two possible products, and also for the product of all three. (I called this the Kneser product in another comment, and may do so again in this thread.) Here is the counting lemma., Lemma. Let ,  and  be -quasirandom functions from ,  and  to , respectively. Then the absolute value of the expectation of  over all triples  is at most , where  tends to zero as  tends to zero., No guarantee that this is a remotely sensible formulation, but it’s a first attempt. To be continued in my next comment.</t>
  </si>
  <si>
    <t>CTao_35617</t>
  </si>
  <si>
    <t>227. This has perhaps already been pointed out, but there is at most one entry in the Encyclopedia of Integer Sequences consistent with what is already known about .  That is A052979.  It matches  exactly where we already know the value, and matches the (current) bounds for at least the first fifteen entries.</t>
  </si>
  <si>
    <t>C1998</t>
  </si>
  <si>
    <t>357. DFU, Tim, there is a 1/(n-1) multiplier, so I thought that one layer (k) will contribute a small fraction only. In particular, I think that rich layers form arithmetic progressions and it might be useful in a possible proof.</t>
  </si>
  <si>
    <t>C1999</t>
  </si>
  <si>
    <t>401. Quasirandomness., To understand the lemma, it is helpful to bear in mind the example where each of ,  and  is a function that randomly takes the values 1 or -1. , Now let’s attempt to prove it, using standard Cauchy-Schwarz methods. To avoid overburdening the notation, I will adopt the following convention concerning whether it is to be understood that sets are disjoint. If I write something like  then  and  are disjoint, whereas if I write  then they are allowed to overlap. An exception is that if I use the same letter twice then overlap is allowed: so if I write  then  and  do not have to be disjoint. I will also write  for the set of  that are disjoint from both  and , and so on. I hope it will be clear., With the benefit of many similar arguments to base this one on, we try to find an upper bound for the fourth power of the quantity that ultimately interests us. Here goes:, , , Before I continue, I need to decide whether it is catastrophic to apply Cauchy-Schwarz at this point. The answer is no if and only if I have some reason to suppose that the function  is reasonably constant (by which I mean that it doesn’t do something like being zero except for a very sparse set of ). It seems OK, so let’s continue:, , Now let’s use the fact that  is bounded above by 1 in modulus to get rid of it. (This looks ridiculous as we’re throwing away all that quasirandomness information about . But experience with other problems suggests that we shall need just one of the three functions to be quasirandom.), , Now we multiply out the inner bracket., , Now interchange the order of summation., , Hang on. That was wrong, and the first point where something happens that is interestingly different from what happens in other proofs of this kind. The problem is that there is a big difference between interchanging expectations and interchanging summations round here. In fact, even the very first step, which looked innocuous enough, was wrong. I’ll pause here and reflect on this in another comment.</t>
  </si>
  <si>
    <t>C2000</t>
  </si>
  <si>
    <t>realization</t>
  </si>
  <si>
    <t>358. DFU, Ah — I hadn’t spotted that you were averaging over lots of layers. Now it starts to make more sense to me.</t>
  </si>
  <si>
    <t>C2001</t>
  </si>
  <si>
    <t>148 Tao</t>
  </si>
  <si>
    <t>402.  Standard obstructions to uniformity, I’ll try here to clarify my earlier comment 148.  Let me start by reviewing the theory of corners  in , or more precisely  to avoid some (extremely minor) technicalities., Say that a dense set  is _uniform for the first corner_ if for any other dense sets B, C, the number of corners  with  is close to the expected number.    It is standard that A is uniform for the first corner if and only if it does not have an anomalous density on a dense Cartesian product .  There are similar results for the other corners, e.g. B is uniform on the second corner iff there is no anomalous density on a dense sheared Cartesian product , etc., One can of course replace sets by functions: a function f(a,b) is uniform for the first corner iff it does not have an anomalous average on dense Cartesian products, etc., Now return to DHJ.  Given a set A in , we can define the function  on  to be the number of elements of A with a 1s and b 2s (and thus c=n-a-b 3s, which I will ignore here).    Let me call this function f the global richness profile for A.  We know that one good way to construct combinatorial line-free sets A is to ensure that f(a,b) is supported on a set with no corners (indeed, all the best examples in my own thread on this project come this way).  More generally, it is pretty clear that A is not going to be quasirandom for the third point of combinatorial lines if its richness profile f is not uniform for the first corner.  (I managed to interchange “first” and “third” in my notational conventions, but please ignore this for the sake of discussion.), That’s the “global” obstruction to uniformity.  One can also do something similar using “local” obstructions.  Consider a reasonably large subset S of n, and define the local richness profile  of A to be the number of elements of A which have a 1s in S and b 2s in S (and thus |S|-a-b 3s in S).   Now, if the local richness profile is supported on a corner-free set, then it is not quite true that A has no combinatorial lines; but the lines in A now must have all their wildcards outside of S, so this should cut down substantially on the number of lines in A (compared with the random set A) if S is even moderately large.  For similar reasons, I would expect A to fail to be quasirandom for the third point of a combinatorial line if  is not uniform for the first corner, and analogously for the other two points of the combinatorial line., Boris suggested replacing the set S with a more general integer-valued weight , which should accomplish a similar effect., One can localise these local obstructions even further, by working with slices of A instead of all of A, e.g. by fixing some moderate number of coordinates and then considering a local or global richness profile for the slice on the remaining coordinates (or some subset S thereof, or some weight w).  If this profile fails to be quasirandom for most slices, or its density deviates from the mean for most slices, then this should also be an obstruction to uniformity., So I guess my formalisation of a “standard obstruction to uniformity” for the third point of a combinatorial line for a set  of density , would consist of a small set T of fixed indices, then a disjoint large subset S of sampling indices, and dense sets X, Y of  (or more precisely ) such that for most of the  choices  of the fixed indices, the local richness profile , defined as the number of elements of A with coordinates  on T, and with a 1s in S and b 2s in S, has density significantly different from  on .   (Actually, as I write this it occurs to me that one may need X, Y to depend on .), Anyway, that’s my proposal for the standard obstruction… hopefully it makes some sense.</t>
  </si>
  <si>
    <t>C2002</t>
  </si>
  <si>
    <t>need to generalize definition</t>
  </si>
  <si>
    <t>403. Standard obstructions to uniformity., Thanks very much for that Terry. I’ve just read it rather quickly, and I get the impression that because it focuses strongly on the cardinalities of sets, it may not have picked up the full (and new since your comment 148 ) generality of Example 2 in my post above. I’m not over-worried about that, as I have a strong feeling that that example can be dealt with. But if I am right that it isn’t a standard obstruction to uniformity then it would be good to try to generalize the definition.</t>
  </si>
  <si>
    <t>CTao_35618</t>
  </si>
  <si>
    <t>227. Spreadsheet, Hi, I looked at the spreadsheet, but can’t edit it.
I logged into Google, but the Edit menu is grayed out.
Does anyone else have this problem?</t>
  </si>
  <si>
    <t>CTao_35619</t>
  </si>
  <si>
    <t>Terence Tao22</t>
  </si>
  <si>
    <t>Edel; CTao_35618</t>
  </si>
  <si>
    <t>228. Edel, I’ve added the lower bound  from this paper of Edel.  In this other paper of Edel, an inequality is obtained which in our notation reads, , for , and which thus slightly improves on (2) for this problem.  I’ve updated the spreadsheet and the table accordingly., Michael.227: oops, I didn’t set the permissions properly.  I think it should be OK now…</t>
  </si>
  <si>
    <t>C2003</t>
  </si>
  <si>
    <t>359. Averaging over multiple layers does not seem to help in comment 355. Consider the family  of all sets of odd size.  It contains no disjoint  such that .</t>
  </si>
  <si>
    <t>C2004</t>
  </si>
  <si>
    <t>oops</t>
  </si>
  <si>
    <t>Oops…  for the example I gave.</t>
  </si>
  <si>
    <t>C2005</t>
  </si>
  <si>
    <t>"using sums rather than expectations"</t>
  </si>
  <si>
    <t>404. Quasirandomness., What, then was the problem with the first line of the calculations in 401? What I did was to replace  by  Here, the first expectation was over disjoint triples  while the second took an expectation over disjoint pairs  of the expectation over all sets  that were disjoint from . And there is a huge difference between the two, since in the second we count all disjoint pairs  equally, whereas in the first we count a pair  far more if the size of  is smaller, since then there are many more  that are disjoint from  and . And since the sizes of the sets are not fixed, this is a serious concern., For now I’m going to restrict attention to the simpler set-up where  for some smallish  and all our sets have size . So now the sizes of the sets  will always be . However, while this corrects the first line, it doesn’t get us out of the woods, because there is no trick like that that we can pull off to sort out the second interchanging of the order of summation. And that is because there is no getting away from the fact that  can vary in size., However, it now occurs to me that this may not be such a huge problem. The reason is that most of the time  is of maximal size , since the smallness of  makes it rather unlikely that a point will be in the complement of both  and . (What’s more, the probability that the complement has size  goes down like  while the gain in the number of pairs  goes up like , so the exceptions should be insignificant.), I’m not sure that this reasoning is correct, but for now let us pretend that the problem doesn’t exist and that that interchange of summation was after all legal, except that I should have written, , , So the next stage is to apply Cauchy-Schwarz, which gives us , , , Now I’m getting worried because fixing  determines , and this feels wrong. So I’m going to start all over again, this time using sums rather than expectations.</t>
  </si>
  <si>
    <t>C2006</t>
  </si>
  <si>
    <t>405. density-increasing-strategies &amp; quasirandomness, Few remarks (which may be wrong so please correct me or hint if they are) Let me split them and start with one). , a) when we talk about quasi-randomness we often talk about “codimension-one-quasi-randomness” we start with the characteristic function f of the set, we show that if the number of desirable configuration is not what we expect then the function has some large correlation with some other function g; then we use it to somehow show that the set has higher density on a small dimensional “space” (subcube of some kind.) , We can talk about conditions for quasirandomness that refer directly about
low dimensional subspaces. i.e. look at all the various irregular examples that we have and ask: do we see there unusually high density for combinatorial subspace (or some more complicated gadget) of lower dimension – square root of n, log n etc., (It is true that we do not have any proof-techniqus that jumps directly to low dimensional subspaces or “varieties” without passing through a codimension 1 gadget.)</t>
  </si>
  <si>
    <t>C2007</t>
  </si>
  <si>
    <t xml:space="preserve">true, but not for interesting reasons ;) </t>
  </si>
  <si>
    <t>361. I think Jozsef’s conjecture is true, but not for an interesting reasons. I claim that for every fixed positive integer  the condition  implies that . Suppose not, let .  Now let us generate the partition of  into  parts as follows. Let  be the partition of  into  random parts. If  with , then  is positive, and is independent of . Had  been independent, it would have implied that  is exponentially small. Clearly, ‘s are not independent, but they are nearly independent. More precisely, let  be the event that . Then . Hence, sampling  random sets by choosing each element with probability  is virtually indistinguishable from choosing a random -tuple of disjoint sets, and then looking at first  of them. I believe I can write the appropriate string of inequalities to show that if asked., Since density of  is nearly  on each  the existence of any given configuration follows by simple averaging.</t>
  </si>
  <si>
    <t>CTao_35620</t>
  </si>
  <si>
    <t>KS Chua</t>
  </si>
  <si>
    <t xml:space="preserve">229 :  via optimization, For HJ2, there is a well known method for expressing  as the maximization of a quadratic polynomial over a box  so that one can apply a continuous optimization method., Let  be a graph with vertex set given by all subsets of  and let  be an edge if and only if it defines a line. Then  is the size of a maximal independent set in ., Let  be a variable vector of length ,  which we think
of as  where  indexing the subset of . The known quadratic programming problem defining  is , , It just occurs to me that a similar result appears to hold for  and in fact for all . For HJ3, let  be the 3-hypergraph with vertex set as before and set  to be a 3-edge if and only if it is a line.  is then the size of a maximal independent set as before.
Let, , The following then holds,, , To check the first equality, if  is an independent set in  of size , set  for , and zero otherwise. Then  because  is independent. So . Conversely, if for some  and if  there are triplets  with ,    we change  to 0. This reduces  by 1 but also reduce the second term of  by at least one. So repeating we can find an  with  and  if , i.e. an independent set of size . So . The 2nd equality follows   from the maximum principle since  is a square free polynomial., So an algorithm which can always determine the maximum of a quadratic polynomial in a box will be able to determine  but the problem is  hard. Maybe one can try to find  this way using quadratic programming for small ., The same should hold for any  with
</t>
  </si>
  <si>
    <t>C2008</t>
  </si>
  <si>
    <t>can we relax the rule - let people work offline?</t>
  </si>
  <si>
    <t>Dear Tim, maybe rule 6 should be slightly relaxed and people could make off-line few-hour calculations without general concensus; (actually after just reading the rules, I would consider also a no-rules version of this endeavor.) In any case, I  expect a wide concensus on letting you do the sum version on-line if you so prefer and perhaps granting you a wider mandate for related calculations. (I vote yes on both.)</t>
  </si>
  <si>
    <t>C2009</t>
  </si>
  <si>
    <t>preview function</t>
  </si>
  <si>
    <t>Metacomment: one really needs to have a preview function.</t>
  </si>
  <si>
    <t>C2010</t>
  </si>
  <si>
    <t xml:space="preserve">cheated and used a piece of paper ;) </t>
  </si>
  <si>
    <t>406. Quasirandomness., This time I do everything with sums and try to interpret it later. The disjointness conventions are as before. I haven’t repeated the remarks between lines., , , , , Now we divide by the factor . Having done that we multiply out the inner bracket., , Now interchange the order of summation., , Now the difficulty we face is much clearer. Normally one should apply Cauchy-Schwarz only if a function is broadly speaking reasonably constant. But here the inner sum is far bigger if  is small, and in fact it is zero for most  and . So let’s try to think what a typical quadruple of sets  looks like if we know that all four sets have size , and all six pairs of them are disjoint apart from the pair . (I’m still assuming, for simplicity, that  for some smallish  and that all sets have size .), I now realize I made a mistake earlier. If , then the number of disjoint pairs  in  is  If you decrease  by 1, the first of these binomial coefficients goes up by a factor of approximately 2, but the second goes up by more like . As for the number of pairs  such that , it equals . The second of these goes down by a factor of about  and the third goes down by a factor of about . So it still seems as though the sum is dominated by pairs with .  , Ah, I’m forgetting that I should be thinking about the square of the inner sum, and now things look a lot healthier. So if you decrease  by 1, then the square of the inner sum goes up by about  and the number of  pairs goes down by around . So some kind of concentration should occur
around the  that makes these two equal, which is . (I admit it: I cheated and used a piece of paper there.), I need to stop this for a while. To be continued.</t>
  </si>
  <si>
    <t>CTao_35624</t>
  </si>
  <si>
    <t>A052979 is within the current bounds for  c_n for the first 27 entries of
the spreadsheet.</t>
  </si>
  <si>
    <t>C2012</t>
  </si>
  <si>
    <t>back and forth</t>
  </si>
  <si>
    <t>362., Thanks Boris! It seems that this is still not the right formulation for a DFU conjecture. Actually, I should have noticed that a random selection of sets with probability 1/2 already gives density zero. So, I’m still looking for the right density definition. Boris, do you have any suggestion?</t>
  </si>
  <si>
    <t>CTao_35625</t>
  </si>
  <si>
    <t>The sequence c_n’ matches the sequence A027994 for the first
five values and lies between the upper and lower bounds
of c_n’ as calculated in the spreadsheet for the next 23 values,
it matches the sequence A027068 for the first five values
and lies within the bounds of the next 22 values., These are the only two sequences in the OEIS which could
possibly be equal to c_n’.</t>
  </si>
  <si>
    <t>C2014</t>
  </si>
  <si>
    <t>407. Quasirandomness., I think at this point it helps to bring in at least one expectation. Where I’ve written  I will now write , where  is the number of disjoint pairs  in , and then apply Cauchy-Schwarz. That gives me , , , , , , , Now the first bracket is just the number of quadruples  of sets of size  such that all sets with different letters are disjoint. So let’s drop it and try to estimate the second., In this model, we are assuming that  and  both have size . So I’m allowed to replace  by . That gives, , , which by Cauchy-Schwarz and the boundedness of  is at most, , , Expanding the bracket gives us, , , This is a slight mess but it makes me hopeful, for reasons that I’ll explain in my next comment.</t>
  </si>
  <si>
    <t>C2015</t>
  </si>
  <si>
    <t>@ Tim.  , Regarding your quote “The next obvious question is this. Why would anyone agree to share their ideas? Surely we work on problems in order to be able to publish solutions and get credit for them. And what if the big collaboration resulted in a very good idea? Isn’t there a danger that somebody would manage to use the idea to solve the problem and rush to (individual) publication?” .., &gt;&gt; I’ve resigned to using Steve Ballmer’s software analogy:  You shouldn’t have a computer (PC) and a typewriter both in simultaneous use.  Either you are using the digital writer, or the oldschool typewriter, but not both.  There needs to be a commitment to go entirely one way or the other; in this case, to e-print.  Coming from industry, when I read you academics’ assessments, I’m seeing that you people are having a difficult time pulling away from the old ‘publish-or-perish’ mindset; the same one that says that your name must be published in some hardcopy manual/journal somewhere, or else you don’t matter.  I had thought that the arXiv had removed that sense of self-depreciation (G. Perelman STILL hasn’t bothered to print out his Poincare solution or submit it to one of the acclaimed journals you hold in such high esteem), but I guess not., Blogs are just fine.  They are meant to be containers for announcements and such (what I’ll call Tier 1).  As long as they are kept as that , then their purpose is more than relevant for these types of projects.  The next tier (Tier 2) has to be the actual collaboration client, which I’m pressing researchers use Google Knol for.  Instead of opening-up the research knol completely, I say keep it moderated, and anybody with serious credibility should be able to contribute.  This level has no real ceiling (or, at least an artificial one).  I’d say anyone in/from academia with a graduate degree, or an advanced undergrad, or even advanced high schoolers (e.g. math olympians) can have their say.  Those from industry, such as myself, with similar credentials should also be able to contribute., Once the objective has been met (a.f., a proof is offered and confirmed), then close collaboration and extract a secretary for writing the whole thing up (Tier 3).  This is probably the easiest step, since it’s been in the works for some time at this point.  Tier 3 is really just a way to formalize the edits.  Afterwards, there’s really no need to print it out on paper, just leave it there.  If in demand, I’d put it on Google Base, the arXiv, or whatever; but that’s just for possible offline retrieval purposes., .. Which brings to our attention the issue of fraud, plagiarism, and/or thievery.  So, let’s just say some clever grad student (or anyone) is looking to profit from this by sitting back, not contributing – but taking notes – and is attempting to publish the work in some journal without giving credit when the body of work is winding down.  Okay.  For starters, the turnaround time for journals is notoriously long.  While the rest of us are working at the speed of thought, this student’s Tier 3 attempt is ultimately doomed because all notes, sketches, announcements, etc. is right there in fine print for all to see.  This is, of course, considering that the student would not provide references or hand-out due credit., Tier 4 is the substance of our knowledge economy itself.  The ONLY time leaf paper should be used here is for some strange reason people can’t get on the Internet and must read the article offline.  Then a hardcopy can be provided.  But the main points have been made., &gt;  Stick with digital paper.
&gt;  Google Knol (or other stable servers with similar faculties) is the new unified journal/knowledge base.
&gt;  Keep collaboration moderated, yet not elitist.
&gt;  Respect online publishing as a legitimate client., Link Starbureiy</t>
  </si>
  <si>
    <t>C2016</t>
  </si>
  <si>
    <t>can we reshape to match this?</t>
  </si>
  <si>
    <t>409.  Standard obstructions to uniformity, Tim, you’re right, Example 2 (where the 1-set, 2-set, and 3-set of A are independently constrained) is quite different from the class I had in mind.  It may be that this is the more fundamental example, and I will try to think about whether the other examples we have can be reformulated to resemble this one.  It may take some time before I will be able to look at it, though.</t>
  </si>
  <si>
    <t>C2017</t>
  </si>
  <si>
    <t>C2014; 406, 401</t>
  </si>
  <si>
    <t>would this work?</t>
  </si>
  <si>
    <t>410. Quasirandomness., The above calculation ends up with something a little bit strange, but here’s what I hope might happen if it is tidied up. Given any  we can define a bipartite graph whose vertex sets are the set of all  that are disjoint from  and the set of all  that are disjoint from  and whose edges are pairs  (still the Kneser product). If we restrict  to this bipartite graph, we can “count 4-cycles”, or rather evaluate the sum of  restricted to this bipartite graph. Could one perhaps hope that if this sum is on average small, then the function  is sufficiently quasirandom to make the original sum (at the beginning of 406) or expectation (at the beginning of 401) small? The calculations above suggest that something like that is true. But one needs to be wary since the intersection of the neighbourhoods of  and  will get rapidly smaller as  gets bigger, and this probably needs to be allowed for somehow. But instead of trying to sort that out, I want to speculate a bit, on the assumption that it can be made to work.</t>
  </si>
  <si>
    <t>C2018</t>
  </si>
  <si>
    <t>DHJ(j,k) up to now</t>
  </si>
  <si>
    <t>363.  DHJ(j,k), I had to struggle a bit to understand what DHJ(j,k) meant – I had not followed this thread for a while – but when I finally got it, I can see how it fits nicely with the whole hypergraph regularity/hypergraph removal story, and so does look quite promising.  Anyway, I thought I’d try to restate it here in case anyone else also wants to know about it…, In , we can define the notion of a “(basic) complexity 1 set” to be a set  of strings whose 1-set lies in some fixed class , whose 2-set lies in some fixed class , and whose 3-set lies in some fixed class .  A simple example here is ; in this case  is the set of subsets of  of size a, and so forth.  As I just recently understood over at the obstructions to uniformity thread, basic complexity 1-sets are obstructions to uniformity, and so we definitely need to figure out how to find lines in these sets., In analogy with hypergraph regularity (and also with ergodic theory), the next more complicated type of set might be “non-basic complexity 1 sets” – sets which are unions of a bounded number of basic complexity 1 sets.  (In graph theory, basic complexity 1 corresponds to a complete bipartite weighted graph between two cells with some constant weight, and non-basic complexity 1 corresponds to a Szemeredi-type weighted graph between a bounded number of cells, with any pair of cells  having a constant weight  on the edges connecting them.)   But it seems fairly obvious that if dense basic complexity 1 sets have lines, then so do dense non-basic complexity 1 sets (though one may have to be careful with quantifiers, and use the usual Szemeredi double induction to organise the epsilons properly)., Then we have the basic complexity 2 sets in , which are those sets A in which the 12-profile of A (i.e. the pair consisting of the 1-set and 2-set of A; one can also identify this with an element of ) lies in some fixed class , the 23-profile of A lies in some fixed class , and the 31-profile of $A$ lies in some fixed class .  But of course when k=3, any one of these complexity 2 profiles determine the entire set A, so every set A is complexity 2, which is why DHJ(2,3) is the same as DHJ(3).   Incidentally, to answer a previous question, this hierarchy seems to be unrelated to my DHJ(2.5) – I was simplifying the lines rather than the sets., If we knew that sets A which were uniformly distributed wrt complexity 1 sets were quasirandom (a “counting lemma”), then we would be well on our way to reducing DHJ(2,3) to DHJ(1,3) by the usual regularity type arguments.  (I’m sure Tim and the others here already know this, this is just me trying to get up to speed.)</t>
  </si>
  <si>
    <t>C2019</t>
  </si>
  <si>
    <t>409 happened while 411 being written</t>
  </si>
  <si>
    <t>411. Obstructions to uniformity., As a result of thinking about what sort of global obstruction to uniformity might come out of the failure of quasirandomness of the type just discussed, it has just occurred to me to wonder whether in fact all the obstructions we have so far are special cases of Example 2. That is, if  is one of our basic examples of a set with the wrong number of combinatorial lines, can we always find collections of sets ,  and  such that  correlates unduly with the set of all  sequences  with ,  and , and this set of sequences is dense. (Recall that  is the -set of  is the set of coordinates i where .), Let’s try Example 1. To keep things simple, let’s go for the example of the sum of all the coordinates being a multiple of 7. What could we take as ,  and  in this case? Easy: we can take them all to consist of all sets for which the number of elements is a multiple of 7. (If  isn’t a multiple of 7, then we can find  such that  and  mod 7 and ask for sets in  to have cardinality congruent to  etc.) It’s clear that if we had different weights but still worked mod 7 we could do something similar, and I’m pretty sure that generalizing to structured sets in Abelian groups doesn’t make things substantially harder. Of course, all this is to be expected because of Terry’s comments about standard obstructions., How about Ryan’s example? There we could simply take ,  and  to consist of all sets that contain a run of  consecutive elements., Based on that, here is a conjecture., Conjecture: Let  be a subset of (the union of a suitable triangular grid of slices near the centre of)  that does not have the expected number of combinatorial lines. Then there are set systems  ,  and  such that for a dense set of sequences  we have ,  and , and such that, setting  to be the set of all such sequences, the density of  in $B$ is significantly greater than the density of . , This conjecture is a direct analogue of a fact that is known to be true for corners. (This fact was basically mentioned by Terry in comment 402.) It’s a slight generalization of what Terry was suggesting, and I think there’s a definite chance that it could have dealt with question 3 in the main post., If anyone can think of an obstruction to uniformity that is not of this form, then they will have demonstrated that DHJ is different in a very interesting way from the corners problem. Such an example would give a big new insight into the problem. But I’m an optimist and at the moment I am guessing that the conjecture is true., Note: if this comment seems to ignore Terry’s comment 409, it’s because his comment appeared while I was writing it.</t>
  </si>
  <si>
    <t>C2020</t>
  </si>
  <si>
    <t>collective work allows for work to be done in individual absence</t>
  </si>
  <si>
    <t>364. Big picture, There is now a definite convergence of this thread and the obstructions-to-uniformity thread, which perhaps illustrates the advantages of not splitting the discussion up. At any rate, this last comment of Terry’s is closely related to comment 411, and also to earlier comments on the 400-499 thread that attempt to establish some sort of counting lemma. I now get the feeling that the problem has been softened up, and that it is not ridiculous to hope that we might actually solve it. But it could be that certain difficulties that feel technical will turn out to be fundamental., Unfortunately, I’ve got two big teaching days coming up, so my input is going to go right down for a while. But perhaps that’s in the spirit of polymath — we get involved, then we go off and do other things, then we come back and catch up with what’s going on, but all the while polymath continues churning away at the problem.</t>
  </si>
  <si>
    <t>CTao_35629</t>
  </si>
  <si>
    <t>232. Can one modify Behrend construction to give lower bound on ? , In a geometric line, the number of 1’s ,2’s and 3’s is ,  and  respectively, where  and  denote the number of wildcards of the two types. In other words, if  and  are the first two signatures, then the third is . This is similar to when Behrend works: if one point is determined by the other two in a linear manner. Here “linear manner” is somewhat crooked, and I do not see how to apply Behrend, or any of the standard heuristics., Hence, question: how large is the largest subset of  not containing a configuration of the above form?</t>
  </si>
  <si>
    <t>C2021</t>
  </si>
  <si>
    <t>red queen effect, publish or perish</t>
  </si>
  <si>
    <t>Coming from industry, when I read you academics’ assessments, I’m seeing that you people are having a difficult time pulling away from the old ‘publish-or-perish’ mindset;, I’m sure this was intended as a gentle observation, LS, but — as a middling postdoc (one who will do to start a progress, swell a train or two) — I found it a mite patronizing. The day when someone gives me an academic job solely because I occasionally make interesting comments on people’s work, streamline proofs, and every now and again solve a problem for someone, is the day when I will take this March-of-Progress rhetoric a little more seriously., Publish-or-perish is not a mindset for many of us. It is an initial condition of the system we’ve found ourselves in. Also a Red Queen effect in place: I wouldn’t publish middling stuff, were it not for the fact that everyone else is (and they feel the same about me, I’m sure)., Oh, and actually writing things up well is either a lot harder than most people think, or something people have insufficient initiative to do well.</t>
  </si>
  <si>
    <t>C2022</t>
  </si>
  <si>
    <t>apology</t>
  </si>
  <si>
    <t>@ Yemon, After re-reading my last post, I can see how my comment(s) may have offended you.  My apologies are offered to all of you.  But still, let’s desensitize our emotions for a second because progress is at stake.  Certainly mine aren’t the only ideas being floated at the moment.  However, bickering aside, they tend to be the ones that offer an immediate solution.  If you have better ideas, or any, please share them.</t>
  </si>
  <si>
    <t>CTao_35630</t>
  </si>
  <si>
    <t>232. Lower bounds of , I have added some more lower bounds to Terry.225’s spreadsheet.
The sets of (abc) that I have used are the following for N a multiple of 3.
I think that they are triangle-free., For N=3M-1, restrict the first digit of a 3M sequence to be 1;
For N=3M-2, restrict the first two digits of a 3M sequence to be 12., For N&lt;21, ignore any triple with a negative entry., For N=6M:,     (2x,     2x+2,    N-4x-2) and permutations (x=0..M-4)
    (2x,     2x+5,    N-4x-5) and perms (x=0..M-4)
    (2x,     3M-x-4, 3M+x+4) and perms (x=0..M-4)
    (2x,     3M-x-1, 3M+x+1) and perms (x=0..M-4),     (2x+1, 2x+5,    N-4x-6) and perms (x=0..M-5)
    (2x+1, 2x+8,    N-4x-9) and perms (x=0..M-5)
    (2x+1, 3M-x-1, 3M-x) and perms (x=0..M-5)
    (2x+1, 3M-x-4, 3M-x+3) and perms (x=0..M-5),     (N/3-7, N/3-3,  N/3+10) and perms
    (N/3-7, N/3,     N/3+7) and perms
    (N/3-7, N/3+3, N/3+4) and perms
    (N/3-6, N/3-4, N/3+10) and perms
    (N/3-6, N/3-1, N/3+7) and perms
    (N/3-6, N/3+2, N/3+4) and perms
    (N/3-5, N/3-1, N/3+6) and perms
    (N/3-5, N/3+2, N/3+3) and perms
    (N/3-4, N/3-2, N/3+6) and perms
    (N/3-4, N/3+1, N/3+3) and perms
    (N/3-3, N/3+1, N/3+2) and perms
    (N/3-2, N/3, N/3+2) and perms
    (N/3-1, N/3, N/3+1) and perms, For N=6M+3:,     (2x, 2x+4, N-4x-4) and perms, x=0..M-3
    (2x, 2x+7, N-4x-7) and perms, x=0..M-3
    (2x, 3M+1-x, 3M+2-x) and perms, x=0..M-3
    (2x, 3M-2-x, 3M+5-x) and perms, x=0..M-3,     (2x+1, 2x+3, N-4x-4) and perms, x=0..M-4
    (2x+1, 2x+6, N-4x-7) and perms, x=0..M-4
    (2x+1, 3M-x, 3M-x+2) and perms, x=0..M-4
    (2x+1, 3M-x-3, 3M-x+5) and perms, x=0..M-4,     (N/3-7, N/3-3, N/3+10) and perms
    (N/3-7, N/3,    N/3+7) and perms
    (N/3-7, N/3+3, N/3+4) and perms
    (N/3-6, N/3-4, N/3+10) and perms
    (N/3-6, N/3-1, N/3+7) and perms
    (N/3-6, N/3+2, N/3+4) and perms
    (N/3-5, N/3-1, N/3+6) and perms
    (N/3-5, N/3+2, N/3+3) and perms
    (N/3-4, N/3-2, N/3+6) and perms
    (N/3-4, N/3+1, N/3+3) and perms
    (N/3-3, N/3+1, N/3+2) and perms
    (N/3-2, N/3, N/3+2) and perms
    (N/3-1, N/3, N/3+1) and perms</t>
  </si>
  <si>
    <t>C2023</t>
  </si>
  <si>
    <t xml:space="preserve">"least worst solution"; ARGUMENT FOR NETWORK ANALYSIS HERE!!! </t>
  </si>
  <si>
    <t>Metacomment: Ideally, I suppose we should be working in an environment in which comments from different threads can somehow overlap, coalesce, or otherwise interlink to each other.  But, failing that, I think this division into subthreads has been the least worst solution (e.g. the  for small n thread seems to have taken off once it was separated from the “mainstream” threads of the project).  And revisiting the threads every 100 comments or so seems to be just about the right tempo, I think.</t>
  </si>
  <si>
    <t>C2024</t>
  </si>
  <si>
    <t>@Link Starbureiy,, gowers said, “we would have to rethink in a big way how we assign credit”, and I agree.  Do you believe you have in mind a complete solution to this problem?</t>
  </si>
  <si>
    <t>CTao_35631</t>
  </si>
  <si>
    <t>Even if we are tentatively happy about the bounds (like (6)) based on AP free sets for k=3. Regarding problem II.b for higher k’s it looks we should be able to do much better (than just replacing Behrend by the examples for larger k). , At least this is suggested by the way our bound changes between the k=2 case and the k=3 case., E.g we can try something like this: map words of length n in an alphabet of 4 letters to words in 3 letters. Say with one letter a representing 1 or 2 letter b representing 2 or 3 and letter c representing 3 or 4., Then try to find a large set of letters in a b and c whose preimage will automatically exclude a combinatorial line of length 4.</t>
  </si>
  <si>
    <t>CTao_35634</t>
  </si>
  <si>
    <t>(Meta), Kirstal, Terry’s original post already specified this sequence is .</t>
  </si>
  <si>
    <t>CTao_35635</t>
  </si>
  <si>
    <t>234.  via optimization, Regarding Chua.229, shouldn’t that be  rather than  in the k=3 version of the algorithm? (Otherwise I’m confused how the indexing works.), It looks like this could be the best algorithm to get exact values of , although the algorithm is elaborate enough I would be worried about the integrity of the code. Is there at least some implementation for k=2 out there already?</t>
  </si>
  <si>
    <t>C2029</t>
  </si>
  <si>
    <t>conjecture review</t>
  </si>
  <si>
    <t>412. The conjecture in 411 is, I am afraid, too optimistic. Observe that there are at most  wildcards in every combinatorial line that is contained in a union of slices near the center of . That is because the number of ‘s does not vary by more than that., Thinking of an element of  as a word of length  in , let  be the number of occurrences of subwords , and  respectively (“subword” means a sequence of _consecutive_ letters). Let . Note that typically  varies in the interval of length  around origin. Thus, if , it is reasonable to suppose that  is going to be distributed uniformly in . Assume it is. Choose  for the sake of definiteness (we need it to be greater than  for what follows). Define  by the condition . The density of  is , but I claim that the number of combinatorial lines is close to . , Indeed in a typical combinatorial line, the letters adjacent to wildcards are not wildcards themselves. By symmetry, as change value of wildcards the expected change in  is equal to expected change in . Since both  and and  are concentrated in an interval of length  (recall that the number of wildcards is , we infer that typically  does not change by more than . Since , if a combinatorial line contains a single element of , then it is very likely to be wholly contained in ., It seems intuitively clear to me that there is no density increment on  of the kind desired in comment 411.</t>
  </si>
  <si>
    <t>CTao_35636</t>
  </si>
  <si>
    <t>proposal</t>
  </si>
  <si>
    <t>can't work for a few hours</t>
  </si>
  <si>
    <t>235. , I want to just add that if we restrict the triple  to lie in a Cartesian product , then “crookedness” disappears and we end up with system of three linear equations in nine variables, whose solutions we want to avoid in . For the next few hours I will not have the time to try adapting Behrend to this setting though.</t>
  </si>
  <si>
    <t>C2042</t>
  </si>
  <si>
    <t>331, 411</t>
  </si>
  <si>
    <t>what do we do next?</t>
  </si>
  <si>
    <t>413.  Correlation with “Cartesian semi-products”, I found a weird variant of the conjecture in 411 that I don’t know how to interpret.  Let  be a dense subset of  without combinatorial lines, or equivalently a collection of partitions  of n that does not contain a “corner” ., Now pick a random subset C of n of size about n/3 (up to  errors) and look at the slice of  with this C as the third set in the partition.  This is basically a set system in , which we expect to be dense on the average.  Now, following the proof of Sperner as in 331, let us pick a random maximal chain .  On the average, we expect this chain to be dense in the equator (the part of the chain with cardinality .  Thus  contains roughly  triples of the form  where .  Let J be the set of all such j., Since  avoids all combinatorial lines, this means that  must avoid the “Cartesian semi-product”, ,, which implies that the set, , avoids the Cartesian product .  In particular, it fails to be quasirandom with respect to such products, and so by two applications of Cauchy-Schwarz, it must have an anomalously large number of rectangles.  Averaging over all choices of C and over all choices of maximal chain, this seems to imply that  contains an anomalously large number of “rectangles”, , where  and  all have cardinality about .  If it were not for the additional constraints , , this would start coming quite close to the conjecture in 411.  As it is, I don’t know where to take this next.</t>
  </si>
  <si>
    <t>C2043</t>
  </si>
  <si>
    <t>148; 411; C2029; 331 (Tim)</t>
  </si>
  <si>
    <t>414.  , I was going to add that all the examples I mentioned in 148 happened to be of the right form for the conjecture in 411, but Boris in 412 seems to have created a totally new species of non-quasirandom set that needs to be understood better.  This example is of course consistent with what I just discussed at 413, by the way: in a typical “Cartesian semi-product”, the 132 and 123 statistics don’t vary by much more than , and so such semi-products are likely to either lie totally in  or totally outside of ., (Incidentally, these Cartesian semi-products are closely related to the sets S discussed in Tim’s 331.)</t>
  </si>
  <si>
    <t>C2044</t>
  </si>
  <si>
    <t>gut reaction</t>
  </si>
  <si>
    <t>415. Obstructions to uniformity., No time for serious mathematics at the moment, but I did want to give my gut reaction to the last few comments. First, my usual experience when making an overoptimistic conjecture is to go to bed, wake up, and see why it’s nonsense (perhaps not immediately, but at some point when my mind wanders back to it and I’m in a more sceptical mood). With this collaboration it’s different: I wake up and find a counterexample on the blog!, Having said that, I did very much like that 411 conjecture, so when I get the time I plan to do two things, unless someone has already done them. First is to try to define some set systems that do, contrary to expectation, give rise to a correlation with Boris’s example. But at the moment I share his intuition that the roles of the coordinate values are somehow too intertwined to make this possible, so my main reason for doing this would be to try to get at a proof that it really is a new obstruction, or at least a sketch of a proof. (That may not be too difficult to achieve, so I’ll check from time to time to see if someone else has already done it.), Other things that one could do in response to the example are to try to formulate a yet more general notion of obstruction to uniformity that includes his example. I don’t have any idea yet what that might look like, but it would be great if we could come up with something simple. It would also be good to find a combinatorial subspace in which his set is unusually dense. (Maybe Terry has done that above — I haven’t yet followed his comments enough to be able to see.) And finally, I would like to think hard about what obstructions to uniformity would arise naturally from a set’s not being quasirandom according to the definition that half-emerged from the calculations leading up to 410. (In 411 I just jumped to conclusions, and it now looks as though I did so prematurely.) Here I would take my cue from the way I proved one version of the regularity lemma for hypergraphs. I was in precisely this situation: there were a lot of bits of local non-uniformity (in small neighbourhoods) and one somehow had to add them up to obtain a global non-uniformity. It turned out to follow because the neighbourhoods with the local non-uniformities were nicely spread about. I think there’s a good chance of pulling off a similar trick here. (An argument of the type I’m talking about appears in Section 8 of my 3-uniform hypergraphs paper in the run-up to the proof of Lemma 8.4, but our situation might be slightly simpler as we’re talking about graphs rather than hypergraphs.), Terry, I’m looking forward to understanding Cartesian semi-direct products better, but I’m coming to see the kind of thing you’re doing. Actually, the more I think about it, the more I wonder if it is the kind of thing I was hoping to get to in the calculations at the beginning of this thread. If so, then the remarks towards the end of the previous paragraph of this comment could be helpful in taking things further.</t>
  </si>
  <si>
    <t>C2045</t>
  </si>
  <si>
    <t>how did you do that?</t>
  </si>
  <si>
    <t>416. Obstructions to uniformity., It also occurs to me that Boris’s thought processes could be extremely helpful here. Did that example just jump out of thin air? If not, then were there some preliminary “philosophical thoughts” that led to it? If the latter, then it could be useful to know what they were so that we have a better chance of making correct guesses about how a proof might go.</t>
  </si>
  <si>
    <t>C2046</t>
  </si>
  <si>
    <t>comment</t>
  </si>
  <si>
    <t>angry</t>
  </si>
  <si>
    <t>Link Starbureiy, on his/her website (hover over the name to see it) describes itself as “Emperor of Dreams”., Dear “Emperor of Dreams”,, I am not your subject., Sincerely,
   Nathaniel., ====
I think that “Emperor of Dreams” may have some sort of idea that “Progress” is a good thing, and should be pursued regardless of price.  I disagree, and would counter by asserting that there are always risks to progress, and that it’s better to take a calm and balanced attitude on the subject.</t>
  </si>
  <si>
    <t>C2047</t>
  </si>
  <si>
    <t>technical clean up and try something</t>
  </si>
  <si>
    <t>365. Technical clean-up idea, This is another comment that could go either here or on the obstructions-to-uniformity thread, but I think it is slightly more appropriate here. Terry, that’s a good point about the 100-comments-per-post rule, and if the 300s and 400s threads really do seem to be converging, then they can merge into the 500s thread., My comment is that I have a variant of DHJ that ought to be equivalent to DHJ itself but has the potential to tidy up a lot of the annoying technicalities to do with slices being of different sizes. (I don’t know for certain that it will work, however.) It’s motivated by the proof of Sperner that I gave in 331. There one shows the stronger result that if the slice densities add up to more than 1 then there is a “combinatorial line”. What should the analogue be for DHJ? , My contention is the following: define the slice density  to be . Then I claim that if  (for fixed positive  and sufficiently large ), then  contains a combinatorial line. This conjecture bears the same relation to corners that the strong form of Sperner bears to the trivial fact that if you have at least two points in  then you get a configuration of the form  with . Given that the averaging argument for Sperner naturally proves this stronger result, I think there is reason to hope that the numbers will all work out miraculously better if we go for this revised version of DHJ. I hope that way we can avoid boring details about being near the middle., I haven’t begun to check whether this miracle really does happen, but I think it’s definitely worth investigating.</t>
  </si>
  <si>
    <t>C2048</t>
  </si>
  <si>
    <t>366. Technical clean-up idea., Another way of looking at 365. All we’re doing is choosing a random point of  not with the uniform measure but by first choosing a slice and then choosing a random point in that slice. It seems to me that this should have huge advantages. For instance, and most notably, the distribution of a random point used to be radically different if you conditioned on it belonging to a typical combinatorial line. Now it’s different but not that different. (With the new measure the situation is on a par with the situation for corners, where the difference between the distributions of random point and random vertex of a random corner is not a serious problem.) But I think there may be all sorts of arguments that will now work out exactly. Perhaps even the quasirandomness calculations I was trying to do will become clean and nice. No time to check though!</t>
  </si>
  <si>
    <t>C2049</t>
  </si>
  <si>
    <t>405a</t>
  </si>
  <si>
    <t>417. quasirandomness. (405 (point a) continued) , So a concrete question is this: suppose that a set of density c has density at most 2c on all combinatorial subspaces of dimension 100 log n (or log^2 n; or n^{1/1000}) does it necessarily have the right number of combinatorial lines? (Is any of our non quasi random example violate it?)
(Of course in the next procedural remark by “on-line” I meant “off-line”.)</t>
  </si>
  <si>
    <t>C2050</t>
  </si>
  <si>
    <t>@ Nathaniel, Don’t be ridiculous!  I find it disturbing to read your follow-up comment immediately after Michael Nielsen applauded the contributors to this blog (in particular) for having sense and sensibility., Regardless, this Universe operates on very basic and simple principles of economics.  They are:, 1) There is risk in endeavor.
2) Cost is associated with any risk.
3) You pay for everything you do., For one to imply that progress is “too risky” is preposterous.  Dr. W.T. Gowers certainly isn’t the first person to suggest open collaboration on grand scales, by any means.  Likewise, at this rate, and with this trite lack of enthusiasm, he won’t be the last., For you to call me out on my moniker is low-class.  Nevertheless, since it is something I pride myself on, you’re welcome to read my little blurb about it; hosted, ironically, on Google Knol (c &amp; p –&gt; http://knol.google.com/k/link-starbureiy/emperor-of-dreams/keic9mdr861/71# to your browser’s URL).  One of my criticisms of GK is its current entry URL shortcumming (compare with the succinctness of Wikipedia)., As for your earlier question to whether I have a complete solution addressing Gowers’ task of assigning credit … well, yes and no.  I’ll stubbornly insist that co-authors use their real identities instead of pseudonyms (e.g., Polymath1) during the collaboration.  This is a prerequisite on Google Knol, anyway.  Again, I foresee some new software being created to handle credit distribution.  Someone must be making substantial and functional contributions in the collaboration cloud, so to speak.  Because that issue has yet to be dealt with, I will also answer this question in the negative.</t>
  </si>
  <si>
    <t>CTao_35648</t>
  </si>
  <si>
    <t>criticizing proposal</t>
  </si>
  <si>
    <t>my previous idea doesn't work; pigeonhole principle</t>
  </si>
  <si>
    <t>236. Restriction to Cartesian products is too rough of a proposal. It does not even work for corners. Indeed the points  have four distinct coordinates among them, . They are linked by the equation . The largest set avoiding solutions to this equation has size $\sqrt{n}(1+o(1))$ (this equation usually goes by the name of Sidon equation, and is extremely well-studied)., Similarly, straightforward implementation of my proposal in 235 gives the equation  where . Pigeonhole principle tells us that the largest solution-free set is of size ., The question remains: is there a Behrend-type construction?</t>
  </si>
  <si>
    <t>C2052</t>
  </si>
  <si>
    <t>@Link Starbueiy,, Please accept my apologies for my comment about your moniker.
I agree with you about the need for such software as you describe.</t>
  </si>
  <si>
    <t>CTao_35650</t>
  </si>
  <si>
    <t>43; 48; CTao_35629</t>
  </si>
  <si>
    <t>237.  , Boris, this was discussed a little bit in 43, 48 of the original thread.  The basic problem is the  case (in the notation of your 232) when two of the points on the crooked line coincide.  It basically means that one cannot have more than one point on any line .  Conversely, any configuration with this property will be free of crooked lines, which I guess is what leads to the known  lower bound., A subproblem may be to work out whether one can find denser sets on the set  that are free of geometric lines than just a single , and have a better density than  asymptotically.  If so, then we can glue together such sets as  ranges over a Behrend set and get a competitive example.</t>
  </si>
  <si>
    <t>C2053</t>
  </si>
  <si>
    <t>418. Answer to 416: My thought process was simple: First the analogue of Tim’s conjecture for Sperner is false (if one thinks of Sperner as DHJ(2,1), then it is not true that obstructions come from DHJ(2,0) because there is no DHJ(2,0)), and hence the conjecture should be false. Second, one needs some example where coordinates are somehow linked together. Third, if we try to impose a condition on number of pairs 12, then the only condition I really know how to impose is a modular condition. It fails to give a counterexample since if one element of the combinatorial line has some number of these, it tells us next to nothing about the number of 12’s in other elements of the combinatorial line because the number of 12’s decreases by a lot when we change wildcard from 2 to 3. Well, then I thought about compensating for this huge change by forming some linear combination. My first construction was to count number of 12, 23, and 31 and add them weighted with third roots of unity. Finally, I simplified the construction., Comment regarding to 417: If we take any known obstruction to the uniformity of density  and take a union with a random set of density  wouldn’t we obtain an example Gil seeks?</t>
  </si>
  <si>
    <t>C2054</t>
  </si>
  <si>
    <t>tool</t>
  </si>
  <si>
    <t>wiki suggestion</t>
  </si>
  <si>
    <t>A friend pointed me at the gitit wiki, available from http://johnmacfarlane.net/tools.html  .
I haven’t yet had a chance to test it personally, but the author claims it can do LaTeX.  I’m planning to investigate further.</t>
  </si>
  <si>
    <t>C2056</t>
  </si>
  <si>
    <t>quick comment</t>
  </si>
  <si>
    <t>419.  Just a quick comment, will respond at length later when I am less busy: Boris’s 412 example has the property that all coordinates have extremely low influence: modifying a 1 to a 2, say, is unlikely to move you from A to not-A, or vice versa.  As a consequence, it is easy to find lots of subspaces with a density increment, just by selecting a moderate number of indices and jiggling them from 1 to 2 to 3 independently., Presumably one can more generally push the density increment argument to reduce to sets A in which all indices (and maybe sets of indices) have small influence, but I have not thought about this carefully.</t>
  </si>
  <si>
    <t>C2057</t>
  </si>
  <si>
    <t>420. Obstructions to uniformity., Boris, many thanks for that — as I hoped, it was very illuminating. In particular, your initial step is thought-provoking. My first reaction to it is to try to prove you wrong by formulating DHJ(2,0), but with no particular hope of success. If indeed your reasoning is right, then it’s good news in a way, because it suggests that we can get a better understanding of obstructions in DHJ(3,2) by thinking a bit harder about obstructions in DHJ(2,1). , Here’s what DHJ(2,0) might say. (In order to do this I’m keeping open  comment 344 in a different tab and trying to extend the definition of DHJ(j,k) downwards to DHJ(0,k).) For every empty subset  you have a set  of functions from  to the power set of  such that the images of all points in  are disjoint. , So far so good: there is precisely one such function, so  is a singleton that contains just that trivial function., Now we define  to be the set of all ordered partitions of  into  sets  such that for every empty subset  of  the sequence  belongs to . But that happens for every ordered partition of  into  sets, so  corresponds to the set of all sequences. , So I claim that DHJ(0,k) is the assertion that  contains a combinatorial line!, This doesn’t really affect the substance of what Boris is saying, but it allows us to reexpress it. The conjecture DHJ(0,k) (which, come to think of it, I think I see how to prove), suggests a class of 0-level obstructions: you may well not get the expected number of combinatorial lines if you have the wrong correlation with the constant function 1 — that is, if you have the wrong density. So the real point that Boris is making is that having the wrong density is not the only obstruction to Sperner (whereas it is to the trivial one-dimensional analogue of corners, since the number of one-dimensional corners is precisely determined by the density of the set). , Thus, Boris’s thought processes do indeed contain a valuable new insight: that we should think hard about obstructions to Sperner, because these will feed into DHJ as an additional source of obstructions to DHJ(2,3), over and above the ones that come from DHJ(1,3). In this way, we see that there is something about DHJ(2,3) that genuinely goes beyond what happens for corners., Unfortunately, it is still completely mysterious to me what that extra something is, but equally it is clear that what we must try to do is generalize Boris’s obstruction as much as we possibly can and hope that we can reach a new and more sophisticated conjecture. A good start will be to see what we can do with obstructions to Sperner. (And perhaps there is some hope here, as people already seem to have thought about it. If anyone feels like giving a detailed summary of what is known, they will be doing me at least a big favour.)</t>
  </si>
  <si>
    <t>C2058</t>
  </si>
  <si>
    <t>@ Nathaniel Thurston, Apologies accepted. 8), Before we go any further, I’d like to call attention to my snide attempt at perverted humor (“shortcummings”).  I hope I don’t end up regretting it, as it won’t happen again., In due time, I will move this conversation over to Google Knol.  If you’re paying attention, most of my knols are ‘blank’.  Basically, I’m using the service as a poor man’s copyright for right now.  Google has recently been discontinuing programs of theirs (such as Notebook, Dodgeball, and others) because of lack of popularity, and rumormill has it that closing Knol could be in the future.  Which brings me to this blog (gowers.wordpress.com).  I figure that if they get enough heavy hitters and professionals using their service, then it stands a better chance of survival.  Besides, I really believe it has huge potential to be the platform we’re trying to build., I call these efforts Collaboratively Amplified Mathematics Projects, or CAMPs.  I’m open to other names or acronyms.  I am moderating a article about CAMPs here http://knol.google.com/k/link-starbureiy/collaboratively-amplified-mathematics/keic9mdr861/82#.  Please give me a few days to finish uploading the documentation and video that I’m preparing to exemplify how the community might use Google Knol.  In the meantime, anyone is welcome to join!</t>
  </si>
  <si>
    <t>C2059</t>
  </si>
  <si>
    <t>C2029?</t>
  </si>
  <si>
    <t>another player's example</t>
  </si>
  <si>
    <t>421. Boris, i do not think your example is a counter example. If you take the obstructions for pseudorandomness (at least the 2 I checked) you gets large combinatorial subspaces in the set. E.g. if the number of 1,2,3 coordinates is divisible by 7 or if there is a long runs. , OK i see, what you probably suggest is this: start with a obstruction with high density say 7/8 take a  random subset of it which has density c and then even in the large combinatorial spaces the density will be below 8/7. (You do not need to add anything random) Right. , Anyway, we can still ask: If the number combinatorial lines is more than 10 times  or less than 1/10 times the expected number, must  we have a combinatorial subspace of dimension 100logn or log^2n or n^1/100 that the density on it is more than 1.01c.</t>
  </si>
  <si>
    <t>CTao_35652</t>
  </si>
  <si>
    <t>238. Lower bounds of , The pattern I described in My.232 has a slight error
when N=6M+3, as x ranges from 0 to M-4, not M-3., This pattern, for N a multiple of 3, leaves no room for any more points – any new point would complete a line., I don’t know the asymptotic for this pattern’s value of c_n/3^n, but
2.7 sqrt(log(n)/n) is a good fit when n is between 4000 and 10000</t>
  </si>
  <si>
    <t>CTao_35655</t>
  </si>
  <si>
    <t>239.  by optimization., Sorry I made a mistake in 229. The box should be 
for  instead of  as Jason Dyer noted. Also for
 it is no longer a QP problem and one needs a general
optimization routine.</t>
  </si>
  <si>
    <t>C2060</t>
  </si>
  <si>
    <t>rephrase</t>
  </si>
  <si>
    <t>422. This is response to Terry’s #413.  , Let me just try to rephrase it in my own language.  Let  be a subset of  of density at least . , Form a random “subcube” as follows:  Pick a random string  by choosing each coordinate to be  with probability  and  with probability .  Let  be the subcube , given by taking all ways of filling in  with  or .  (Here  is the number of ‘s in .)  For a given string , let’s abuse notation slightly by writing  for the associated string in ., It is easy to see that with probability at least  over the choice of , the density of  on  is at least , a positive constant., So we can apply some kind of souped-up Sperner.  In particular, I believe it should be relatively easy to show that  contains many “half-lines” on .  I.e., if we look at pairs  such that  and , it should be that the set of ‘s involved in such half-lines has positive density in , and the same for the ‘s., But since  was random from the right distribution, we conclude the following:  Look at all “half-lines” in ; i.e., pairs  with the potential to be the – and -points of a combinatorial line.  Then the ‘s participating in these half-lines have positive density in , and same for the ‘s., Now it almost seems like we’re there, because we have a pretty dense set of half-lines.  We just need to find one point in  to cap off a half-line.  I guess the trouble is that, while the set of points capping off a half-line has positive density in , it still might completely miss .  So perhaps the goal should be to show that either these capping points are *very* dense, or else we can see some structure in them out of Sperner.</t>
  </si>
  <si>
    <t>C2062</t>
  </si>
  <si>
    <t>423.  Re Boris’s example #418:, One thing I do not quite understand:  What is the definition of “typical combinatorial line”?</t>
  </si>
  <si>
    <t>C2064</t>
  </si>
  <si>
    <t>419; 123</t>
  </si>
  <si>
    <t>still confused</t>
  </si>
  <si>
    <t>424.  Re Terry’s #419., I’m still a bit confused by this density-increment search.  One finds counterexamples with the “wrong” number of combinatorial lines, but then one says, “Aha, but if I fix these coordinates this way, I get a large density increment.”, Now Boris gives a counterexample in which each coordinate has low “influence”.  This is the only way to beat the above density-increment parry — if your example has coordinates with large influence, then you can of course fix these coordinates to get density increment., But now in #419 Terry says, “Aha, if the coordinates all have *low* influence, we should be able to find a density increment.”, It seems like we can always find a density increment!  This is related to my comment #123.</t>
  </si>
  <si>
    <t>C2065</t>
  </si>
  <si>
    <t>425. Answer to Ryan’s question in #423: it is not important, as long as the definition is invariant under permutation of . The only thing the construction uses is that no combinatorial line uses more than  wildcards. Then if we take an orbit of any combinatorial under the action of symmetric group on  most elements of the orbits will have virtually no adjacent wildcards.</t>
  </si>
  <si>
    <t>C2066</t>
  </si>
  <si>
    <t>I don't follow</t>
  </si>
  <si>
    <t>426. I do not follow Ryan’s argument in #424. If there are variables of large influence, it does not mean we can fix them to get density increment. Think of XOR function on the Boolean cube. All coordinates have large influence, but on every coordinate subcube the density is still .</t>
  </si>
  <si>
    <t>C2067</t>
  </si>
  <si>
    <t>C2064; C2056</t>
  </si>
  <si>
    <t>now I'm confused</t>
  </si>
  <si>
    <t>427.  Re 424,419, Now I’m confused by Ryan’s comment. If  is a random set, then doesn’t every coordinate have large influence? And you can’t get a density increase. Apologies if this shows that I don’t properly understand what “influence” means.</t>
  </si>
  <si>
    <t>C2068</t>
  </si>
  <si>
    <t>365, 366</t>
  </si>
  <si>
    <t>428. Obstructions and possible technical simplification., I would like to draw attention to my comments 365 and 366 because they could be relevant here. Boris, if we use this alternative measure on , then does your example disappear?</t>
  </si>
  <si>
    <t>C2069</t>
  </si>
  <si>
    <t>C2068; C2065; 412</t>
  </si>
  <si>
    <t>429. Answer to #428: I do not think it disappears. It has density 1/2 on every . This example seems to be rather hard to kill since as mentioned in #425 the only thing it really uses is invariance under permutations of ., Actually, now thinking about it, there is a way to simplify/modify the example from #412 somewhat. I considered , but I could consider  or simply the number of subwords . Yes, these quantities do vary by a lot, but this variation is predictable: it has some mean  that can be computed explicitly, and is concentrated in the interval around  of length . Choose  so that  is distance at least  from zero (large sieve should tell us that this can be done for most , and maybe there is some elementary argument to do it for all  that I do not see). Then define  by condition that .</t>
  </si>
  <si>
    <t>C2070</t>
  </si>
  <si>
    <t>we need gil</t>
  </si>
  <si>
    <t xml:space="preserve">;) </t>
  </si>
  <si>
    <t>430.  Influence vs. Bias, Ah, where is Gil when you need him :-).  There is a distinction between influence and bias for, say, a boolean function  of n boolean inputs., We say that the input  has large influence if, whenever we flip , we have a high probability of flipping .  Having low influence means that f is close to being invariant in the  direction, where  is the standard basis., We say that there is large bias in the  direction (or more precisely, the basis vector  in the dual space, but never mind this), if f has a density increment on the hyperplane  or on the hyperplane ., There is only a partial relationship between the two properties: low influence implies low bias, but not conversely; for instance, as pointed out above, a random boolean function has low bias but high influence for each variable., High bias leads directly to a density increment and so we “win” in this case.  We also “win” if there are many directions of low influence, because f is close to constant on subspaces generated by these directions and is therefore going to be unusually dense on some of them.  But there is the great middle ground of low bias, high influence sets (such as the random set) in which we have to do something else.</t>
  </si>
  <si>
    <t>C2071</t>
  </si>
  <si>
    <t>431. Obstructions., Boris, in 425 you said you used the fact that the set of wildcards has size . With the measure where all slices are the same size, I think the size of the set of wildcards of a typical line becomes  instead. So I allowed myself to be hopeful, because you needed  and you also needed  to be bigger than the square root of the size of the set of wildcards. But I admit that I still don’t feel as though I fully understand your example, so there may well be an obvious answer to this question.</t>
  </si>
  <si>
    <t>C2072</t>
  </si>
  <si>
    <t>431.  Locality in the edit metric., Something just occurred to me that, in retrospect, was extremely obvious.  We know already that we may as well restrict our dense sets to have  1s, 2s, and 3s, which means we may as well restrict our combinatorial lines to have at most  wildcards., This implies that the points on our combinatorial lines differ by at most  in the edit (Hamming) metric.  In contrast, the diameter of the cube  is n., Because of this, our obstructions to uniformity need to be at the scale of  rather than n in the edit metric.  Boris’s example is a good example of this; it’s basically a union of Hamming balls of radius m for some .  , So maybe conjecture 411 can be recovered by somehow localising it to Hamming balls of size ?  There is a major technical issue coming from the fact that the metric is hugely non-doubling at this scale, but perhaps if one is careful one can still localise properly.</t>
  </si>
  <si>
    <t>C2073</t>
  </si>
  <si>
    <t>missed the point</t>
  </si>
  <si>
    <t>432. Aha…. I missed the point about typical line having length  with your measure. It does seem that the example disappears.</t>
  </si>
  <si>
    <t>C2074</t>
  </si>
  <si>
    <t>433.  Locality in the edit metric cont.  , (The numbering on my previous comment should be 432.), To illustrate what I mean by localising the obstruction, consider the problem of obstructions to length three progressions in .  Fourier analysis tells us that the obstructions are given by plane waves  on the whole interval N., But now suppose one is only interested in counting progressions of some much smaller length O(m) (e.g. ).  Then the right kind of obstructions are given by local plane waves – waves which look like a plane wave  on each interval  of length m, but whose frequency  can vary arbitrarily with j., Of course, one just zoom in on an interval of length m where the original set A is quite dense and get rid of this technicality; similarly here, we may have to zoom into a Hamming ball and work locally on that ball.</t>
  </si>
  <si>
    <t>C2075</t>
  </si>
  <si>
    <t>434. We can assume that the density is uniform across all smallish Hamming ball. That is because if we get a density increment on a smallish Hamming ball, we get a density increment on a tiny combinatorial cube by double-counting analogous to comment #132 from the original thread. Thus, we can increment density on Hamming balls until we are stuck.</t>
  </si>
  <si>
    <t>C2076</t>
  </si>
  <si>
    <t>Re 426, 427, 430, distinction between influence and bias:, Right, my mistake.  Most of the examples I’ve been thinking about have been “monotone”, in which case the notions coincide.</t>
  </si>
  <si>
    <t>C2078</t>
  </si>
  <si>
    <t>Gil's question</t>
  </si>
  <si>
    <t>436.  Quasirandomness, To answer Gil’s question: if we manage to settle DHJ(1,3) (or more generally to find lots of combinatorial lines in our “obstructions to uniformity”), we should presumably be able to iterate and also find lots of combinatorial subspaces in all of the obstructions to uniformity.  If we double count properly, this should (hopefully) tell us that any set which has anomalous density on an obstruction to uniformity has an anomalous density on at least one combinatorial subspace, and then we “win”.</t>
  </si>
  <si>
    <t>C2079</t>
  </si>
  <si>
    <t>437.  Soft obstructions to uniformity, One possible route to keep in mind, by the way, is to back away from the “hard” goal of explicitly classifying all “obstructions to uniformity” in a very concrete manner, but instead settle for a “soft” classification which expresses these obstructions as something like a “dual function” from my primes in AP paper with Ben Green.  In some cases, one can tools such as an enormous number of applications of the Cauchy-Schwarz inequality to deal with these sorts of dual functions., Another example of a “soft” obstruction to uniformity, this time for length three progressions in N, is that of an almost periodic function: a function  whose shifts  are “precompact in ” in some quantitative sense.  One can show that these guys contain all the obstructions to uniformity by a soft argument based primarily on Cauchy-Schwarz (and does not use the Fourier transform).  Using the Fourier transform, of course, one can approximate almost periodic functions by quasiperiodic functions, e.g. bounded linear combinations of characters, thus moving from soft obstructions to hard obstructions.  It is also not hard to prove (again by “soft” means avoiding Fourier analysis) that almost periodic functions have lots of 3-term APs (and also the important strengthening that functions close to an almost periodic function also has lots of 3-term APs; there are some subtle issues with the hierarchy of epsilons here that I don’t want to discuss here)., Anyway, it is another option to consider if the “hard” classification problem turns out to be too complicated.</t>
  </si>
  <si>
    <t>CTao_35660</t>
  </si>
  <si>
    <t>240. Algorithms, I think finding a minimum-sized hypergraph transversal in NP-hard, even for 3-uniform hypergraphs., We can reduce 3-SAT to this problem.  We are given a boolean expression  where each  is the OR of 3 terms, each term either a boolean value from , or the negation thereof.  Form a hypergraph with vertices , and each  as a hyperedge.  Add a dummy node , and a hyperedge  for each boolean value.  These last hyperedges ensure there is no smaller solution than the one corresponding to a satisfying boolean assignment, if one exists.  It’s not hard to check that a minimum transversal is size  (the number of boolean values) iff there is a satisfying assignment; this completes the reduction., What does this mean for us?  If we want a polynomial time algorithm (in the size of the graph), we have to use more of the structure than just the fact that every line has 3 points, assuming .  Also recall that the size of our graph itself is already exponential in n.</t>
  </si>
  <si>
    <t>C2084</t>
  </si>
  <si>
    <t>438. density-increase-strategies, quasi randomness. , Can somebody remind me what is DHJ(1,3) DHJ(2,3) and DHJ(1,2)? thanks! , The point I was making is that our strategy for a proof for a density theorem is
1) Find obstruction to quasirandomsess in terms of inner product with some function in a class of “obstraction” (This is what I referred to as a codim 1 condition)
2) deduce that this implies an increased density on lower dimensional subspace, and iterate.
In may be possible (although I am not aware how) to move directly from having too many or too few combinatorial lines to a statement about density on small dimensional spaces., Also we can look at the example and see if the density increase on small spaces does not sugget “too good to be true” result. For example, if in all these obstructions we get a subspace of linear size with density-increase of (1+t) then this will imply a bound of the form 3^n/n^alpha which is toogood. , BTW, there is a large density of people interested in the density HJ around here. The approach we are taking is a fixed k approach. Saharon Shelah gave the best bound for HJ using inductive argument which juggles different ks and diffferent dimensions for the combinatorial subspaces. He was quite interested to see if approaches of similar nature can apply for DHJ. , Regarding Ryan’s long runs/tribe-like examples; It looks that this may extend to sets defined by a large class of bounded depth circuits.</t>
  </si>
  <si>
    <t>C2085</t>
  </si>
  <si>
    <t>439.  Local obstructions., I’ve just woken up with a better grasp of what Terry is talking about in 431 and 433, so I’d like to rephrase it here (not very much actually, but perhaps just enough to be useful)., Terry points out that because, as we know, our example could live in a central area of slices of width around  (meaning that the numbers of 1s, 2s and 3s are always within  of ), for the simple reason that almost all sequences in  have this property, the set of wildcards in any combinatorial line can be assumed to have size at most . This means that what happens at one sequence  should have nothing much to do with what happens at another sequence  if their Hamming distance (the number of coordinates where they differ) is substantially greater than . , This immediately suggests a generalization of the obstructions considered in Conjecture 411. The idea would be this: you would move a Hamming ball (that is, a ball in the Hamming metric) of radius  around in , and in each translate you would have a different obstruction of the type in Conjecture 411. , The analogy Terry draws is with the case of , where you could partition it into small intervals and have a different Fourier mode in each interval, and that would exhibit nonquasirandom behaviour for local phenomena such as arithmetic progressions of length 3 with small common difference., Now if one is going to carry out such a programme, there is an issue that at first appears to be merely technical and then comes to seem more fundamental. It’s that you can’t do something different on each translate because the translates overlap.  This is where the importance lies of Terry’s remark that “the metric is hugely non-doubling on this scale”, which I’ll explain in a moment. But first, note that in  we don’t have a huge problem: of course the intervals overlap, but you can just partition  into disjoint intervals and you’re basically OK., Back to Terry’s remark. What does he mean? He means that if you double the radius of a Hamming ball, then its volume (or cardinality) hugely increases. This has the effect of making it extremely hard to pack Hamming balls efficiently. Now it isn’t essential to use Hamming balls, but if we are going to partition  into sets  and use a different 411-style obstruction in each , then we will need one crucial property: that if you modify an element of  by changing around  coordinates, then with non-negligible probability you remain inside . (Otherwise, the supposed obstruction in  will not affect more than one point per typical combinatorial line.) , The isoperimetric inequality in the cube tells us that the sets where you have the best chance of staying inside when you modify an element by a given amount are Hamming balls, and something similar is true in . And if you do the calculations for Hamming balls, you find that if you modify by  for some large constant , then you hugely expand the set, unless the set is already quite large in which case you get everything. , In other words, you cannot do some partitioning argument like this unless you partition into huge Hamming balls, or sets of similar type, which would turn the “local” obstructions into global ones., I think I’ve actually said a bit more than Terry now — I am claiming that Terry’s  “major technical issue” is in fact a fundamental issue that makes it impossible to devise local obstructions of the type he is talking about., Where does that leave Boris’s example? I don’t have a full explanation for this, but I think it is that he somehow doesn’t do completely unrelated things in each . In other words, it is not a purely local obstruction and can’t be massively generalized in the way suggested above. If anyone else can give a more precise explanation, I’d be very interested.</t>
  </si>
  <si>
    <t>C2086</t>
  </si>
  <si>
    <t>working strategy</t>
  </si>
  <si>
    <t>439.  A potential strategy, I think I have a strategy for proving that dense sets  “with no exploitable structure” contain combinatorial lines, basically by fooling around with the Cartesian semi-products from 413., We have a density  and an extremely large n.  I will also need an intermediate integer  depending only on .   I am going to try to find a combinatorial line with at most m wildcards inside , and I think my strategy works unless  has some explicit structure obstructing me, which looks exploitable by other methods., Pick a random point x in .  We are going to look for a line inside the Hamming ball of radius m centred at x.  (The discussion above has begin to persuade me that we should be working inside small Hamming balls rather than roaming across all of .), It is convenient to embed  in  and give the latter the standard basis .  Thus for instance  where A, B, C are the 0-sets, 1-sets, and 2-sets of x (thus A, B, C partition n).  Generically, of course, A, B, C have size about n/3., Now we pick m random elements  of A, which will generically be distinct.  I’m going to run the Sperner argument used in 413.  For , let’s look at the points, ,, thus  is the same string as x but with the coefficients at  increased from 0 to 1, and the coefficients at  increased from 0 to 2.  Each  has a probability about  of lying in , so on average we expect to have about  indices i with .  In fact there should be some sort of concentration of measure, unless  has some blatant structure to it which should be exploitable, so I’m going to just assume that we do have , where  is the collection of indices i such that .  , Since  avoids all combinatorial lines, we know that the points,   (*), lie outside of  whenever  is such that .  On the other hand, assuming concentration of measure I expect that about  of the  with  lie in .  Applying Cauchy-Schwartz twice, I thus expect to get an anomalously large number of rectangles  in , where .  (I’m too lazy to calculate the expected number of rectangles right now, it’s something like .), So far, I’ve mostly been rephrasing 413 in a different language.  But now for the new idea: observe from (*) that each  depends on a different subset of the random variables .  Because of this, it is likely that the events  exhibit a high degree of independence from each other (even after conditioning x to be fixed).  Also, assuming concentration of measure again, these events should have probability about .  Assuming they behave like jointly independent variables, this should mean that the expected number of rectangles  in  should be close to what is expected by random chance, contradicting the previous paragraph.  (In fact, one does not need joint independence for this; independence of any four  arranged a rectangle will suffice, thanks to linearity of expectation.), But what if joint independence fails?  Then I think what happens is that there is some irregularity in one of the events , in the sense that the -uniform hypergraph, , is non-uniform in the sense of hypergraph regularity (i.e. it has a large octahedral norm, in the notation of Tim’s hypergraph regularity paper).  This is presumably the contrapositive of some nasty counting lemma that one would have to work out.  But I feel that this type of non-uniformity is a very usable type of structure on  (it seems to be some sort of hypergraph generalisation of the concept of “low influence”).   At any rate, now that we see some uniform hypergraphs enter the picture, it is tempting to break out the hypergraph counting, regularity, and removal machinery and see what one gets.</t>
  </si>
  <si>
    <t>CTao_35662</t>
  </si>
  <si>
    <t>Sune.90</t>
  </si>
  <si>
    <t xml:space="preserve">241. Upper bound for , This proof is along the lines of Sune.90
Sune shows there is just one way to place 18 points in a cube,
and that at most 52 points fit in , Suppose 156 points may be chosen in .
There must be 52 points in each slice of , Divide  into nine cubes.  There are 17 or 18 points in each cube, and one cube in each row and column has 18 points. For example,      17, 17, 18
     18, 17, 17
     17, 18, 17, Cut the cubes further, into squares.  The 18-point cubes must cut into three six-point slices x y and z, but the 17-point squares have more variation,      pqr, stu, xyz
     xyz, abc, def
     ghk, xyz, lmn, Take the three cubes in the top row, and slice them along a different axis so they are psx, qty and ruz.
One of these cubes has 18 points, and so is xyz; so r=x and u=y., Similar logic in second column gives u=x and c=y.  So there is a contradiction.  , There are four other ways to place the 17-point and 18-point cubes, but they all lead to contradictions., So 156 points can’t be placed in </t>
  </si>
  <si>
    <t>CTao_35664</t>
  </si>
  <si>
    <t>updating spreadsheet</t>
  </si>
  <si>
    <t>242.  , Michael: Nice!  I’ve updated the spreadsheet and the table accordingly.  Computing  exactly may well be within reach now.</t>
  </si>
  <si>
    <t>C2088</t>
  </si>
  <si>
    <t>Mathias</t>
  </si>
  <si>
    <t>440. Re: A potential strategy from Terry, I’d like to point out, that the size of the hyperedges of the hypergraph at the end of 439 could be of order . I believe in order to use a removal lemma machinery here, one may have to chose  to be an extremely slow growing function (like inverse Ackerman in  or worse). But this looks bad, as
there are subsets of density , which contain no combinatorial line with at most  wildcards.</t>
  </si>
  <si>
    <t>C2089</t>
  </si>
  <si>
    <t>dk</t>
  </si>
  <si>
    <t>gowers Says: *how one is supposed to evaluate a chemist, for example, who works as a member of a large team in a laboratory, for hiring purposes.*, Some journals detail the contributions of each author.  Reference letters can help, e.g. with senior co-authors explaining the role played by junior co-authors.  Failing such information, hiring committees count papers.  Within a given field, the scaling factor (number of authors per paper) should be relatively constant.  As for comparing across fields, the central challenge for tenure/award committees, there is often a reliance upon recommendation letters from departments, which explain issues of authorship., Failing such things, committees simply count beans (papers).  How should the count be adjusted for number $N_i$ on each $i$th paper?  The simple answer is to sum $1/N_i$ across $i$, but that answer causes a lot of discussion in such committee meetings, as people who publish with a lot of co-authors dislike the idea that their paper count is inflated., I do wish this system were threaded … beyond about 6 posts, a linear list becomes overwhelming.</t>
  </si>
  <si>
    <t>C2090</t>
  </si>
  <si>
    <t>439, 331</t>
  </si>
  <si>
    <t>441.  General strategy, This is an idea that occurs to me after reading Terry’s 439 and sort of half mixing it with my comment 331. In that comment I tried, and miserably failed, to deduce DHJ from corners in exactly the way that Sperner follows from the trivial one-dimensional equivalent of corners. The problem, as I soon discovered, was that you can’t embed grids into  in a nice way, analogous to the way you embed lines into  to prove Sperner. (The image of a line is a chain of sets such as empty set, 1, 12, 123, 1234, ….), However, even if you can’t get combinatorial lines to map to combinatorial lines, it does seem as though you can do at least something. Let’s embed a point in the triangular grid  into  by sending  to the point with  1s followed by  2s followed by  3s. In fact, I’ll use some slightly more general notation: a1,b2,c3 means what I’ve just said, but e.g. a1,b2,c3,d1,e2 would mean a 1s, b 2s, c 3s, d 1s, e 2s. , Then we can never have  all three of (a1,b2,c3), ((a+b)1,c3) and (a1,(b+c)3). More generally, we can never have (a1,b2,c3,d2), ((a+b)1,c3,d2) and (a1,(b+c)3,d2)., Now in 311 I was trying to use this kind of idea to find a grid with no corners, and thereby to deduce that  was sparse in that grid, and hence (by a suitable averaging) that it was sparse everywhere. But what if instead of going for gold straight away, we merely try to find some kind of local atypical structure all over the place, which we then try to argue must have resulted from a global atypical structure?, In the last paragraph but one, I can associate the sequences I’ve written down with the points (a,b,c), (a+b,0,c), (a,0,b+c). Now it’s not very difficult to find dense sets of triples adding up to n that contain no configurations of that kind. But I think it is less easy to make them quasirandom. So it seems (and this is one of those situations where another contributor — in this case Terry — has understood what I am writing for some while and I am catching up) that we do have some kind of ubiquitous local non-quasirandomness. (The presence of the 0 is disturbing, but that’s why it could be useful to add a d2 on to the end so that the sequences look more typical.), I’ve got more to say about this, but no time for several hours so I’ll post the comment as it stands for now.</t>
  </si>
  <si>
    <t>C2091</t>
  </si>
  <si>
    <t>Larry (IEOR Tools)</t>
  </si>
  <si>
    <t>freenode-math tool</t>
  </si>
  <si>
    <t>If anyone wants to talk mathematical problem solving in real time chat you can try entering a discussion on the IRC channel on freenode #math, Here is a printout of searchIRC.com….,  irc:// #math 	, Users: Current: 386, Avg: 361, Max: 446
Network: freenode 	, Directory:
Topic:
	Education and Schools &gt; Education Discussions
All aspects of mathematics (except software: join #math-software) | Channel URL: http://www.freenode-math.org | Don’t ask if you can ask a question, if anyone can help, or if anyone knows about . In addition, we are _NOT_ calculators. | Off topic? Take it to #not-math (we’re serious, the channel name is not a joke) | LaTeX paste: http://www.mathbin.net | Next seminar: TBD</t>
  </si>
  <si>
    <t>C2092</t>
  </si>
  <si>
    <t>442.  General strategy., Let me amplify on one small comment that I made in the penultimate paragraph of the previous comment. I said, “I think it is less easy to make them quasirandom”. Here’s what I mean. The possible pairs (a+b,0,c), (a,0,b+c) form a 1-parameter family, since a+b+c is required to equal n. If r&lt;s and we have the pairs (r,0,n-r) and (s,0,n-s), then we are forbidden to have the point (r,s-r,n-s). Thus, if R is the set of r such that the line (r1,(n-r)3) belongs to A, we find that A is not allowed to contain any point of the form (r,s-r,n-s) with r and s in R. Since the outer two coordinates determine the middle one in a simple way, we obtain a forbidden set that is basically a
Cartesian product of R with itself, or rather in a natural one-to-one correspondence with RxR. , It seems to follow that either R is very small or we have a density increment on a different Cartesian product (of R with its complement or of the complement with itself). If R is often very small, then by considering the extra d2 above and averaging, one might hope to get some kind of global non-quasirandomness, whereas if R is often large we might hope to find global non-quasirandomness for the reason outlined in the above paragraph., A key point in all this is how to argue that one can patch together all the little bits of non-quasirandomness in order to obtain a big bit. I’ll think about that in another comment.</t>
  </si>
  <si>
    <t>C2093</t>
  </si>
  <si>
    <t>443., Dear Mathias,, Yes, we have to take m to be a rapidly growing function of  to avoid the problems you describe.  But I don’t think this is necessarily a problem for two reasons.  Firstly, the hypergraph is going to be on about n/3 vertices, with n extremely large compared to both m and , so hypergraph regularity is still going to say something nontrivial.  Secondly, I am not planning to rely solely on hypergraph regularity to finish the job; I envision something along the lines of “the hypergraph counting lemma (combined with the Sperner argument) will produce a combinatorial line unless one of the hypergraphs here is not -regular”, and then the hope is to use this irregularity (which is some sort of assertion of low influence, I think) to locate a density increment or some other structural control on the original set in ., The point is that Sperner+Cauchy-Schwarz seems to eliminate the role of  from the task of detecting combinatorial lines in , leaving only the need to understand the distribution of  in positions containing at least one zero.  This is the type of situation in which hypergraph regularity/counting/removal theory kicks in – we want to understand solutions to a system of equations, each of which only involves a proper subset of the variables.  , Tim: I think we are trying to do almost exactly the same thing, though instead of working with a random embedding of the big triangular grid , I am working with a random embedding of the much smaller grid , which I like to think of as pairs  with .  To embed this grid into , one has to pick a random base point x, which has 0s at some set A of size about n/3, and then pick m indices .  The pair  then embeds into the point x with the coordinates at  increased from 0 to 1, and the coordinates from  increased from 0 to 2, creating the point that I called  previously., You observed that in the big triangular grid, that (r,0,n-r), (s,0,n-s), (r,s-r,n-s) cannot all embed into A.  In my notation, if one lets  be the event that , this is the assertion that for any , the events  cannot all be true.  On the other hand, we expect each of the events  to occur with probability  , which means that with high probability, the  must avoid a dense Cartesian product, and thus the joint event  for  must occur with probability noticeably higher than . , But the key is that each of the  only depend on a proper subset of the random variables , and this is the place where the hypergraph counting lemma should step in and say something useful.</t>
  </si>
  <si>
    <t>C2094</t>
  </si>
  <si>
    <t>idea</t>
  </si>
  <si>
    <t>444.  Sperner and nonquasirandomness., I want to do a little exercise. It goes like this. Suppose I take random chains as in the proof of Sperner, and I find that the average number of elements of  in each chain is , but the average of the square of this number is not about . What does that tell us about ? , One obvious thing it tells us is that the number of pairs  in  is larger than expected—at least if one interprets “number of pairs” is interpreted appropriately. Let’s just quickly see what we actually get. If I pick a random pair  (not necessarily in ) by choosing a random maximal chain and then a random pair of elements of it, then what is the probability that I pick the particular pair ? Let’s assume that  and . Then the probability that the chain passes through  is , and the probability that it passes through  given that it passes through  is . Finally, the probability that I pick the pair  given that the chain passes through both  and  is . So the weighting of pairs is according to the following model: first pick a random pair of slices (according to the uniform distribution) and then pick a random pair  from that pair of slices. , Thus, the hypothesis that  has too many pairs is the hypothesis that if you pick a random pair  as in the above paragraph, then there is a more than  chance that both  and  belong to . , Can we use this to get a global conclusion? In a non-quasirandom bipartite graph the trick is to choose a random edge and take the neighbourhoods of its vertices. Since there are too many 4-cycles, the resulting induced bipartite graph is on average too dense. What would be the analogue here? , The obvious one would be to choose a random point of  and take the set of all pairs  such that  or . This gives a structure (one might visualize it as a sort of “double cone”) that typically contains more points of  than it should. But this doesn’t count as a global obstruction because it is absolutely tiny compared with . So the next question is whether it is possible to have a set of density  (according to the slices-equal weighting of ) such that (i) it intersects many of these “double cones” in density significantly different from  and (ii) one cannot obtain a density increase on a subspace in any simple way., I have to bath my 15-month-old now, so will pursue this later if nobody else has.</t>
  </si>
  <si>
    <t>CTao_35672</t>
  </si>
  <si>
    <t>3^5. , The same proof works for 155 points, except for the case, 17 17 18
17 17 17
18 17 17, and permutations of that.  I can assume that, when sliced along
any axis, each cube has at least 17 points., Cut the cubes into slices as in Michael.240.
Some of the slices must be x,y or z, as shown there, pqx rsy xyz
tuy abc yde
xyz yfg zhk, When the pqx cube is cut into squares along any of its three axes,
it has an x slice in third position.  That forces the placement of
thirteen points in the cube, and needs four points to be
placed in the remaining 2x2x2 sub-cube.  It turns out that pqx is either
yz’x or y’zx, where z’ is a z slice with one point removed., If pqx = yz’x when sliced along one axis, then it is yz’x when sliced
along all three axes.  Then the cube paz, from reslicing the diagonal,
is yaz along all three axes, which is impossible., So pqx =  y’zx when sliced along each axis, and rsy=tuy=zx’y, For the same reasons, zhk = zxy’, So cube qbh = zbx along all three axes, which is impossible., I think this contradiction completes the proof.</t>
  </si>
  <si>
    <t>CTao_35674</t>
  </si>
  <si>
    <t>? CTao_35662</t>
  </si>
  <si>
    <t>244. , In 243., I made an error in the paragraph that begins “If pqx = yz’x”.
I just need the fact that a can’t have five points if yaz has no lines.
Also, at the end, b can’t have five points if zbx has no lines.</t>
  </si>
  <si>
    <t>C2096</t>
  </si>
  <si>
    <t>445. Tim, I’m just reading your ecercise, It might be more relevant to us to consider sets of size . In general, I don’t see why do you have  and not  elements in a random chain.</t>
  </si>
  <si>
    <t>C2097</t>
  </si>
  <si>
    <t>C2094; 439; 443</t>
  </si>
  <si>
    <t>446. Sperner and nonquasirandomness, Tim, I think in order to get a meaningful answer one has to localise the chains somewhat.  Currently, one can get a ridiculously large number of pairs  from a very small  by using the extreme ends of the chain, for instance by letting  be those A for which  or  , To move things closer to my proposals in 439, 443, I would instead do this: pick a random A in n, then pick m random points  in the complement of A (where m is bounded in n, e.g. ), and then look at the random variable X, defined as the number of  such that  lies in .  This variable X has expectation about ; what can we say if it has significant variance?</t>
  </si>
  <si>
    <t>C2101</t>
  </si>
  <si>
    <t>447. Obstructions to Sperner., I feel that we haven’t thought about this hard enough. Boris’s remark in 418 that obstructions to Sperner (=DHJ(1,2)) don’t follow from lower-level obstructions is something we still need to come to terms with. , It seems that one source of obstructions is “usually continuous” sets, by which I mean sets where if you pick a random sequence and change a random coordinate then you will usually not change whether that sequence belongs to the set. Except that as I write that I see that there is absolutely no reason to believe that it is true. As you go up a random chain, even if you only rarely switch from belonging to the set to not belonging, or the other way, you may well get the expected density by the end. (Note that all these discussions are very different if we take the uniform measure on , but I am trying to push the slices-equal measure.), If we let $\mathcal{A}$ be the collection of all sets that contain , then what happens? The density is , but this is not quite as trivial a fact as usual: it follows from the fact that the bijection from a set to its complement is measure preserving. If we pick a random pair  then there’s obviously a correlation between  containing 1 and  containing 1 — indeed, it’s about as extreme a correlation as one could hope for. What’s more, we can think about it like this: if we pick a random chain, then we will add in the element 1 at a random moment between 1 and n, so the intersection of  with the chain has a density that is uniformly distributed between 0 and 1, which means that the mean square density of  in a random chain is , rather than the  that it is supposed to be. , I now see that what I’m groping for is something like this: we want more or less any monotone set system that isn’t too much like the collection of all sets of size at least . What I mean by that is the following. If  is a monotone set, then given any chain, it will start outside  and then end up inside. So the density of the intersection is determined by the point at which your set first joins . , So one method of building an obstruction would be to take a reasonably dense subset  of , say, and take all sets that contain a set in . But this isn’t going to give a set of density  unless the sets in  are very bunched together, or else their upper shadows are very soon going to be pretty well everything. , I know this has already been discussed, but it feels as though it will be hard to come up with examples that aren’t based on heavy bias (or influence if we stick to these monotone examples, or similar). Boris had something for two layers, but what happens if we are forced to look at several layers, as we are with the slices-equal measure? It’s tempting to look at Fourier expansions, as Gil suggested in 29.</t>
  </si>
  <si>
    <t>C2102</t>
  </si>
  <si>
    <t>multiple</t>
  </si>
  <si>
    <t>448. Obstructions to Sperner., My response to both Jozsef and Terry is the same. I’m very deliberately not localizing, because I’m hoping to use a different measure in DHJ, where you choose a point by first choosing a random slice according to the uniform distribution and then choosing a random point in the slice., There are several motivations for that. First of all, it is exactly what one does when proving Sperner via random chains: you get the stronger result that you just need the sum of the densities in all the layers to be greater than 1. In a sense, it is rather artificial to go on and say that the middle layer is the largest. , Secondly, if you do this then there is a real chance that the distribution of a random point, given that it belongs to a randomly chosen combinatorial line, is not horribly different from the distribution of a random point full stop. All this I said in my comment near the end of the 300s thread. (To be precise, it’s comments 365 and 366.), Thirdly, proving DHJ for this measure is equivalent to proving it for the uniform measure, by the usual averaging trick. (I confess that I haven’t actually checked this, but it is surely true.), So when Terry says that the sets of size at least 2n/3 or at most n/3 form a ridiculously small set system, I say no they don’t: that set system has density 2/3 in the slices-equal measure.  , Similarly, when Jozsef says that a set of density  might well intersect a random chain in only , he is talking about the uniform measure. But in the equal-slices measure the density of a set is defined to be the expected density of the intersection with a random chain! , Having said all that, there may well be other objections to my proposals., Off to bed now. I look forward to plenty of reading material when I wake up …</t>
  </si>
  <si>
    <t>C2103</t>
  </si>
  <si>
    <t>412; 443</t>
  </si>
  <si>
    <t>449.  Obstructions to Sperner, Dear Tim, I’m leery of working globally because one is going to encounter things like Boris’s counterexample 412 again.  Also, while I suppose one could work with all  layers  of  as you are proposing, and even give them all equal weight, this seems very strange to me, since we know that we may without loss of generality restrict to the middle  (or more precisely ) layers, since all the other layers add up at most to a set of density  and thus can be discarded without loss of generality at the very first step (at the trifling cost of replacing the density  with )., Nevertheless, the idea of trying to work out what the consequences are of knowing that  has “low influence” in the sense that flipping one digit does not change membership in  as often as it should, looks like a promising one.  I think my own arguments in 443 say that we are done unless the influence (or something like the influence) is somewhat less than the influence of the random set, though the influence is not so low that we automatically get huge subspaces., More thoughts on this later…</t>
  </si>
  <si>
    <t>C2104</t>
  </si>
  <si>
    <t>450 DHJ(j,k), To answer Gil’s question in 438, here is what I understand DHJ(j,k) to mean:, DHJ(j,k): Every dense subset of  which has “complexity at most j” contains a combinatorial line (of length k)., Now, what does “complexity at most j” mean?  We’re still negotiating a precise definition, I think, but here was one proposal.  We can think of an element x of  as a partition of n into k sets .  Now suppose we only considered j of these sets, say the first j  – call this a j-shadow of x, so that there are  different j-shadows of x.  When j=k-1, each j-shadow of x can be used to recover x completely, but for smaller values of j, each j-shadow only gives partial information as to what x is., Now, let us call a set  sub-basic of complexity at most j if membership of a point  in  can be defined purely in terms of a single j-shadow of x (e.g. the first j sets .)  Example: the set  of all strings with exactly a 3s is a sub-basic set of complexity 1.  the set of all strings with exactly b occurrences of the substring 31 is a sub-basic set of complexity 2. , Observe that every subset of  is a sub-basic set of complexity k-1., Define a basic set of complexity at most j to be the intersection of sub-basic sets of complexity j.  Example: the set  of strings in  with a 1s, b 2s, and c 3s is a basic set of complexity 1.  (My notation here is coming from point set topology, in particular the notion of a sub-base and base of a topology.), Finally (and continuing the toplogical analogy) one could define a set of complexity j to be the union of a bounded number of basic sets of complexity j., With these conventions, DHJ(k-1,k) is the same as DHJ(k).  DHJ(1,3) is DHJ(3) specialised to those sets  of the form , where membership of a string  in  is determined entirely by the i-set of x.</t>
  </si>
  <si>
    <t>CTao_35681</t>
  </si>
  <si>
    <t>245. , Recall that there is just one pattern to fit 18 points in a cube;
the three square slices of this pattern (along any axis) are x, y and z., To fit 17 points in a cube, the only way is to remove one point from
either xyz, yzx or zxy., This makes the proof in 243. easier because the slices are formed
by removing points from, yzx zxy xyz
zxy xyz yzx
xyz yzx zxy, Now the major diagonal of the cube is yyy, and six points must be removed from that.  Four of the off-diagonal cubes must also lose points.  That leaves 152 points, which contradicts the 155 points we started with.</t>
  </si>
  <si>
    <t>C2105</t>
  </si>
  <si>
    <t>447; 413; 439</t>
  </si>
  <si>
    <t>451  01-insensitivity, One key insight in Shelah’s proof of Hales-Jewett is that if you have a colouring of 012 strings which is “01”-insensitive in the sense that flipping a 0 to a 1 or vice versa does not affect the colour of the string, then the k=3 HJ theorem collapses to the k=2 HJ theorem., In a similar spirit, if a dense subset  of  is mostly 01-insensitive in the sense that flipping a random 0 entry of a random element of  to a 1 (or flipping a random 1 entry to 0) is almost certain not to change the membership status of that string in , then (by looking at a randomly chosen medium-dimensional slice of ) we can reduce this instance of DHJ(3) to DHJ(2).   This notion of “mostly 01-insensitive” is close to Tim’s notion of “usually continuous” from 447 or the notion of “low (average) influence” we have been discussing previously, but note that it is only about 0 and 1; it doesn’t say anything about what happens if a 0 is flipped to a 2, for instance., After talking with Tim Austin a bit about how the Furstenberg-Katznelson proof proceeds, I am beginning to think that instead of just incrementing density, we may also have to increment “01-insensitivity”.  I think I can push my arguments in 413, 439 to say something along the lines of “either we have enough quasirandomness to find a combinatorial line, or else there is a little bit of 01-insensitivity present”.  By a “little bit” of insensitivity, I mean that if we take a random string x, and then flip one of the 0s of x randomly to a 1 to create a random string y, then there is a small amount of correlation (something like ) between the events  and .   I am oversimplifying here; I need a more generalised notion of insensitivity, but this is the flavour of what I think is possible., At present I don’t see how to iterate this observation (though I can imagine bringing in existing Ramsey theorems, and perhaps also multidimensional Szemeredi, to assist here), to try to increase the 01-insensitivity through repeated passage to sub-objects until we get to the point where Shelah’s observation lets us drop from k=3 to k=2.  Tim Austin tells me that this is broadly how the ergodic theory proof of DHJ proceeds; at some point I should go read that paper more thoroughly and see this for myself.</t>
  </si>
  <si>
    <t>C2106</t>
  </si>
  <si>
    <t>444, 449</t>
  </si>
  <si>
    <t>450. In #444 Tim asks what can we conclude if the average number of elements in the chain is , but the average of the square is much different from .  My hunch is that it should imply that there is a pair  such that swapping the order of  and . The intuition is that if it is not the case, then some kind of Azuma-type or isoperimetric inequality should establish concentration. This is probably very similar to what Terry suggests in #449., My experience working on forbidden subposet generalization of Sperner suggests Tim is probably right in wanting to weight everything. The reason for this is that even if we working with a few levels near the middle level, then though the vertices (=the sets) are are weighted approximately the same in all of them, the edges (=the pairs ) are weighted very differently according to the distance between the levels that contain them. The weight scales like ., The reason why weighting edges is unavoidable is that if suppose we know by density considerations that there are pairs $\latex A\subset B$ in our set family, but we want to give a bound on the number of pairs . Then the optimal bound will depend strongly on how far the levels on which the family lives are from one another., So, even if we localize to a stack of layers of size , we probably will have to weight edges anyways., Unfortunately, I cannot see anything resembling chains for .</t>
  </si>
  <si>
    <t>C2107</t>
  </si>
  <si>
    <t>Diego Lucena</t>
  </si>
  <si>
    <t>@ Andrea’s comment: “This comment could range from “I learnt about this” or “I studied that paper” to “here’s an idea that could work for what I’m doing, I’m testing it next days” or “I finally have a proof of whatever, let me write it here”.”, Well, I suppose that microblogging could work just fine in this case. Maybe creating a group at twitter and see what happens. People could just post what you’ve mentioned: “Hi, today I was wondering about this problem and…” and so on. 🙂</t>
  </si>
  <si>
    <t>C2108</t>
  </si>
  <si>
    <t>451., Boris, I think the random model I have in 439 (in which one is looking at random embeddings of  into , and then analyses correlations between elements of the resulting random subset of , rather than deal directly with the original set in ) seems to do the edge weighting you want automatically.   (It also fits well with the ergodic theory approach to these sorts of problems.), The analogue of the chains for  (or for the embedded copy of ) seem to be the strings consisting of a connected string of 1s, 0s, and 2s.  For instance we get triangles such as this one in :, 0000 0002 0022 0222 2222
1000 1002 1022 1222
1100 1102 1122
1110 1112
1111, note that every right-angled triangle with the hypotenuse on the diagonal of the above grid is a combinatorial line.  My strategy in 439 is to look at all the random embeddings of this type of picture into , and then use Cauchy-Schwarz to eliminate the role of the diagonal and only focus on the interior (in which all strings have at least one 0 in them, which sets one up for hypergraph counting lemmas).  Tim Austin tells me that this is related to the van der Corput type lemmas used in the ergodic proof of DHJ, which is an encouraging sign for me.</t>
  </si>
  <si>
    <t>CTao_35685</t>
  </si>
  <si>
    <t>246.  , Great!  I’ve updated the table again (I see that the spreadsheet was already updated, excellent).  , It would be interesting to see what the 150 lower bound example looks like in xyz notation, this may clarify what needs to be done to narrow the upper and lower bounds further.</t>
  </si>
  <si>
    <t>C2109</t>
  </si>
  <si>
    <t>428, 429, 431, 432, 411</t>
  </si>
  <si>
    <t>452.  Slices-equal weights., I’m not wedded to my suggestion of putting a different measure on  (or  for that matter) but I think the idea has enough going for it that I don’t want to drop it unless I see a truly convincing argument for doing so. And at the moment I don’t. , First of all, no argument that is given from the perspective of the uniform measure can be an argument against using a different measure. One has to step outside both. So this informal argument of Terry doesn’t persuade me:, Also, while I suppose one could work with all  layers  of  as you are proposing, and even give them all equal weight, this seems very strange to me, since we know that we may without loss of generality restrict to the middle  (or more precisely ) layers, since all the other layers add up at most to a set of density  and thus can be discarded without loss of generality at the very first step (at the trifling cost of replacing the density  with )., Of course if you are working with the uniform measure you can discard everything that isn’t near the middle, but if you are working with the slices-equal measure then you can’t. So the equal-slices measure is different, but that doesn’t make it “very strange”, any more than it’s very strange to use the uniform measure because WLOG you can restrict to a set (if you’re a slices-equal person) that keeps away from the middle layer. To summarize: no argument that basically boils down to saying that the slices-equal measure is different from the uniform measure carries any weight: it’s supposed to be different!, A more serious point raised by Terry is the general one that global arguments are vulnerable to Boris-type counterexamples. But, as discussed in 428, 429, 431, 432, it is not completely obvious that that is the case with the slices-equal measure. The reason is that then the wildcard sets become (I’m fairly sure, but must check) of linear size. What’s more, I think the standard deviation of the size of the wildcard set is linear too. So it seems to me that the phenomena that Boris was exploiting don’t arise with the slices-equal measure., I was therefore allowing myself to hope that conjecture 411 might actually be true for the slices-equal measure., However, I am still disturbed by Boris’s point that the analogue of this one level down seems to be false (since the number of  pairs in Sperner doesn’t just depend on the density). That is why I wanted to think hard about what the obstructions to uniformity are for Sperner with the slices-equal measure., I just want to add, once again, that the slices-equal measure has one very strong argument going for it, from the point of view of what is natural, which is that all (I think) the proofs of Sperner prove something about the slices-equal measure and only at the very end convert that into a statement about the uniform measure., One reason for resisting the slices-equal measure is that it is less symmetric than the uniform measure. However, the formulations of Sperner/DHJ are not symmetric either, or rather the symmetries they do have are also symmetries of the slices-equal measure., Another argument for its naturalness is that it seems rather strange to look only for lines with very small wildcard sets, when almost all lines have linear-sized wildcard sets. With the uniform measure, this is forced, but that is because of the unfortunate fact that the measure of a typical point on a typical line is radically different from the measure of a typical point. Note that this is an argument for the unnaturalness of the uniform measure that is taken from an external perspective: we would like a measure that doesn’t get completely distorted when you condition on belonging to a random combinatorial line, we then look at the two measures, and we find that the slices-equal measure does better in that respect., I’m not at all dismissing Terry’s very interesting suggestions for dealing with things locally. It’s more that I would love to do something global if it turned out to be possible, so I’d like to invite people to attempt to find reasons for its not being possible. For example, if there is an obstruction to uniformity that’s not of type 411 then I may well be forced to abandon my hopes of a global argument. If no such reason is forthcoming, then I think we should keep global arguments in play., If it turns out that the only obstructions to Sperner (in the slices-equal set-up) are ones that depend on a tiny number of variables, then we might be lucky and find that Conjecture 411 is true. At first that seems strange, when it’s false one level down. But the point is that the assumption of disjointness that we have all over the place concerns pairs of sets, at whatever level one is, so it could be that Sperner is exceptional because it occurs at a level below the level of the disjointness restriction. In other words, examples that depend on just a few variables affect you at all levels, but when you get to DHJ they can be absorbed into Conjecture 411, whereas for Sperner they can’t., This is, as usual, an optimistic suggestion, and as usual I welcome a cold blast of realism if anyone can supply it.</t>
  </si>
  <si>
    <t>CTao_35689</t>
  </si>
  <si>
    <t>247. Let us look at the set of 150
points which form the lower
bound for c_5
It would consist of all points whose sum is not zero mod 3 with
all points with 5 coordinates equal to 1 or or all 5 points equal to 2 removed
combined with removal of all points
with one coordinate equal to 3 and the rest equal to
1 and the removal of all points with one coordinate
equal to 3 and the rest equal to 2, This gives the following
17 17 18
18 14 17
14 18 17, which gives let u equal x with one point removed
v = y with one point removed
and t =z with one point removed
uyz xvz xyz
xyz ??? xvz
??? xyz uyz
Note we have chosen three coordinates to be within
the cube and two other to determine
the position of the cube within the square
coordinates go from
one to three from left to right
and one to three upwards
xyz are squares determined
by one of the coordinates of the
cube. x (or any letter in the leftmost position)
corresponds to the
the square with coordinate equal
to one the letters in the next two positions correspond
to the squares with the coordinate equal to 2 and 3.
The question marks are for the cubes with 14 points. Are there problems with
having all the cubes having a value that is close to 18?
Is there a set of points having no combinatorial lines
with 5 coordinates varying from 1 to 3 such
that all of the cubes have value 17 or 18?</t>
  </si>
  <si>
    <t>CTao_35690</t>
  </si>
  <si>
    <t>fix conventions</t>
  </si>
  <si>
    <t>248. Conventions for xyz notation, I think it will be helpful to fix the conventions for the xyz notation.  If we use Cartesian coordinates , 13 23 33
12 22 32
11 21 31, to parameterise , then (if I understand Michael’s posts correctly), x is the six-element set, * _ *
* * _
_ * *, (where * denotes elements of x and _ denotes non-elements), y is the six-element set, _ * *
* _ *
* * _, and z is the six-element set, * * _
_ * *
* _ *, and xyz is the unique 18-element line-free set in  (with the convention that abc is the set whose first slice is a, second slice is b, and third slice is c)., Michael, does this match your conventions?, Also, when you say “to fit 17 points on the cube, the only way is to remove one point from xyz, yzx, or zxy”, are there some restrictions on what point one can remove?  Clearly one can remove any point one wishes from xyz, but there seems to be more constraints for yzx and zxy.</t>
  </si>
  <si>
    <t>CTao_35691</t>
  </si>
  <si>
    <t>249.  A hyper-optimistic conjecture from 400-499, Over at the 400-499 thread, Gil Kalai.455 and Tim Gowers.459 have proposed a “hyper-optimistic” conjecture, and asked whether it could be falsified using the examples from this thread.  Let me rephrase it as follows.  Given a set , define the weighted size  of A by the formula, , thus each slice  has weighted size 1 (and we have been referring to  as “slices-equal measure” for this reason), and the whole cube  has weighted size equal to the  triangular number, ., Example: in , the diagonal points 11, 22, 33 each have weighted size 1, whereas the other six off-diagonal points have weighted size 1/2.  The total weighted size of  is 6., Let  be the largest weighted size of a line-free set.  For instance, , , and ., As in the unweighted case, every time we find a subset B of the grid  without equilateral triangles, it gives a line-free set .  The weighted size of this set is precisely the cardinality of B.  Thus we have the lower bound , where  is the largest size of equilateral triangles in ., Hyper-optimistic conjecture: We in fact have .  In other words, to get the optimal weighted size for a line-free set, one should take a set which is a union of slices ., This conjecture, if true, will imply the DHJ theorem (see the 400-499 discussion for details).  Note also that all our best lower bounds for the unweighted problem to date have been unions of slices.    Also, the k=2 analogue of the conjecture is true, and is known as the LYM inequality (in fact, for k=2 we have  for all n)., If the conjecture is false, then perhaps this will be visible by computing upper and lower bounds for  for small n.  By hand I can check that  for n=0,1,2… but perhaps with all the above progress we can also get good bounds for n=3,4,5?</t>
  </si>
  <si>
    <t>C2110</t>
  </si>
  <si>
    <t>453. (Clarification to 452) In particular, do you conjecture that a dense set in the slices-equal measure must contains a combinatorial line? This is stronger than DHJ, right? (Can you prove it as a consequence of DHJ?), (Just to make sure I understood correctly: slice equal measure is this: you give equal weight to all solutions of a+b+c =n and then splt this weight uniforly for all sequences of a ‘0’s b 1’1s and c ‘2’s. Indeed this natural measure appears in various places.)</t>
  </si>
  <si>
    <t>C2111</t>
  </si>
  <si>
    <t>named threads</t>
  </si>
  <si>
    <t>Perhaps an optimal way to do this is as follows: Have just two threads “background” and “forground”. “Forground” should represent the major avenue (s) in attacking the problem, and “background” should encourage related ideas, problems (and also amusing anekdotes, etc). From time to time each of these threads should be refreshed, with some summary and glossary (mainly because when they are too long the tex-ing takes ages) and the moderator can bring attention of people in the foreground thread to possibly relevant suggestions in the background one. It is useful to have a main thread reflecting the most promising and active effort and also to allow for wider contributions, but keeping more than two threads alive seems very difficult.</t>
  </si>
  <si>
    <t>C2113</t>
  </si>
  <si>
    <t>454. Re Sperner., It was suggested in #446 to pick a random , form  by taking a random “upwards” walk of length , and then look at the random variable , where  has density .  Although the ‘s are not uniformly distributed, they are very close to being so, since  is small.  Hence the expectation of  should be very nearly ., Consider the case that  is a monotone subset (“up-set”).  Then  will be very nonconcentrated.  Indeed, conditioned on  (probability ), so are all the ‘s.  I.e., in this case,  is  with probability  and therefore nearly  with probability ., On the other hand, it’s not clear that this is an immediate problem for the plan; in #439, one may well be even happier to have  with  probability.</t>
  </si>
  <si>
    <t>C2114</t>
  </si>
  <si>
    <t>proposed statement</t>
  </si>
  <si>
    <t>455. If we want a ridicously-hyper-optimistic statement extending LYM to 3-letters alphabet we can take this: Consider all blocks  of slices  not containing a combinatorial line. Let  be a subset of  without a combinatorial line, then the sum of densities of  in some weighted collections of blocks which form a fractional covering of  is at most 1.</t>
  </si>
  <si>
    <t>C2115</t>
  </si>
  <si>
    <t>456. There is another finer notion of slices which may be a righter extensions from the k=2 case. Here you grade the elements of  according to words in ‘0’ and ‘1’ that you obtain by arasing the ‘2’s. It would be nice to see (estimate) what is the maximum size of unions of such fine slices without a combinatorial line.</t>
  </si>
  <si>
    <t>C2116</t>
  </si>
  <si>
    <t>might not be an essential difference here</t>
  </si>
  <si>
    <t>457.  Slices-equal measure, It occurs to me that there may in fact be essentially no difference of opinion between Tim’s “global, slices-equal measure” viewpoint and my “local, uniform-measure” viewpoint, because in order to get from a slices-equal measure DHJ to a uniform measure DHJ, one has to average on local subspaces anyway.   (Note that one can easily construct sets of large uniform measure with small slices-equal measure, e.g. the strings  with  1s, and conversely, so localisation is necessary here.)</t>
  </si>
  <si>
    <t>CTao_35694</t>
  </si>
  <si>
    <t>250. A hyper-optimistic conjecture, Could someone clarify the definition of ?, As far as generalizations of LYM go, let , and suppose  for all line-free .  Then Michael’s examples seem to suggest  grows quickly – as opposed to  in LYM – so, intuitively, how do we hope for something like LYM?, I don’t think this is exactly what’s needed, but we do have  where  is the percent of lines passing through any single element of .</t>
  </si>
  <si>
    <t>CTao_35697</t>
  </si>
  <si>
    <t>251.  A hyper-optimistic conjecture, One can define  in two equivalent ways.  One of them is that it is the largest weighted size  of a line-free set  which is the union of slices .  (This is in contrast to , which is the largest weighted size of any line-free set, not necessarily the union of slices.), Another equivalent definition is that   is the largest subset of the triangular grid  which contain no equilateral triangles.    For instance, by deleting the two points (0,0,2) and (1,1,0) from  one removes all triangles, whereas removing one point is not enough, and so ., As for your second question, I don’t think we have yet a strategy for this, but one could imagine some sort of extremal combinatorics argument by showing that a line-free set which is not a union of slices can be “improved” to increase its weighted size, without losing the line-free property.  Showing this rigorously, though, would be, well, hyper-optimistic., (Incidentally, what you call f(n) would be what I would call an upper bound for .)</t>
  </si>
  <si>
    <t>C2117</t>
  </si>
  <si>
    <t>458.  Sorry for the double-post above. Now sorted out — Tim. I guess it was already clear from the first para of Terry’s #451 that if  is, say, “01-monotone”, meaning that changing a 1 to a 0 cannot take you out of , then DHJ holds for , and even with the lower density $\latex \approx 1/\sqrt{n}$ of Sperner.  This already covers a number of my previous obstruction examples; e.g., having runs of 0’s or having plurality digit 0.</t>
  </si>
  <si>
    <t>C2119</t>
  </si>
  <si>
    <t>459.  Slices-equal measure, Terry, I was going to say something similar. It seems to me that localization and slices-equal measure are different ways of forcing typical lines to contain typical points. But the difference is more of a technical one than a fundamental one. I am hoping that slices-equal measure will turn out to be technically rather convenient, but I haven’t done enough calculations with it to be certain that it will be., Gil, I’m pretty sure that DHJ for the slices-equal measure is an easy consequence of DHJ, and vice versa. Here’s a sketch of how to prove that DHJ for any reasonably continuous measure (meaning that the weight of a point is usually very similar to the weight of a neighbouring point) is equivalent to the usual DHJ. You just pick some  such that  and pick a random subspace by randomly fixing  coordinates and letting the remaining  vary. Suppose  has density  in measure 1. Then the average density in one of these subspaces is roughly . Moreover, by hypothesis the measure in almost all of the subspaces is almost uniform, so we can apply the normal DHJ to get it for the funny measure. And in the reverse direction, if we regard each tiny subspace as a copy of  and apply the funny measure to it, then the average of all these funny measures will be roughly uniform, so once again we can find a subspace where  is dense with respect to the funny measure. (Note that I needed continuity of the funny measure only in one direction of this equivalence.), Gil, I’m not sure I understand your hyper-optimistic conjecture, but let me give one of my own. Apologies if it’s the same. Let  be the minimal density that guarantees a non-trivial aligned equilateral triangle in the set of non-negative (a,b,c) such that a+b+c=n. Then if the slices-equal measure of A is greater than , A must contain a combinatorial line. This conjecture, if true, is trivially best possible since a corner-free union of slices contains no combinatorial line. It is also a direct generalization of Sperner. I wonder if there’s some simple way of seeing that it is false.</t>
  </si>
  <si>
    <t>C2120</t>
  </si>
  <si>
    <t>460. The ergodic perspective, I think I now see more clearly the way to put my approach and Tim’s approach on a common footing, and that is using the lessons drawn from the ergodic theory approach to density Ramsey problems that proceeds via the Furstenberg correspondence principle.  , Now before everyone runs away screaming, let me try to explain the Furstenberg philosophy without actually using the words “ergodic”, “limit”, “infinite”, or “measure space” (though I will need “random” as a substitute for “measure space”)., In a nutshell, the philosophy is this:, * Study a global dense object by looking at a random local suboject.  This trades a globally dense deterministic object  for a pointwise dense random object .  Furthermore, this random object obeys various symmetry (or more precisely, stationarity) properties., So, one gets much more structure on the object  being studied, provided that one lets go of the idea of thinking of this object deterministically, and instead embracing its random nature., Let me give some concrete examples of this philosophy.  Firstly, Roth’s theorem in , with N assumed prime for simplicity.  To locate length three progressions in a set , what one can do is pick a medium size number m, and look at a random arithmetic progression  of length m in .  One can then pull back the deterministic set A by this progression to create a random subset  of .  If we can find a progression of length 3 in A’ with positive probability, then we get a progression of length 3 in A (in fact, we get lots of such progressions; this is essentially the proof of Varnavides theorem).  , The original deterministic set A had global density .  Because of this, the random set A’ has a better property: it has a pointwise density , in the sense that every j in m belongs to A’ with probability .  From linearity of expectation this implies that the expected density of A’ with respect to uniform measure of m is , but it is far stronger – indeed, it implies that the expected density of A’ with respect to any probability measure on m is ., Similarly, the deterministic set A has no symmetry properties: A+1, for instance, may well be a completely different set from A.  However, the random set A’ has an important symmetry property: the random set A’+1, while being different from A’, has the same probability distribution as A’ (ignoring some trivial issues at the boundary of m; in practice one eliminates this by taking the limit ).  In the language of probability theory, we say that the probability distribution of A’ is stationary; in the language of ergodic theory, we say that the transformation  is a measure-preserving transformation with respect to the probability distribution  of A’., Now, we know that the events , ,  each occur with probability .  If they were independent, then we would have  with probability  and we would get Roth’s theorem.  But of course they could be correlated – but one can try to quantify this correlation by a variety of tools, e.g. using the spectral theory of the measure-preserving transformation T (this is the analogue of using Fourier analysis in the original combinatorial setting).  This is the starting point for the ergodic theory method for solving density Ramsey theory problems., Now we return to Hales-Jewett.  Similarly to above, if we wish to study a  subset  of  which has density  wrt uniform measure, we can take a random m-dimensional subspace of  (where I will be a little vague for now as to exactly what “random” means; there are a variety of options here) and pull back the deterministic  to get a random subset  of .  Again, finding lines in  will generate lines in  (and there will be an appropriate Varnavides statement).
Also as before, the global density of  ensures that the random subset  has pointwise density very close to  (there is a slight distortion here, as pointed out in Ryan.454, but it is minor).  Thus, the expected density of  with respect to any particular measure on  – be it uniform, slices-equal, or anything else – is basically ., It is at this point that the three approaches to the problem (ergodic approach, Tim’s approach, and my approach) begin to diverge., The ergodic theory approach would then proceed by studying correlations between events such as “, , .  If these events are independent, we are done; otherwise, we hope to discern some usable structural information on  out of this.  The original set  is not used at all in the ergodic theory approach; it’s only legacies are the pointwise density and stationary properties it bestows on ., Tim’s approach is proceeding by using the first moment method to locate a specific deterministic instance of  which is dense wrt slices-equal measure, and then proceeding from there.  As with the ergodic theory method, the original set  (which was dense in the uniform measure, rather than slices-equal) is now discarded, and one is now working entirely with the slices-equal-dense .  As I understand it, Tim is then trying to show that lack of combinatorial lines in  will force some new structure on ., My approach starts off similarly to the ergodic theory approach – studying correlations between events such as  – but the difference is that once a correlation is detected, I try to see what this tells me about the original set , in particular to show that it has some “low-influence”, “insensitivity”, “mostly continuous”, or “monotone” like properties.  I have a vague idea of trying to iterate this procedure until we have enough structure on  to either pass to a denser subspace or find combinatorial lines directly, but I have not worked this part out yet.</t>
  </si>
  <si>
    <t>C2121</t>
  </si>
  <si>
    <t>451, 460</t>
  </si>
  <si>
    <t>461.  Ergodic perspective cont., Perhaps one more remark to illustrate the connection between my approach and Tim’s approach.  For sake of illustration I will take m=4, since I can then use the triangular grid  from 451., The construction in 460 gives a random subset  of , with pointwise density essentially .  In particular, the equal-slices density of  in  has expectation about , and similarly the uniform density of  on  has expectation about ., But because a permutation of a cube is still a cube, we see that applying any of the 4! permutations of the indices to  will give a new random set with the same probability distribution as ; thus  is stationary with respect to the action of  on ., But observe that equal-slices measure is nothing more than the uniform measure on  averaged by the action of  ( intersects each slice in exactly one point).  So the expected density of  wrt equal slices measure is necessarily equal to the expected density of  wrt uniform measure .  But the fact that both of these densities are  is weaker than the statement that the pointwise density of  is , which is what I think we should be using.</t>
  </si>
  <si>
    <t>CTao_35702</t>
  </si>
  <si>
    <t>Tao_3</t>
  </si>
  <si>
    <t>initial impressions</t>
  </si>
  <si>
    <t>600. Initial impressions of paper #1, Paper #1 outlines a proof of DHJ(3): given any , that any subset A of  of density at least  contains a combinatorial line if n is sufficiently large depending on .  (The paper refers to combinatorial lines as “HJ sequences”, and  as , but I am translating to be more compatible with the notation already used in other threads.) It proceeds by first reducing the problem to one concerning a family of measurable sets on a probability space, indexed by words, and for which there is a family of (non-commuting!) measure-preserving transformations relating these sets to each other.  This reduction is performed in Proposition 3.1., A key point in this reduction is that a certain “stationarity” property is obtained on this family of sets.  To obtain this stationarity, one needs a version of the Carlson-Simpson theorem, which seems to be an infinitary strengthening of the colouring Hales-Jewett theorem.  (It looks vaguely reminiscent of Hindman’s theorem; presumably there is a relation.), With the above reductions, the game is now to show that a certain triple intersection of three sets has positive measure (Theorem B).  This is not actually done in paper #1, but is covered in #2 or #3.  In #1, the simpler (but still non-trivial) result is shown that all pairwise intersections of the three sets can simultaneously have positive measure (Theorem 4.1).  (It would be interesting to see what the combinatorial analogue of this weaker statement is.  Getting just one of the pairs to have positive measure sounds similar to the “DHJ(2.5)” I formulated in my comment 130, which turns out to be equivalent to DHJ(2) and thus an easy consequence of Sperner’s theorem.), The proof of Theorem 4.1 is established from some soft functional analysis results about IP-systems of unitary operators in Section 5., In Section 6, there is a discussion of what is needed to establish the full strength of Theorem B, and I guess this is completed in #2., My initial plan is to go to Section 3 and start understanding the equivalence between the combinatorial problem and the ergodic theory one.  There seems to be several stages to this equivalence; a relatively easy correspondence between a combinatorial problem and an ergodic problem without stationarity, and then the reduction to the stationary case which requires the Carlson-Simpson type theorems.</t>
  </si>
  <si>
    <t>C2122</t>
  </si>
  <si>
    <t>make a taxonomy</t>
  </si>
  <si>
    <t>460. Taxonomy of slices, This is more a general-organization comment, but at some point could we get together a “taxonomy of slices”? I’m starting to lose track of all the different methods people are proposing., I believe it also might be helpful to apply the slices side-by-side to a single example to get an impression of how the sets are different.</t>
  </si>
  <si>
    <t>C2123</t>
  </si>
  <si>
    <t>462.  Ergodic perspective., Terry, thanks for that useful summary. I think it’s helped me to understand the ergodic side of things better. Let me test that, chiefly for my own benefit, by trying to put part of it in my own words. The idea would be that you take a random copy of  in  and intersect it with . If you do that, then instead of a function from  to  you’ve got a Bernoulli random variable at each point of , which is 1 with probability  (the density of ) and 0 with probability . , At first it seems as though one has gained precisely nothing by doing this. For example, here’s a way of obtaining some random variables: you take a dense set , and for each permutation  of  you let  be the set of sequences you get by taking a sequence in  and using  to permute its coordinates. Then the probability that the random set  contains a combinatorial line is trivially the same as the probability that  contains a combinatorial line (and moreover the expectation of the characteristic function of  is ). , However, the point is that if you know that the random set  comes from random restrictions of a much larger set , then you will be very surprised if with probability 1 it is always obtained from some fixed set by a simple permutation of the coordinates. A phenomenon like that would have the potential to show that  has some very strange and exploitable structure. More generally, if the elements of the random set exhibit significant dependences, this should come from structure in , and if they are independent then as you point out you get a combinatorial line., If that sketch is not too wide of the mark, then I see that extreme localization of the kind you propose does potentially give you quite a lot of extra resources. And given that the ergodic-theory proof is known to work it is always encouraging if one’s argument has formal similarities with it. My feeling about slices-equal is that it’s a bit of a long shot, but it might be possible to get away without that extra power and obtain a stronger result as a consequence. But if that doesn’t work out, then we know that we’ve got localization to fall back on. Or we could have two parallel threads, one exploring a global approach and one a local approach. This one is already getting to the point where it takes a boring amount of time to load on to my computer, and the 300s thread seems to have come to a standstill for now., Incidentally, it occurs to me that we as a collective are doing what I as an individual mathematician do all the time: have an idea that leads to an interesting avenue to explore, get diverted by some temporarily more exciting idea, and forget about the first one. I think we should probably go through the various threads and collect together all the unsolved questions we can find (even if they are vague ones like, “Can an approach of the following kind work?”) and write them up in a single post. If this were a more massive collaboration, then we could work on the various questions in parallel, and update the post if they got answered, or reformulated, or if new questions arose.</t>
  </si>
  <si>
    <t>C2124</t>
  </si>
  <si>
    <t>Randall</t>
  </si>
  <si>
    <t>looking for alternate proof</t>
  </si>
  <si>
    <t>463. Speaking of ergodic theory:, If anyone’s interested in reading the ergodic
proof for k=3, we’ve been discussing it in seminar
in Memphis; the proof can be found on my webpage.
(You need the 1989 paper of Furstenberg and Katznelson,
in which the proof is set up but not given, too; that’s
on Katznelson’s webpage.) It’s far less intimidating
than the general proof as given in their 1991 paper., Is there a proof (of the kind you guys are looking for)
of the IP Szemeredi theorem for k=3? That would seem
to be logically prior.</t>
  </si>
  <si>
    <t>CTao_35705</t>
  </si>
  <si>
    <t>252. Hyper-optimist conjecture, Am I understanding this right?, Minimal deletion for  removes (0,3,0) (0,2,1) (2,1,0) (1,0,2), leaving 6 points. So ?</t>
  </si>
  <si>
    <t>C2125</t>
  </si>
  <si>
    <t>464. Varnavides., Something I’ve been meaning to do for quite a while is prove, or at least sketch a proof, that a Varnavides-type statement holds for the slices-equal measure. I don’t think it’s going to be hard, but I want to check it to be sure. (It is supposed to be another argument in favour of slices-equal, though I can see that the local approach gives a local Varnavides statement, so it’s not an argument that slices-equal is more natural than localization, but it is an argument that slices-equal is more natural than a global uniform approach.), Let , and let  be large enough that every subset of  of density at least  contains a combinatorial line. (Here,  is a constant to be chosen later.) Now choose a small constant  (depending on ) and embed  randomly into  as follows. First pick  integers  independently, randomly and uniformly from . Next, randomly pick disjoint sets , with . Finally, randomly assign 1s, 2s and 3s to the complement of the union of the . Sorry, I don’t mean that. I mean that you randomly choose  and then you randomly assign  1s,  2s and  3s to the coordinates in the complement of the union of the . And now define a -dimensional combinatorial subspace by fixing the coordinates outside the  according to the random assignment of 1s, 2s and 3s, and taking all possible  assignments to the rest of the coordinates that are constant on the . (Since  is constant, I don’t think it matters if one does this uniformly, but I would prefer to do even this in a slices-equal way. That is, I choose  randomly and then I randomly choose  of the sets  to get a 1, etc.), There are a few statements that I don’t immediately see how to argue for without going away and doing calculations. I claim that there is some constant  such that the proportion of copies that intersect  in a density of at least  is at least . I also claim that no combinatorial line is significantly more likely than average to belong to a copy. And from that I claim that a double-count gives that a random combinatorial line has a probability depending on  only of belonging to ., I might try to think about justifying those statements a bit better.</t>
  </si>
  <si>
    <t>CTao_35707</t>
  </si>
  <si>
    <t>253.  , Well, that certainly makes the set triangle-free, so .  If you know that you cannot make  triangle-free by removing only three points, then yes,  would equal 6.</t>
  </si>
  <si>
    <t>C2126</t>
  </si>
  <si>
    <t>is there an example?</t>
  </si>
  <si>
    <t>465. Hyper-optimistic conjecture, Terry, re last paragraph of 459, it occurs to me that with your upper-and-lower-bounds thread you may already know that the hyper-optimistic conjecture is false. Do you know of any example that beats the best example that’s constant on slices?</t>
  </si>
  <si>
    <t>CTao_35708</t>
  </si>
  <si>
    <t>proposition of papers</t>
  </si>
  <si>
    <t>601.  Proposition 3.1, Proposition 3.1 of paper #1 equates the combinatorial statement DHJ(3) with various more ergodic-flavoured versions of the same statement.  There are three main statements in this equivalence, (a), (b), and (c).  (There are also minor variants (a*), (b*), (c*) of (a), (b), and (c), but I think we won’t need to focus on them too much.), DHJ(3)(a) is the combinatorial version of DHJ(3), i.e. for any  and for n sufficiently large depending on , every subset of  of density at least  contains a combinatorial line., DHJ(3)(b) is a preliminary ergodic version of DHJ(3).  Define a -system to be a collection of subsets  in some probability space , indexed by strings in ., DHJ(3)(b): If  and n is sufficiently large depending on , and  is a -system with all sets  having measure  greater than or equal to , then there exists a combinatorial line  such that .), This can be stated in a probabilistic language: if A is a random subset of  with the property that each element w of  belongs to A with probability at least , then with positive probability, A contains a combinatorial line.  (Indeed, just take A to be the set of those  for which  holds.), To deduce DHJ(3)(b) from DHJ(3)(a), observe from linearity of expectation that the expected density of A is at least , and so A has density at least  (say) with positive probability., To deduce DHJ(3)(a) from DHJ(3)(b), one can use random averaging arguments (as discussed for instance in comment 460).  Paper #1 uses a somewhat different derivation of this implication which I will skip here.  To recap that argument briefly: we pick a medium integer m between 1 and n, and pick a random m-dimensional subspace inside .  Pulling back the dense subset A of  to , we get a random subset A’ of  with each point lying in A’ with probability at least  (say), if n is large enough depending on m.  The claim then follows., DHJ(3)(c) is DHJ(3)(b) with an additional stationarity hypothesis thrown in, and will be discussed subsequently.</t>
  </si>
  <si>
    <t>CTao_35709</t>
  </si>
  <si>
    <t>won't work</t>
  </si>
  <si>
    <t>254. Proof  cannot be triangle free removing only 3 points, Yes, with only three removals each of these (non-overlapping) triangles must have one removal:
set A: (0,3,0) (0,2,1) (1,2,0)
set B: (0,1,2) (0,0,3) (1,0,2)
set C: (2,1,0) (2,0,1) (3,0,0), Consider choices from set A:
(0,3,0) leaves triangle (0,2,1) (1,2,0) (1,1,1)
(0,2,1) forces a second removal at (2,1,0) otherwise there is triangle at (1,2,0) (1,1,1) (2,1,0) but then none of the choices for third removal work
(1,2,0) is symmetrical with (0,2,1)</t>
  </si>
  <si>
    <t>C2128</t>
  </si>
  <si>
    <t>Randall?</t>
  </si>
  <si>
    <t>notes, active v. discarded threads</t>
  </si>
  <si>
    <t>466.  Various, Randall, thanks for the pointer to your notes (which, incidentally, are at http://www.msci.memphis.edu/~randall/preprints/HJk3.pdf ).  I will try to digest them., It looks like it is indeed soon time to close this thread and open some new ones.  I can host a thread on ergodic-flavoured combinatorial approaches, focusing on my localisation approach and also on trying to explicate the Furstenberg-Katznelson proof of DHJ (I am imagining some internet version of a “reading seminar”).  Then I guess Tim could try to summarise the other main active thread (based on obstructions to Sperner, etc.; my approach, incidentally, doesn’t seem to directly need to understand Sperner obstructions, though it does need to understand the closely related concept of low influence)., I will also try to translate the hyper-optimistic conjectures 455, 459 to something that the 200-299 thread can chew on.  Gil, can you explain your conjecture in 455 in more detail?  I’m afraid I didn’t really get it (e.g. I don’t know what a “block” or a “fractional covering” is)., As for all the “background” of discarded questions (e.g. the IP-Szemeredi thing Randall mentioned was already brought up all the way back in Jozsef’s comment 2)… here I think this is a job that requires more manpower than we have right now, since the “foreground” threads are already keeping all of us very busy.  It also feels like this stuff would be better placed in something like a wiki than in a blog thread.  I would say for now that we just continue the “active” threads for now and leave the trawling through the remainder for a later point in time if our current active threads get stuck.</t>
  </si>
  <si>
    <t>C2129</t>
  </si>
  <si>
    <t>google doc</t>
  </si>
  <si>
    <t>467.  Various cont., Actually, what I might do is set up a Google Document to hold random threads, questions, etc. that can be collaboratively edited.  This has worked pretty well for the 200-299 thread so far., Here’s one little tidbit from that thread which might be useful here.  Currently, the best  for which we can combinatorially prove DHJ(3) is 0.633.  Thus, for instance, we don’t know without ergodic theory that if one takes 60% of  for large n, that one gets a combinatorial line.  So, if one wants to play with a quantitative value of delta: take 0.6., We also have an example of a subset of  of density &gt;1/3 that still has no combinatorial line.  So even with moderately enormous dimension, it is not possible to handle delta=1/3.</t>
  </si>
  <si>
    <t>C2131</t>
  </si>
  <si>
    <t>468.  Ergodic perspective, Re Tim’s 462: yes, this is one way of thinking about the ergodic perspective, as providing a inter-related (and presumably correlated) network of Bernoulli random variables (aka “events”), and the game is to get enough control on how these events overlap each other that one can eventually find a line of three events which are simultaneously satisfied with positive probability.  , By the way, another distinction between the three approaches lies in the range of m to pick, a point which has already been alluded to by Tim (when referring to my approach as  “extreme localization”).  In my approach I am picking  to just depend on  (in fact I think I may be able to take a very concrete m, e.g. ).  In the ergodic approach,  is a very slowly growing function of n (so in the limit, m is infinite).  For Tim’s approach, one can take m close to  (or anything smaller, so long as it is still sufficiently large depending on ).</t>
  </si>
  <si>
    <t>C2132</t>
  </si>
  <si>
    <t>469. IP Roth:, Just to be clear on the formulation I had in mind (with apologies for the unprocessed code) now processed — Tim: for every  there is an  such that any  having relative density at least  contains a corner of the form . Here  is the coordinate basis for , i.e. . , Presumably, this should be (perhaps much) simpler than DHJ, k=3.</t>
  </si>
  <si>
    <t>C2133</t>
  </si>
  <si>
    <t>469.  Hyper-optimistic conjecture, Ah, I see now that Gil’s conjecture is a weakening of Tim’s conjecture in which one takes a different measure on the space of slices than the uniform measure.  As Tim’s is more concrete, that’s the one I’ve posted on the 200-299 thread to be tested for small n.</t>
  </si>
  <si>
    <t>C2134</t>
  </si>
  <si>
    <t>470. Google document, OK, I’ve set up a repository for unsolved questions for Polymath1 at, http://docs.google.com/Doc?id=dhs78pth_15dfw8jhz4, Unlike the spreadsheet over at 200-299, I can’t make this editable by the general public (I suppose there are security risks in documents that are not present in spreadsheets), but I’ll add Tim as a “collaborator”, and anyone else who asks can have permission to edit it also.</t>
  </si>
  <si>
    <t>C2135</t>
  </si>
  <si>
    <t>471. Re Terry’s strategy (#439)., Hi Terry, could you help me understand the strategy a bit in the case that  is, say, the set of strings in  whose 0-count is congruent to 0 mod ?  (Assume  is an integer.), I’m worried about the first concentration of measure statement.  Or does this set already have some exploitable blatant structure — perhaps being a 1-sub-basic complexity set?, Thanks!</t>
  </si>
  <si>
    <t>C2136</t>
  </si>
  <si>
    <t>439; C2135</t>
  </si>
  <si>
    <t>472.  Terry’s strategy 439, It’s true, the first concentration of measure statement breaks down; either all the  lie in  (when the number of 0s in x is equal to m mod ) or none of them do.  , But it turns out we don’t really need that particular concentration, it’s enough to have a lot of  in  with positive probability, which is true from the first moment method., A more necessary concentration of measure is the assertion that the density of  that lie in  is close to .  In this particular case, this is true: the set of pairs  with  is given by , where c is some constant depending on m and x.  , The second moment method tells us that we can get some concentration of measure (enough for our purposes, in fact) as soon as we have small pairwise correlations between the events , which are the events that .  Now, in your example, there are extreme pair anti-correlations: for instance,  and  are never simultaneously true.  To put it another way, if we take an element in  and flip a 0 to 1, we always leave  as a consequence.  , This is certainly some sort of structure.  But can we exploit it?  Well, one thing I was thinking of is that in the setup in 439, the m different generators  of the embedded m-dimensional cube are just single basis vectors; to put it another way, I’m playing with a string with m distinct wildcards, with each wildcard being used exactly once.  But one could instead have each of the m wildcards appear r times (or a Poisson number of times, or whatever), e.g. picking  at random and defining, ., Then the correlation between, say,  and  relates to what happens when one flips r 0s to 1s, rather than just a single 0 to 1.  This continues to be negatively correlated until r hits  (or a multiple thereof), at which point the correlation shoots up to be massively positive and in fact we find an abundance of combinatorial lines., So we probably have to average over the “dilation” scale r rather than just set it equal to 1 as is done currently.  (Much like with the corners problem: it’s not enough to look for corners of size 1, or any other fixed size, but we must average over the length r of the corner.  Actually, one should probably let each of the m wildcard symbols appear a different number of times, e.g. assign a Poisson process to each.)  In the current example, averaging r over any range significantly larger than  will eliminate pair correlations.  In fact, if one allows each wildcard symbol to have an independent number of occurrences, triple correlations such as between  and  also seem to vanish, which incidentally yields combinatorial lines already (since  form a line).</t>
  </si>
  <si>
    <t>C2137</t>
  </si>
  <si>
    <t>multiple threads</t>
  </si>
  <si>
    <t>Metacomment., Just briefly on the subject of new threads, I’m not completely convinced that the multiple-threads idea has worked. Or rather I think it has partially worked. It seems that the upper-and-lower bounds thread was sufficiently separate that it has thrived on its own. But the experience of the other two threads was that once the 400 thread was opened the 300 thread died pretty rapidly. (Actually, at some point I wouldn’t mind revisiting it, but that’s not my main point.) So in effect we’ve just had one linear thread, but at any given moment we’ve been reasonably focused and not had too many different discussions going on at once. , As a result, I’m not sure that splitting up into a global thread and a local thread is a good idea. I think that many of the ideas for one approach are likely to be relevant to the other, and I also think it is possible for the two discussions to coexist. I think the one thing I might suggest (but I’d be interested in other people’s opinion on this and everything else) is that we should restrict the number of comments further. An advantage of the multiple threads was that we had multiple summaries: I think it would be quite good to be forced to summarize more often. Also, a number of people have commented that it is difficult to catch up with the discussion if you come to it late. We should try to start each thread in a way that makes it as self-contained as possible. (I think it is legitimate to expect people to read the posts, but we should try not to force them to wade through hundreds of comments.)</t>
  </si>
  <si>
    <t>CTao_35712</t>
  </si>
  <si>
    <t>CTao_35689; 245; 248</t>
  </si>
  <si>
    <t>255., Krystal.247: I think my 245 shows that, if all the cubes
have 17 or 18 points, then you have to delete ten points from
a full 9×18 pattern of xs, ys and zs.  That leaves 152 points,
which is less than 9*17.  So at least one cube has to have
16 or fewer points., Another pattern of 150 points is this: Take the 450 points
in  which are  and permutations,
then select the 150 whose final coordinate is 1.  That gives
this many points in each cube:, 17 18 17
17 17 18
12 17 17, Terry.248: Yes, that matches what I meant by x,y and z;
yzx and zxy have a full line on the cube’s major diagonal
so you have to remove one of those three points to leave
a valid seventeen points.</t>
  </si>
  <si>
    <t>C2139</t>
  </si>
  <si>
    <t>473. Obstructions., Something I want to think about, but won’t be able to think about tonight as I’m going to have to stop this soon, is whether it is possible to put together a lot of local obstructions to get a global one. What I mean is this. Let us regard a point in  as a pair of disjoint sets (A,B) (which are the 1-set and 2-set of a sequence). Suppose that an argument of the Cartesian semi-products variety (see Terry 413) can be used to prove that for a large number of sets H (in the slices-equal measure) you get unexpectedly many 4-cycles, by which I mean quadruples (A,B), (A,B’), (A’,B’), (A’,B) of points with all four sets contained in H. (Here H would in fact arise as the complement of some set C.) Just to make my question a bit more concrete, let me go for an extreme statement and suppose that what actually happens is that for many H you have two systems  and  of subsets of  such that there are many disjoint pairs  and they are all points in the original dense set. (In previous terminology, I want to suppose that many sets  contain a large Kneser product.) Can we somehow piece together these set systems  and  to obtain set systems  and  such that the set of disjoint pairs  correlates with the original dense subset of ?, If the answer is no, I feel it ought to be obviously no: you would just more or less randomly choose your  and . But if for some reason that turns out to be difficult (because there is too much overlap and in order to get compatibility on the overlap you are forced to relate the various  to each other and similarly the ) then perhaps you can get from local to global in the way I would like. , I’m not sure how easy it would be to prove a lemma of the desired kind, but I’m hoping it will be easyish to decide whether anything like that has a chance of being true. And now it’s bedtime.</t>
  </si>
  <si>
    <t>C2140</t>
  </si>
  <si>
    <t>bounding by active participants; value of individual contribution</t>
  </si>
  <si>
    <t>Metacomment, I guess the number of active threads is, in practice, bounded by the number of distinct groups of active participants.  The participants in the 200 thread are largely disjoint from those in the 300 and 400 threads, but the 300 and 400 participants have been basically the same, so the 400 thread has basically served as an update to the 300 thread., Perhaps we can still have two threads: one thread (the 500 thread?) would be the local and global approaches to the problem, and another thread, which I could host, would be a slower-paced “reading course” on the ergodic proof of k=3 DHJ, presumably using Randall’s notes as a guide.  This would probably proceed by different rules than the existing threads, since the aim is now to understand a paper rather than to solve a problem (I will have to think about what the ground rules of such a reading course would be).  But I would imagine that the readership here would be a bit disjoint from the one in the “mainstream” threads – in particular, I expect more ergodic theorists to participate – and so should be able to operate independently.</t>
  </si>
  <si>
    <t>C2141</t>
  </si>
  <si>
    <t>C2140; C2139</t>
  </si>
  <si>
    <t>474. , Re Terry’s metacomment — that all sounds pretty sensible to me, so let’s do it unless someone comes up with an objection to the plan in the near future., Re 473, I just wanted to add (in case there was any misunderstanding) that when I counted quadruples above, it was with slices-equal measure, so you couldn’t say things like that almost all the sets A and B had roughly the same size, etc. etc.</t>
  </si>
  <si>
    <t>C2142</t>
  </si>
  <si>
    <t>475.  Obstructions., Thinking about it a bit further, I now think 473 is true and not that hard. More details tomorrow if I wake up in a similar frame of mind.</t>
  </si>
  <si>
    <t>C2143</t>
  </si>
  <si>
    <t>472, 472.5, 134</t>
  </si>
  <si>
    <t>worked on scratch paper</t>
  </si>
  <si>
    <t>476.  A Fourier approach to Sperner.  (This would probably make more sense in the 300’s thread, but I concur with Tim’s #472.5.), I was thinking about Terry’s approach and his #472. (Thanks for that, btw; I agree that the second concentration of measure is the important one and that it holds in my simple example.)  More specifically, I was trying to think about the “structure” of the pairs  (half-lines, as I was calling them in #134).  This led me to think again about a Fourier approach to Sperner.  Not sure if it has any relevance at all to DHJ(3), but I thought I’d throw it out there., One difficulty with such an approach (discussed already in comments #29–#37) is that it’s not immediately clear how to come up with a good distribution on pairs  with .  But I think Terry’s idea of localising quite severely — to “constant” distances like  — is very promising.  , Since things are always better in Fourier-land when one uses a product distribution, I suggest the following:, Let  denote .  Let  be the indicator of a subset  of density .  Jointly choose a pair of strings  as follows:  , For each coordinate , independently:
  . with probability , set  a random  bit.
  . with probability , set , .
Finally, reverse the roles of  and  with probability ., Under this distribution, certainly  or vice versa always, with the distance between them being distributed roughly as Poisson(m).  The strings  and  are not uniformly distributed (which is annoying) but they are nearly so assuming  small., To be continued in the next post.  (PS: sorry, I guess I’m violating the “Don’t calculate on scratch paper” rule.)</t>
  </si>
  <si>
    <t>C2144</t>
  </si>
  <si>
    <t>noise stability</t>
  </si>
  <si>
    <t>477.  A Fourier approach to Sperner. (cont’d), If one does the usual Fourier analysis thing, one gets that the probability of  both in  equals, ,, where  is 0 if  is odd, and is  otherwise, depending on the parity of ., I believe (and feel free to press me on this) that with some linear/matrix algebra, one can show that this expression is approximately , ,, where  is the “noise stability of  at  under the -biased distribution”.  , This post is getting long, so let’s say this is roughly something like , where  is a random string and  is formed by flipping each coordinate of  with probability .  Rather like the original distribution, but note that  and  are likely incomparable., Even if you buy my calculations, you may ask what this has bought.  I guess it’s that this noise stability is a fairly well understood quantity, so we pretty much know exactly what kind of  have this quantity near , what kind of  have this quantity near , etc.</t>
  </si>
  <si>
    <t>CTao_35714</t>
  </si>
  <si>
    <t>online seminar; Also an important characteristic of a move - going for approximate understanding, as a first iteration most likely
 (comment from Hillary on COMPS paper - had to remove the section but wanted to keep the comment)</t>
  </si>
  <si>
    <t>602., Dear Terry,, I think it’s a very interesting idea to have an online reading seminar. Of course, it requires us to do the reading, which is quite a big investment to make, and presumably why you envisage a sedate affair. I think what would be most useful to me is basically what you encourage: rather than reading the paper very carefully and then explaining bits I understand here, I would prefer to try to use this post and its associated comments to read the paper sloppily and present my very partial understanding, or even complete misunderstanding, in the hope that others will be able to say, “Yes, you’re getting there — what you need to grasp next is this,” or “No, that’s not quite it — if that were the case then so would this be but it clearly isn’t,” and things like that. So when I get a moment, I’ll try to skim-read Randall’s paper and give some kind of initial reaction to it. I haven’t yet looked at it at all, but my eventual aim would be to obtain some kind of non-ergodic understanding of the proof. (Here I mean non-ergodic in the shallow sense of trying to explain things without getting completely into the ergodic language, rather than in the deep sense of genuinely doing without ergodic theory.)</t>
  </si>
  <si>
    <t>online seminar</t>
  </si>
  <si>
    <t xml:space="preserve">
As part of the polymath1 project, I would like to set up a reading seminar on this blog for the following three papers and notes:
H. Furstenberg, Y. Katznelson, “A density version of the Hales-Jewett theorem for k=3“, Graph Theory and Combinatorics (Cambridge, 1988). Discrete Math. 75 (1989), no. 1-3, 227–241.
R. McCutcheon, “The conclusion of the proof of the density Hales-Jewett theorem for k=3“, unpublished.
H. Furstenberg, Y. Katznelson, “A density version of the Hales-Jewett theorem“,  J. Anal. Math.  57  (1991), 64–119.
As I understand it, paper #1 begins the proof of DHJ(3) (the k=3 version of density Hales-Jewett), but the proof is not quite complete, and the notes in #2 completes the proof using ideas from both paper #1 and paper #3.  Paper #3, of course, does DHJ(k) for all k.  For the purposes of the polymath1 project, though, I think it would be best if we focus exclusively on k=3.
While this seminar is of course related in content to the main discussion threads in the polymath1 project, I envision this to be a more sedate affair, in which we go slowly through various sections of various papers, asking questions of each other along the way, and presenting various bits and pieces of the proof.  The papers require a certain technical background in ergodic theory in order to understand, but my hope is that if enough other people (in particular, combinatorialists) ask questions here (and “naive” or “silly” questions are strongly encouraged) then we should be able to make a fair amount of the arguments here accessible.  I also hope that some ergodic theorists who have been intending to read these papers already, but didn’t get around to it, will join with reading the papers with me.
This is the first time I am trying something like this, and so we shall be using the carefully thought out protocol known as “making things up as we go along”.  My initial plan is to start understanding the “big picture” (in particular, to outline the general strategy of proof), while also slowly going through the key stages of that proof in something resembling a linear order.  But I imagine that the focus may change as the seminar progresses.
I’ll start the ball rolling with some initial impressions of paper #1 in the comments below.  As with other threads in this project, I would like all comments to come with a number and title, starting with 600 and then incrementing (the numbers 1-599 being reserved by other threads in this project).
Share this:PrintEmailMoreTwitterFacebookRedditPinterestLike this:Like Loading... </t>
  </si>
  <si>
    <t>C2145</t>
  </si>
  <si>
    <t>478.  Reading seminar, I’ve begin a “reading seminar” on the ergodic proof of DHJ at, http://terrytao.wordpress.com/2009/02/11/a-reading-seminar-on-density-hales-jewett/, No idea how lively it will be, but I will try to “read aloud” my way through paper #1 at least, and see if anyone jumps in to help out.  I expect the pace to be slower than on these threads.</t>
  </si>
  <si>
    <t>CTao_35716</t>
  </si>
  <si>
    <t>zugzwang trebuchet</t>
  </si>
  <si>
    <t>603., Hi gowers,
Why not work out the ergodic details here?</t>
  </si>
  <si>
    <t>C2146</t>
  </si>
  <si>
    <t>479.  Followup to #472., Hmm, what if the set  is just the strings whose plurality digit is 0?  This will very likely have either all or none of the ‘s in , if I’m not mistaken.  Of course, being “monotone” this set has plenty of structure; I’m just wondering what we’re seeking., Indeed, there are Boolean functions (see “The Influence of Large Coalitions” by Ajtai and Linial) where every subset of  coordinates has negligible “influence” — meaning, almost surely the function is determined as soon as you fix the other  coordinates randomly.  These should be easy to adapt to the  setting.</t>
  </si>
  <si>
    <t>C2147</t>
  </si>
  <si>
    <t>C2146; 451</t>
  </si>
  <si>
    <t>480.  Reply to #479, Yeah, that’s a pretty blatant violation of concentration of measure.  But the plurality set  you give has very low influence, and as such it is very easy to create combinatorial lines (or even moderately large combinatorial subspaces) – just pick a random element in  and jiggle one or more of the coordinates, and with high probability you’ve created a combinatorial line in ., Low influence, as we’ve said before, leads to an “instant win” for us.  Almost as instant a win is near-total “01-insensitivity”, which is like low influence but restricted to swapping 0 and 1, rather than the full range of swapping 0, 1, and 2.  I discussed this in 451.  In terms of the , this type of insensitivity is basically the same as saying that the event  is almost maximally positively correlated with ., What I don’t understand well yet, though, is what happens when there is a smaller amount of positive correlation; this gives a little bit of insensitivity, but not so much that the argument in 451 immediately applies.  A typical example here might be a random subset of, say, the set in 479.  Maybe some sort of “regularity lemma” describes all moderately-correlated sets as unions of random subsets of very highly correlated (and thus very structured and low-influence or insensitive) sets?</t>
  </si>
  <si>
    <t>C2148</t>
  </si>
  <si>
    <t>wiki update</t>
  </si>
  <si>
    <t>google doc to wiki format</t>
  </si>
  <si>
    <t>Metacomment., Michael Nielsen has kindly transplanted the google document above to a Wiki format, where it really can be edited by everyone, and which allows for LaTeX support, creation of subpages, etc:, http://michaelnielsen.org/polymath1/index.php?title=Main_Page, So I guess this can serve as the “background” repository for the project, to complement the “foreground” threads here and on my blog., (We’re also running out of numbers on this thread… time to start the 500 thread soon!)</t>
  </si>
  <si>
    <t>C2149</t>
  </si>
  <si>
    <t>gowers31</t>
  </si>
  <si>
    <t>480. Z_k Roth: , I’d like to propose a further simplification of the problem, motivated by Gowers’ observations in post 31. Here it is: For all $\delta&gt;0$, there is an $n$ such that any $E\subset {\bf Z}_3^n$ having relative density at least $\delta$ contains a configuration $\{a,a+\sum_{i\in \alpha} e_i,a+2\sum_{i\in \alpha} e_i\}$, where $e_i=(0,0,\ldots ,0,1,0,\ldots ,0)$, the “1” occurring in the $i$th place. (Addition is modulo 3.), I will assume no decent quantitative version of this is known. (If I’m mistaken, the following may be ignored.), This is stronger than just getting $\{a,a+b,a+2b\}$ for some $b\in {\bf Z}_3^n$, which, if I understand things properly, one could obtain via Roth’s density increment method. And, indeed, the set $A$ mentioned in post 31, the one which has sequences where the number of 0s, 1s and 2s all multiples of 7, will contain too many of these configurations., On the other hand, the ergodic story suggests (heuristically, at least) that restrictions may come into play under “quadratic” Fourier analysis (perhaps modulo some normalization of some kind). The basis for this heuristic is the existence of an ergodic proof of the result (never written down) in which a compact extension of the Kronecker factor is shown to be characteristic. (This is dramatically different from DHJ or even IP Roth, where I should think no distal factor would be characteristic, suggesting that perhaps no degree of $\alpha$-uniformity would yield constraints on the number of configurations.), This is only a heuristic, but the implication seems to be that perhaps the above mentioned result is at the approximate level of “depth” of existence of progressions of length 4 in sets of positive density in ${\bf N}$. And, if all this is right, that it’s the sort of problem that might be attacked by familiar methods.</t>
  </si>
  <si>
    <t>CTao_35718</t>
  </si>
  <si>
    <t>reference case</t>
  </si>
  <si>
    <t>256. Hyper-optimist conjecture, The  case was originally proposed as a puzzle by Kobon Fujimura (who is best known for &lt;a href=”Kobon Triangles)., I have been searching the recreational mathematics literature for any other mention of our problem but I haven’t found a reference.</t>
  </si>
  <si>
    <t>CTao_35721</t>
  </si>
  <si>
    <t>Games of No Chance book</t>
  </si>
  <si>
    <t>(Meta) Coin puzzles, Fujimura’s version of  is simply given a pyramid of 10 coins, what is the smallest number you need to remove so there are no equilateral triangles?, The most common type of coin puzzle (which goes back to Dudeney) involves changing one configuration of coins into another with a certain number of moves. For example, invert a pyramid of 10 coins in the smallest number of moves., This article from the (highly recommended book) Games of No Chance analyzes this type of puzzle in detail.</t>
  </si>
  <si>
    <t>CTao_35724</t>
  </si>
  <si>
    <t>David Speyer</t>
  </si>
  <si>
    <t>check understanding; restate proposition to see if understood</t>
  </si>
  <si>
    <t>604.,  I’m going to try to restate proposition 3.1 to see if I understand it. If I get it right, this will probably be redundant with commment 601 above, but if I get it wrong, it will be one of those naive quesitons Terry asked for., Prop. 3.1 says that six things are equivalent, called (a), (a*), (b), (b*), (c) and (c*). In each case, the unstarred version is a uniform variant on the starred version. So the starred version will say “If we have a sequence  where lim sup (some measure of the size of ) then…” while the unstarred version will say “For every , there is an integer  such that, if  and (some measure of the size of )  then…”., We’re going to concentrate on the unstarred versions., (a) is what we’re trying to prove. For every , there is an  such that any subset of  of cardinatliy more that  contains a combinatorial line., (b) says that we can’t break (a) by a random construction. Suppose we had some random process, like drawing ping pong balls out of a bag. The set of balls is called , and the probaility that an individual ball  is drawn will be . For each ball , our process produces a particular subset of , which I will denote . Confusingly (to me), H and K use the opposite indexing; for each , they write  for the set of all  such that , but they don’t have a notation for ., For fixed , if  is large enough, the following holds: is long as the probability of any particular element  of  being in  is at least , then there will be some particular combiantorial line which occurs in  with nonzero probablity., Some comments: , Notice that (b)’s framework is general enough to destroy any probabilistic construction I might attempt. In particular, there is no hypothesis that the events “ is in ” and “ is in ” are independent in any way. , The only kind of probabilistic construction I could imagine which would violate the hypotheses of (a) is a process which, although they produce sets of density , have much lower probability of including certain particular elements of . However, the problem is so symmetric that I see no reason that this would help. Presumably, the proof of (b)–&gt;(a) is to make this idea rigorous., Finally, I described things above with a finite collection of ping pong balls, each with a positive probability. H and K phrase things in terms of a general measure space. I assume this generality will be helpful, although it seems pointless so far., Whew, that’s long! I’ll save condition (c) for later, asI need to get going now.</t>
  </si>
  <si>
    <t>C2151</t>
  </si>
  <si>
    <t>testing conjecture</t>
  </si>
  <si>
    <t>481. Various types of slices and ultra-optimism, My UO conjecture meant to be an extension of the LYM inequality which is stronger than just saying that maximum untichain is the maximum slice. Here we have various slices and we can conjecture that the maximum size of a line-free set is attained at  the union of slices (which do not contain a line). We can also conjecture (as Tim’s)  that the maximum measure (when every slice has the same overall measure) for line-free set is attained with union of slides. (This reduces to LYM for the sperner case.)  I think that my conjecture (or at least what I meant) is a bit stronger. Unlike the Sperner case there are many ways to cover or fractionally cover all slices by line-free union of slices., Now there are several meanings for “slices”. The coarser is $\latex \Gamma_{a,b,c}$ but there are finer ones. One finer one is to associate to each word  in ‘0’ and ‘1’ the slice  of all words of length n in 0 1 2 that if you arase the 2s you get .
We can ask if the ultra optimistic conjecture for line-free sets is true for union of slices $\latex \Gamma_w$. (This seems a feasible problem.) , We can also talk together about such slices in all 3 directions., There is an even finer division to slices. Consider all triples of words  in 0-2  and 1-2  respectively. Than let  be all words of length n in 012 s.t. when you delete 2 you get  and when you delete 1 you get . We can ask if blocks in finer slices gives us better examples than blocks in courser slices.
(If yes, we can update our ultra optimistic conj.) (Again you can take slices in all 3 possible “directions”).</t>
  </si>
  <si>
    <t>C2152</t>
  </si>
  <si>
    <t>482.  , Randall, your question sounds a bit like that of looking for progressions of length 3 whose difference is one less than a prime, which was tackled by Bergelson-Host-Kra using the nilsequences machinery and the Gowers norms.  My guess is that a similar approach would work for your problem, though I didn’t check it., Gil, I am still having trouble understanding the precise formulation of your conjecture.  For instance, what does “fractionally cover” mean?  And what is a “block”?  Also, what does “erase” or “delete” mean – are you compressing the deleted string, so that for instance deleting 1 from 012 gives you 02?  It all sounds quite interesting, but I am afraid I may have to see a formal statement of the conjecture in order to understand it properly.</t>
  </si>
  <si>
    <t>C2153</t>
  </si>
  <si>
    <t>potential analogy</t>
  </si>
  <si>
    <t>Regarding influences which were mentioned in several comments. It looks that indeed examples with unusual number of lines has unusual (compared to random examples) influence, but it does not look clear how such a property can be exploited to lead to higher density subspaces. So I am not sure if influence would be a useful notion in attacking the problem at hand. But there may be some useful analogies between problems about influences and about finding lines of various types., When we talk about influence we look at a projections: we look at a subspace describe by a subset of the coordinates (but maybe we can also  talk about different notions of subspace for some appropriate notion of “projection” ) and consider the projection of our set to this subspace. For our problem we are more interested in the intersection of our set with various subspaces.</t>
  </si>
  <si>
    <t>C2154</t>
  </si>
  <si>
    <t>also seconding a suggestion</t>
  </si>
  <si>
    <t>484. clarification for slices, also seconding Ryan, Dear Terry, , yes deleting 1 from 012 gives you 02 and from 011220212012
gives you 0220202, , a block of slices is the union of different slices (in our original notion as in the refined ones when you talk only about one direction the slices are disjoint), (We are only interested in line-free blocks), We say that a colloection of block of slices covers  if every point in  is contained in one (or more) of them., A fractional collection of blocks is assigning a nonnegative number to every block., A fractional cover is a fractional collection where for every  the sum of weights for blocks containing it is at least 1., Also, I second Ryan that giving analogs to Ajtai-Linial examples may be useful for our problem and perhaps also for the cap set problem. (I will try to explain why sometime later.)</t>
  </si>
  <si>
    <t>CTao_35728</t>
  </si>
  <si>
    <t>257. , :
The set of all (a,b,c) in  with exactly one of a,b,c =0, has 9 elements and doesn’t contain any equilateral triangles. , Let  be a set without equilateral triangles. If , there can only be one of (0,x,4-x) and (x,0,4-x) in S for x=1,2,3,4. Thus there can only be 5 elements in S with a=0 or b=0. The set of element with a,b&gt;0 is isomorph to , so S can at most have 4 elements in this set. So . Similar if S contain (0,4,0) or (4,0,0). So if  S doesn’t contain any of these. Also, S can’t contain all of (0,1,3), (0,3,1), (2,1,1). Similar for (3,0,1), (1,0,3),(1,2,1) and (1,3,0), (3,1,0), (1,1,2). So now we have found 6 elements not in S, but , so .</t>
  </si>
  <si>
    <t>C2155</t>
  </si>
  <si>
    <t>tools, also A.A. Milne style "a Good Thing"</t>
  </si>
  <si>
    <t>Regarding math-enabled forums, I agree that there’s nothing obvious out there.  However, I got the impression from your Tricki posts that you have access to one or two hackers so the following might be plausible., WordPress do a forum software called bbpress.  They allege that it is simple to align it to a wordpress blog and make the two work nicely together.  Thus you can have blog posts followed by forum discussions.  From reading the documentation it seems as though it is not hard to adapt a wordpress plugin to a bbpress one – though it does seem as though a little adaptation is needed.  I suspect that this really would not be hard to do, particularly for someone already familiar with the system (unlike me)., In addition, since wordpress does seem to be the blog-of-choice for mathematicians at the moment, it would be rendering a huge service to adapt the latex plugin to bbpress.  I don’t know whether math-enabled forums are a Good Thing or not, but it might be worth doing the experiment., The bbpress website is at:, http://bbpress.org/</t>
  </si>
  <si>
    <t>CTao_35733</t>
  </si>
  <si>
    <t>258. , :
The set of all (a,b,c) in  with exactly one of a,b,c=0 has 12 elements and doesn’t contain any equilateral triangles., Let  be a set without equilateral triangles. If , there can only be one of (0,x,5-x) and (x,0,5-x) in S for x=1,2,3,4,5. Thus there can only be 6 elements in S with a=0 or b=0. The set of element with a,b&gt;0 is isomorph to , so S can at most have 6 elements in this set. So . Similar if S contain (0,5,0) or (5,0,0). So if  S doesn’t contain any of these. S can only contain 2 point in each of the following equilateral triangles:
(3,1,1),(0,4,1),(0,1,4)
(4,1,0),(1,4,0),(1,1,3)
(4,0,1),(1,3,1),(1,0,4)
(1,2,2),(0,3,2),(0,2,3)
(3,2,0),(2,3,0),(2,2,1)
(3,0,2),(2,1,2),(2,0,3)
So now we have found 9 elements not in S, but , so .</t>
  </si>
  <si>
    <t>CTao_35735</t>
  </si>
  <si>
    <t>as many contributions from as many backgrounds as possible; Metcalfe's law (Metcalfe's law states that the financial value or impact of a telecommunications network is proportional to the square of the number of connected users of the system. The law is named for Robert Metcalfe and first proposed in 1980, albeit not in terms of users, but rather of "compatible communicating devices")</t>
  </si>
  <si>
    <t>605., Dear Tim: Well, I don’t really have an organised plan as to where this will go, but I would like to get as many contributions (from as many backgrounds) as possible, to take full advantage of Metcalfe’s law.  So if some people read slowly and carefully, others comment loosely and freely, and yet others translate from ergodic theory to combinatorics or back, I think that will be an instructive mix.  (One advantage of an internet-based seminar, as opposed to a physical one, is that one can have multiple concurrent discussions on different aspects of a paper without too much confusion.), Incidentally, the McCutcheon notes rely heavily on paper #1, so I think it is best to start with that paper first, though it may still be valuable to skim through #2 at this preliminary stage nevertheless., Dear David: Welcome!  I’m glad you took the initiative to jump in (there is no roster or anything for this seminar :-).  Please don’t worry about redundancy – in fact, I think the more perspectives we have on an individual component of the argument, the better., Regarding the implication of (b) from (a), I can give you a simpler version of it, in which we are not looking for combinatorial lines in , but rather algebraic lines  in ; the analogue of DHJ(3) here is called “Roth’s theorem in “.  Given a (deterministic) set A in  of density at least , we can define a random set A(x) in  by setting  where x is a random element of .  Note that each element w of  will lie in A(x) with probability at least , and if A(x) contains an algebraic line with positive probability, then A certainly contains an algebraic line also.  So in this case the deduction of (a) from (b) is pretty simple., This doesn’t work in the DHJ setting because combinatorial lines are not translation invariant, but one can do a somewhat different trick, embedding  randomly in  in a combinatorial line-preserving manner, rather than by translating  randomly back to .</t>
  </si>
  <si>
    <t>CTao_35737</t>
  </si>
  <si>
    <t>259 About the constant c”(n): the value of c”(6)=112 has been proved by
Aaron Potechin: Maximal caps in AG (6, 3)
Journal Designs, Codes and Cryptography, Volume 46, Number 3 / March, 2008
http://www.springerlink.com/content/h003577g11112308/, This gives a new set of slightly improved upper bounds: for n=7 to 15 as follows:, {7, 292}, {8, 773}, {9, 2075}, {10, 5632}, {11, 15425},
{12, 42569}, {13, 118237}, {14, 330222}, {15, 926687}, A discussion of the problem on caps, with plenty of references, can also
be found in:
Yves Edel, Christian Elsholtz, Alfred Geroldinger, Silke Kubertin, Laurence Rackham: Zero-sum problems in finite abelian groups and affine caps.
Quarterly Journal of Mathematics 58 (2007), 159-186.
http://qjmath.oxfordjournals.org/cgi/content/abstract/58/2/159</t>
  </si>
  <si>
    <t>CTao_35738</t>
  </si>
  <si>
    <t>proposition 3.1 cont</t>
  </si>
  <si>
    <t>606.  Stationarity, In Proposition 3.1(b), the -system  (which is called  in the notation of #1, and is equivalent to the notion of a random subset A(x) of  as discussed in Speyer.604), has no structure other than having every set   be large.  But the deepest part of Proposition 3.1 is a reduction to a special type of -system, namely a stationary -system.  This is a system where the sets  take the form, ,   (1), where, , (2),  is a set, and the  for  and  are measure-preserving invertible transformations on X.  These transformations are not assumed to commute with each other, and this is apparently a significant technical difficulty in the rest of the argument., Clearly, if (1) holds, and  has measure at least , then all the  have measure at least .  So DHJ(3)(b) certainly implies, DHJ(3)(c): If  and n is sufficiently large depending on , and  is a stationary -system with  having measure at least , then there exists a combinatorial line  such that  has positive measure., The non-trivial fact is that DHJ(3)(c) also implies DHJ(3)(b).  I guess I’ll try to discuss that in future comments., It is tempting to try to describe stationarity in terms of a measure-preserving action on X by the free group  on three generators , but this isn’t quite right, because the  are not constant in i.  But if one adds a discrete time variable i, thus replacing X with , then one can recover a measure-preserving action  of , with each generator ,  of  mapping  to  for  and  (here we have to define  for non-positive i in some arbitrary fashion, e.g. setting these transformations to be the identity).    With this action, and embedding  inside  by identifying a string  with the group element , one can rewrite (1), (2) as,  (3), and so the task is to show that there exists a combinatorial line  such that, . (4), At this stage I do not know whether this group action perspective is useful, although it does make the problem look a little bit like simpler ergodic recurrence theorems.  For instance, Roth’s theorem is equivalent to the assertion that if T acts in a measure-preserving way on a probability space X, then for every set E of positive measure, there exists an arithmetic progression  of integers such that, . (5)</t>
  </si>
  <si>
    <t>C2156</t>
  </si>
  <si>
    <t>move strategy forward</t>
  </si>
  <si>
    <t>485. Uniformity norms, This is an attempt to push forward in a small way a strategy for a global density-increment strategy. I would like to find a norm on functions from  to  with the property that if  is small then the expectation of  over all combinatorial lines is small, and if  is large then one can find a structured set on which the average of  is positive and bounded away from 0. If we’ve got these two properties, then it should be pretty easy to finish the proof., Here is my imprecise proposal for such a norm. In fact, it’s imprecise to the extent that it may well not even be a norm: the idea would be to massage the details until it is. I’ll just draw it out of a hat, but of course it hasn’t sprung out of nowhere. It comes from a mixture of various sources: analogies with corners, and also the kinds of things that were coming out of my calculations at the beginning of the 400s, and also Terry’s Cartesian semi-product thoughts., In all the density-increment proofs we know where the obstructions are of a simplicity that we expect for DHJ(3), a key concept is something like a rectangle: for Roth’s theorem it’s a quadruple , for Shkredov it’s , and for bipartite graphs it’s a 4-cycle . What would be the obvious quadruples to look at here? Well, we know that we can think of a subset  as a bipartite graph: its elements are pairs of sets  such that there exists  such that  is the 1-set of  and  is the 2-set of . So a natural suggestion (if you don’t think too hard about it) for a norm to put on a function  is , , where the expectation is over all quadruples  such that the above four pairs are disjoint pairs. (We don’t need complex  but if we did then we’d put bars over the second and fourth terms in the product.), What are some immediate objections to this? Well, given such a quadruple, each element has seven possibilities: it can belong to up to two of the four sets  but cannot belong to both an  and a . Therefore, a random such quadruple is obtained by randomly partitioning  into seven parts and choosing the first one to be disjoint from all four sets, the second one to be in just , and so on. In particular, the set that’s disjoint from all of them has cardinality very close to  with very high probability, so it’s got nothing much to do with combinatorial lines., But not so fast. This is uniform-measure speak rather than slices-equal speak,a nd I’m a slices-equal person. If slices are equal, then the fact that  is disjoint from  has a much smaller bearing on their cardinalities. (It does have some effect, but it’s just not a big deal.), So we have no a priori reason to reject this norm. In the next comment I’ll try to argue (as much to myself as to anyone else) that it’s actually good for something.</t>
  </si>
  <si>
    <t>CTao_35739</t>
  </si>
  <si>
    <t>Sune removals</t>
  </si>
  <si>
    <t>260. , Sune, could you give your explicit list for removals from ? I am unable to reproduce a triangle-free configuration from your description., For example, (4,0,0) (0,4,0) (0,0,4) (2,1,1) (1,1,2) (1,2,1) leaves the triangle (2,2,0) (0,2,2) (2,0,2).</t>
  </si>
  <si>
    <t>CTao_35740</t>
  </si>
  <si>
    <t>260.  Updates to spreadsheet, I’ve updated the spreadsheet to take into account the above developments (in particular, adding entries for upper and lower bounds for  and .  I’m using the trivial bounds, , and, , but clearly we should be able to do better than these bounds.</t>
  </si>
  <si>
    <t>CTao_35741</t>
  </si>
  <si>
    <t>interested</t>
  </si>
  <si>
    <t>I would be interested in this seminar. I have downloaded the three papers and will be looking at them in the next few days along with the comments here.</t>
  </si>
  <si>
    <t>C2158</t>
  </si>
  <si>
    <t>411?</t>
  </si>
  <si>
    <t>technical comment</t>
  </si>
  <si>
    <t>486. Uniformity norms., Now for a small technical comment. Suppose we take the subset of  consisting of all points  such that  and . This is an isosceles right-angled-triangular chunk of the integer lattice. And now suppose we try to investigate functions on this set using a box norm (that is, averaging expressions like  We will have a little bit of trouble with this because some points are contained in lots of boxes and some in hardly any. So what we might decide to do instead is a modest localization: choose some square patch of the triangle where the set we are interested in is dense. , We have essentially this problem with a uniformity norm for DHJ if we use the slices-equal measure. To combat it, I want to apologize to the number 3 and lose some symmetry. Recall (or prove as a very easy exercise) that DHJ(3) is equivalent to the following problem: if you have a dense set  of pairs  of disjoint subsets of  then you can find disjoint sets  such that ,  and  all belong to . I’m going to focus on this version of the statement, but with the added stipulation that the cardinalities of  and  are both at most , so that I have a square grid of slices. All the time, I need hardly add, we use slices-equal measure. So a random point in the space is obtained by choosing two random numbers  and  that are at most  and then a random pair of disjoint sets  and  of sizes  and . , Unfortunately I have to go while I’ve still got a lot to say, and won’t have a chance to add to this for about nine hours, if not more. Anyhow, the next step is to try to do a sort of Sperner-averaging style lift to get from the usual proof that the box norm controls the number of corners to a proof that the above attempt at a uniformity norm controls the number of set-theoretic corners. And if that works, I’d like an inverse theorem for the uniformity norm to tell us that we’ve got a 411-style obstruction.</t>
  </si>
  <si>
    <t>CTao_35742</t>
  </si>
  <si>
    <t>CTao_35738; Kristal (suggested reading post)</t>
  </si>
  <si>
    <t>cont with proposition 3.1 from previous post</t>
  </si>
  <si>
    <t>607.  Stationarity cont., Welcome, Kristal!  Feel free to jump in and contribute with any questions, comments, or suggestions, even if (or especially if) they overlap with those already in this post., One small comment, continuing 606: it appears that the stationarity gives quite strong constraints on the .  Most obviously, they are all forced to have the same measure, but there are other constraints too.  For instance, if n=2, then  has to have the same measure as , since the latter set can be obtained from the former set by applying the measure-preserving .  To put it another way, the random set  is just as likely to contain the pair (0,0), (1,0) as it is to contain the pair (0,2), (1,2)., More generally, stationarity seems to be saying that if one looks at a slice  of  formed by freezing the last m positions of A(x), that the distribution of that slice (or more precisely, the identification of that slice with a subset of ) is in fact independent of the choice of the frozen coordinates
.  (This would explain the terminology “stationary”.)  I do not know yet whether this property already captures the full strength of stationarity, or whether stationarity in fact says something more.</t>
  </si>
  <si>
    <t>CTao_35743</t>
  </si>
  <si>
    <t>sharing example</t>
  </si>
  <si>
    <t>261. Lower bound for , One easy lower bound is to note that one can always go triangle free by removing (n,0,0), the triangle (n-2,1,1) (0,n-1,1) (0,1,n-1), and all points on the edges of and inside the same triangle., For example, with  remove (0,4,0), (1,2,1), (2,1,1), (1,1,2), (3,0,1), (2,0,2), and (1,0,3)., Therefore a lower bound would be . (That is, the triangular number of n+1 with (n,0,0) removed and then the triangular number of n-1 removed, referring to the triangle (n-2,1,1) (0,n-1,1) (0,1,n-1).)</t>
  </si>
  <si>
    <t>CTao_35744</t>
  </si>
  <si>
    <t>Austin.54</t>
  </si>
  <si>
    <t>repeat earlier remark</t>
  </si>
  <si>
    <t>broken symmetry</t>
  </si>
  <si>
    <t>608. Symmetry breaking, I wanted to repeat a remark of Austin.54 here: the original formulation DHJ(3)(a) of the problem, together with its probabilistic variant DHJ(3)(b), are invariant under permutation of the indices in n, but the notion of stationarity is not invariant (being dependent on the ordering of the indices), and so DHJ(3)(c) has “broken” the permutation symmetry.  There is nothing particularly harmful about this – the standard proofs of colouring Hales-Jewett also break symmetry, for instance – but it seems like a noteworthy point nonetheless.</t>
  </si>
  <si>
    <t>CTao_35749</t>
  </si>
  <si>
    <t>solution identification</t>
  </si>
  <si>
    <t>262. Three solutions for , There are exactly three solutions for 52 points in 
I use recent notation from , x, y and z defined in Terry.248, x’ is x with one point removed; that point in  is either 2222 or 3333.  Likewise for y’ and z’, All three solutions are made from full $latex Gamma_{abc}
Each row is a different solution., xyz yz’x zxy’
y’zx zx’y xyz
z’xy xyz yzx’</t>
  </si>
  <si>
    <t>C2159</t>
  </si>
  <si>
    <t>process to define a norm</t>
  </si>
  <si>
    <t>487.  Uniformity norm., Another technical point. In order to define a norm, we need that expression to be non-negative (and zero only if  is zero). To get that we can do the following. For convenience define  to be zero if  and  intersect. Then define the norm as follows. First pick a random permutation. Then take the average of  over all quadruples of intervals in the permuted . This is then easily seen to have the positive definiteness that one wants. Does it matter that we are now averaging over lots of intersecting pairs of sets? Not really, because the intersecting pairs are given a lot less weight (because intervals, on average, intersect far less frequently than random sets of the same size). , So this is my revised candidate for a uniformity norm (perhaps with some restriction on the sizes of the sets involved — I’m not sure that matters much any more though).</t>
  </si>
  <si>
    <t>CTao_35751</t>
  </si>
  <si>
    <t>finishing calculations</t>
  </si>
  <si>
    <t>263. Finishing the calculations, I guess that’s what I get for typing and running — the bound at 261 is just 2n., Also, 254 the proof can be much, much simpler: just note (3,0,0) or something symmetrical has to be removed, leaving 3 triangles which do not intersect, so 3 more removals are required.</t>
  </si>
  <si>
    <t>CTao_35752</t>
  </si>
  <si>
    <t>"dumb" questions</t>
  </si>
  <si>
    <t>609: My first dumb question: In (b) and (c), would it add any generality to allow the measure space  to depend on ? When I think of sampling methods I might use, it seems natural to me to use different sample spaces  for different . But I suspect that I could use  as my sample space, and thus reduce to H and K’s set up.</t>
  </si>
  <si>
    <t>CTao_35754</t>
  </si>
  <si>
    <t>264. Lower bound for , Another lower bound is 3(n-1), as you keep most of all three sides of the triangle.  Remove the corners and the inner triangle.</t>
  </si>
  <si>
    <t>CTao_35755</t>
  </si>
  <si>
    <t>point to another post</t>
  </si>
  <si>
    <t>counterexample</t>
  </si>
  <si>
    <t>265. Lower bound for \overline{c}^mu_n, Michael, I have a counterexample for that at 260.</t>
  </si>
  <si>
    <t>CTao_35756</t>
  </si>
  <si>
    <t>wiki site set up; new location: http://asone.ai/polymath/index.php/Main_Page</t>
  </si>
  <si>
    <t>266.  Wiki, We’ve started up a wiki for the polymath project at, http://michaelnielsen.org/polymath1/index.php?title=Main_Page, I’ve put in a page for the proofs of the best bounds for c_n for small n at, http://michaelnielsen.org/polymath1/index.php?title=Upper_and_lower_bounds, The last few sections still need some work.  Of course, everyone is invited to contribute.  (For lengthy new computations, it may be best to put the details on the wiki and announce an abridged version here.), At some point I’ll try to do something similar for .</t>
  </si>
  <si>
    <t>C2179</t>
  </si>
  <si>
    <t>Gowers_9</t>
  </si>
  <si>
    <t>analoging statement</t>
  </si>
  <si>
    <t>this reduces to that ... and we have ways to solve that</t>
  </si>
  <si>
    <t>505. Uniformity norms:, The ergodic proof of DHJ reduces it to an IP recurrence theorem. Now, for an IP system setup, we can easily define analogs of the (ergodic) uniformity norms. So, let  be a measure preserving IP system;  ranges over finite subsets of the naturals. Put . Now let  be the projection onto the factor that is asymptotically invariant under ; we can write  if we like. Now put . (This should look awfully familiar.) Presumably, if  is small, where  is the balanced version of the characteristic function of a set, then the set should have, asymptotically, the right number of arithmetic progressions of length 3 whose difference comes from some relevant IP set (or something like that). On the other hand, if  is big,  must correlate with….well, let’s just say if  is big then  correlates with a rigid function, that much is easy. At any rate I think the above may be on the right track. I may try to translate from ergodic theory to a more recognizable form, but right now a baby is waking up behind me…., However, I will say this much…there is no conventional averaging in any proof of any ergodic IP recurrence theorem (IP limits serve that purpose in this context). Also, there are extremely strong analogies between the uniformity norms on  and the uniformity norms in ergodic theory (actually…to me it’s not really an analogy; these are exactly the same norms). Although no norms are defined in ergodic IP theory, there could be…what does a norm stand in for? To an ergodic theorist, the dth uniformity norm is a stand-in for d iterations of van der Corput. In the IP case, we do in fact use d iterations of a version of van der Corput. If the correlation holds to form, the above norms may well be the ones to be looking at.</t>
  </si>
  <si>
    <t>CTao_35758</t>
  </si>
  <si>
    <t>potential pivot? response to a "dumb question"</t>
  </si>
  <si>
    <t>611: the measure space X, David, I think you’re right, the actual choice of space X is more or less irrelevant.  In a lot of these problems one can take the Cantor space  (or the unit interval) as a universal space (note that any countably generated probability space can be lifted up to either of these two spaces)., One of the philosophies of probability theory, by the way, is to try to hide the underlying space X as much as possible; thus one talks about events E and their probabilities, random variables and their expectations and correlations, etc. without explicit mention of the probability space and probability measure, etc.  It’s like studying a manifold or variety through its ring of functions rather than by looking at its constituent points.  It has the advantage that one can concatenate any number of random processes together (e.g. flip infinitely many coins, and then pull balls out of urns infinitely often, etc.) without having to think about what happens to the underlying probability space., In ergodic theory, though, one often takes almost the opposite view: one starts with an abstract measure space X (with some groups acting on it) and then creates some factors Y of that space which often have a very explicit algebraic structure (e.g. they are the homogeneous space for some Lie group).  One then studies the geometry and dynamics of that space Y from a very concrete point of view, thus moving from the category of abstract measure spaces and measure preserving transformations to something much more algebraic.</t>
  </si>
  <si>
    <t>CTao_35759</t>
  </si>
  <si>
    <t>266. Lower bound for , You can fit nine points in a 15-point triangle (n=4),
(013,022,031,103,202,301,130,220,310)
but the best result for  only uses seven points.
(022,112,121,202,220,310,301)</t>
  </si>
  <si>
    <t>CTao_35761</t>
  </si>
  <si>
    <t>254; another Jason?</t>
  </si>
  <si>
    <t>267. Lower bound for , Jason,,   The triangle made up by (2,2,0),(2,0,2) and (0,2,2) is upside down.
  It has a constant r=-2, so doesn’t apply to HJ sequences, which
  use r as a number of columns.,   I think you were right the first time, in 254., to do the long-winded proof.</t>
  </si>
  <si>
    <t>CTao_35762</t>
  </si>
  <si>
    <t>Fujimara's Problem</t>
  </si>
  <si>
    <t>268. Wiki, Here is a page for , the computation of which I have dubbed “Fujimura’s problem”:, http://michaelnielsen.org/polymath1/index.php?title=Fujimura%27s_problem, Again, some cleanup is required to convert the blog comments into wiki format and to integrate the text smoothly.</t>
  </si>
  <si>
    <t>CTao_35766</t>
  </si>
  <si>
    <t xml:space="preserve">269. Upper limit for , From looking at triangles in the lowest two rows, we have, </t>
  </si>
  <si>
    <t>CTao_35767</t>
  </si>
  <si>
    <t>CTao_35759; hyper optimistic conjecture</t>
  </si>
  <si>
    <t>contradiction check</t>
  </si>
  <si>
    <t>270. Hyper-optimistic , My point in 266. was, does that contradict the hyper-optimistic conjecture?</t>
  </si>
  <si>
    <t>C2161</t>
  </si>
  <si>
    <t>Terry439; 472; 480; 439</t>
  </si>
  <si>
    <t>488.  Terry’s strategy #439., I’m still slowly plugging through that post… 🙂  , Perhaps it’s not necessary to show that the second concentration of measure (for ) holds *because* of small pairwise correlations between the events.  For example, it holds anyway in the case of the “mod ” set (#472) and the “random subset of plurality” set (end of #480)., Except, wait: I suppose it doesn’t hold in a variant of #480’s example.  Take the set of strings which have at least  0’s in them, where that deviation is cooked up so that the overall density is .  Then take a random subset of half of these strings., In this case, it seems like you could get too *many* of these  events happening.  Is this the problem?  I must confess, I haven’t gotten myself up to speed yet on the particulars of the second half of the plan in #439.</t>
  </si>
  <si>
    <t>C2162</t>
  </si>
  <si>
    <t>C2158; C2159; 442</t>
  </si>
  <si>
    <t>split to slightly easier task</t>
  </si>
  <si>
    <t>489.  Uniformity norms., Now I would very much like to be able to prove that if  has a small uniformity norm in the sense of 486/7, then the expectation of  is small. But let me go for the slightly easier task of showing that if  is a 01-valued function and the expectation of  is almost zero, then the expectation of  is larger than it should be. Incidentally, my convention now has to be that if the average of  is , then  whenever  and  intersect. , Actually, I want to revise the definition of the uniformity norm. I take a random permutation as in 486, but I insist that  and  are initial segments (rather than just any old intervals) and that  and  are final segments. But they’re still allowed to overlap, so that the expression for the norm splits up as a sum of squares., Now let’s go back to Terry’s Cartesian semi-products, as I discussed them in 442. First of all, if we take a random permutation of  and then take a random interval  in the permuted set, there will on average be several pairs of subintervals  that partition . For fixed  each such pair is of course determined by  only. And if we have two such pairs  and  with , then the pair  cannot lie in . This means that  has to avoid the Cartesian product of the set of all the  such that  with the set of all the  such that . But that gives us a nonuniformity in the function . Averaging over all permutations  and all intervals  gives us (I think) that the norm in 486/7 is large., What I think this sketch shows is that the first stage of the two-step programme is OK: if a set contains no combinatorial lines then its slices-equal uniformity norm is too big. I’ve got to go to bed now, but I’ll write a very brief comment about the second stage.</t>
  </si>
  <si>
    <t>C2163</t>
  </si>
  <si>
    <t>now prove inverse theorem</t>
  </si>
  <si>
    <t>hyperoptimism extremely unreliable</t>
  </si>
  <si>
    <t>490. Inverse theorem., The second stage is to prove an inverse theorem for the uniformity norm: that is, to prove that if  has a large uniformity norm then it has positive correlation with an exploitable structure (meaning a structure that can be almost uniformly covered by subspaces)., The approach one would take to this in a dense bipartite graph would be to take a random edge and take the two neighbourhoods of its end vertices. The analogue here would be to take a random disjoint pair of sets  and then to take all disjoint pairs  such that  and  belong to . Note that this is a Kneser product of two sets, just as we want, and that on average we expect  to be too dense in it., I was about to say that the problem is that there are far too few such pairs, but it’s just beginning to occur to me that perhaps that doesn’t matter. I’ve got to go to bed now, but I’m not completely certain that the inverse theorem isn’t almost as trivial here as it is for graphs. I’ll go to bed on that note of hyperoptimism — it feels as though the whole problem could be basically solved, but with me that feeling is extremely unreliable, and all the more so as there’s a giant claim in this paragraph that I haven’t checked at all.</t>
  </si>
  <si>
    <t>C2166</t>
  </si>
  <si>
    <t>491.  Inverse theorem., Oops. Forget last paragraph of 490. It didn’t survive the going-to-bed process. I’ll think about a possible inverse theorem tomorrow.</t>
  </si>
  <si>
    <t>CTao_35774</t>
  </si>
  <si>
    <t>love this line</t>
  </si>
  <si>
    <t>271. Upper limit for Fujimura (  ), There are  triangles, and each point is in n of them, so you must remove at least (n+2)(n+1)/6 points to remove all triangles.
So an upper limit for  is (n+1)(n+2)/3.</t>
  </si>
  <si>
    <t>MULTIPLE FORMS IDENTIFIED; multiple posts/approaches in a single summary</t>
  </si>
  <si>
    <t xml:space="preserve">I will give only a rather brief summary here, together with links to some comments that expand on what I say.If we take our lead from known proofs of Roth’s theorem and the corners theorem, then we can discern several possible approaches (each one attempting to imitate one of these known proofs).1. Szemerédi’s original proof. Szemerédi proved a proof of a one-dimensional theorem. I do not know whether his proof has been modified to deal with the multidimensional case (this was not done by Szemerédi, but might perhaps be known to Terry, who recently digested and rewrote Szemerédi’s proof). So it is not clear whether one can base an entire argument for DHJ on this argument, but it could well contain ideas that would be useful for DHJ. For a sketch of Szemerédi’s proof, see this post of Terry’s, and in particular his discussion of question V. He also has links to comments that expand on what he says.Ajtai and Szemerédi found a clever proof of the corners theorem that used Szemerédi’s theorem as a lemma. This gives us a direction to explore that we have hardly touched on. Very roughly, to prove the corners theorem you first use an averaging argument to find a dense diagonal (that is, subset of the form  that contains many points of your set ). For any two such points  and  you know that the point  does not lie in  (if  is corner free), which gives you some kind of non-quasirandomness. (The Cartesian semi-product arguments discussed in the 400s thread are very similar to this observation.) Indeed, it allows you to find a large Cartesian product in which  is a bit too dense. In order to exploit this, Ajtai and Szemerédi used Szemerédi’s theorem to find long arithmetic progressions  and  of the same common difference such that  has a density increment in . (I may have misremembered, but I think this must have been roughly what they did.) So we could think about what the analogue would be in the DHJ setting. Presumably it would be some kind of multidimensional Sperner statement of sufficient depth to imply Szemerédi’s theorem. A naive suggestion would be that in a dense subset of  you can find a large-dimensional combinatorial subspace in which all the variable sets have the same size. If you apply this to a union of layers, then you find an arithmetic progression of layer-cardinalities. But this feels rather artificial, so here’s a question we could think about.Question 1. Can anyone think what the right common generalization of Szemerédi’s theorem and Sperner’s theorem ought to be? (Sperner’s theorem itself would correspond to the case of progressions of length 2.)Density-increment strategies.The idea here is to prove the result by means of the following two steps.1. If  does not contain a combinatorial line, then it correlates with a set  with some kind of atypical structure that we can describe.2. Every set  with that kind of structure can be partitioned into (or almost evenly covered by) a collection of combinatorial subspaces with dimension tending to infinity as  tends to infinity.One then finishes the argument as follows. If  contains no combinatorial line, then find  such that  is a bit denser in  than it is in . Cover  with subspaces. By averaging we find that the density of  is a bit too large in one of these subspaces. But now we are back where we started with a denser set  so we can repeat. The iteration must eventually terminate (since we cannot have a density greater than 1) so if the initial  was large enough then we must have had a combinatorial line.One can also imagine splitting 1 up further as follows.1a. If  contains no combinatorial line, then  contains too many of some other simple configuration.1b. Any set that contains too many of those configurations must correlate with a structured set.This is certainly how the argument goes in some of the proofs of related results.Triangle removal.This was the initial proposal, and we have not been concentrating on it recently, so I will simply refer the reader to the original post, and add the remark that if we manage to obtain a complete and global description of obstructions to uniformity, then regularity and triangle removal could be an alternative way of using this information to prove the theorem. And in the case of corners, this is a somewhat simpler thing to do.Ergodic-inspired methods.For a proposal to base a proof on at least some of the ideas that come out of the proof of Furstenberg and Katznelson, see Terry’s comment 439, as well as the first few comments after it. Another helpful comment of Terry’s is his comment 460, which again is responded to by other comments. Terry has also begun an  online reading seminar on the Furstenberg-Katznelson proof, using not just the original paper of Furstenberg and Katznelson but also a more recent paper of Randall McCutcheon that explains how to finish off the Furstenberg-Katznelson argument.Suggestion. I have tried to do a bit of further summary in my first couple of comments. It would be good if others did the same, with the aim that anyone who reads this should be able to get a reasonable idea of what is going on without having to read too much of the earlier discussion.Remark. There is now a wiki associated with this whole enterprise. It is in the very early stages of development but has some useful things on it already.                                                                                                This entry was posted on February 13, 2009 at 8:27 am and is filed under polymath1.                                                You can follow any responses to this entry through the RSS 2.0 feed.                                                                                                        You can leave a response, or trackback from your own site.                                                                                        </t>
  </si>
  <si>
    <t>CTao_35781</t>
  </si>
  <si>
    <t>272.  Hyper-optimistic, Dear Michael, it’s not clear yet whether this example violates the hyper-optimistic one, because the extremiser for the  problem is not going to be the extremiser for the  problem.  Indeed, the  example, involving only seven of the slices, will have a weighted size of 7, whereas the  example has a weighted size of 9.  To contradict the conjecture we would need to find a line-free set in  with a weighted size exceeding 9., Incidentally, I found the lower bound  for , since one can always take an extremiser in , add a new edge to the triangular grid and put two points on it so that the triangle these two points generate doesn’t have the third point in the extremiser., Given how this thread is filling up, I will probably start a fresh thread in a day or so.  The wiki is very helpful in this regard, it reduces the extent to which I will have to summarise all the progress…</t>
  </si>
  <si>
    <t>CTao_35783</t>
  </si>
  <si>
    <t>maybe a side project if it doesn't work here</t>
  </si>
  <si>
    <t>272. When r&lt;0, re: Peake.267, yes, I see now. I don’t remember r ever being defined as positive so I never thought about the case. (2,0,2) (2,2,0) (0,2,2) would be 1133, 1122, and 2233 which form no combinatorial lines., That does bring the interesting question of: is there anything important about this problem relating to the cases of r&lt;0? They might affect the “subcubes” from O’Donnell.422 which seem to be working with “partial” combinatorial lines. Calling the points a, b and c: a and b form a partial combinatorial line, b and c do, and a and c do, but a, b, and c do not form a line together. I believe this situation may be unique for the r&lt;0 case., Also, it means there are two variants of Fujimura, and while r&lt;0 doesn’t apply to our problem it might be worth looking into as a side project (or at least noting it as a separate case).</t>
  </si>
  <si>
    <t>CTao_35784</t>
  </si>
  <si>
    <t>Michael.219; Terry.467</t>
  </si>
  <si>
    <t>273., Michael.219: “This method gives a lower bound for c_99 that is bigger than 3^98.” and
Terry.467: “We also have an example of a subset of  of density  that still has no combinatorial line.”, Then why is c_96/3^96=0.006155058319549. Shouldn’t it be &gt;1/3?</t>
  </si>
  <si>
    <t>CTao_35785</t>
  </si>
  <si>
    <t>spreadsheet mention</t>
  </si>
  <si>
    <t xml:space="preserve">273b, The number I mentioned is L98 in the spreadsheet: Lower bound for </t>
  </si>
  <si>
    <t>C2169</t>
  </si>
  <si>
    <t>potential pivot - clarifying question followed by response (C2173) followed by actually this might work (C2174)</t>
  </si>
  <si>
    <t>492. DHJ is equivalent for different measures., Dear Tim,
“I’m pretty sure that DHJ for the slices-equal measure is an easy consequence of DHJ, and vice versa. Here’s a sketch of how to prove that DHJ for any reasonably continuous measure (meaning that the weight of a point is usually very similar to the weight of a neighbouring point) is equivalent to the usual DHJ.”, “…the measure in almost all of the subspaces is almost uniform, so we can apply the normal DHJ…”, I do not understand the argument. Is it ok?</t>
  </si>
  <si>
    <t>C2170</t>
  </si>
  <si>
    <t>hard work of translating sketch to formal argument done away from computer</t>
  </si>
  <si>
    <t>500.  Inverse theorem., This is continuing where I left off in 490. Let me briefly say what the aim is. I am using the disjoint-pairs formulation of DHJ: given a dense set  of pairs  of disjoint sets, one can find a triple of the form , ,  in  with all of   and  disjoint. Here “dense” is to be interpreted in the equal-slices measure: that is, if you randomly choose two non-negative integers  with , and then randomly choose disjoint sets  and  with cardinalities  and , then the probability that  is at least ., Now I define a norm on functions  as follows. (Incidentally, this is the genuine Cartesian product here, but pairs of sets will not make too big a contribution if they intersect.) First choose a random permutation  of . Then take the average of  over all pairs  of initial segments of  and all pairs  of final segments of . Finally, take the average over all . , A few things to note about this definition. First, if you choose the initial and final segments randomly, then the probability that  is disjoint from  is at least  (and in fact slightly higher than this). Second, the marginal distributions of  and  are just the slices-equal measure. Third, for any fixed  the expectation we take can also be thought of as , so we get positivity. If we take the fourth root of this quantity and average over all  then we get a norm, by standard arguments. (I’m less sure what happens if we first average and then take the fourth root. I’m also not sure whether that’s an important question or not.), Given a set  of density  (as a subset of the set of all disjoint pairs, with slices-equal measure), define its balanced function  as follows. If  and  are disjoint, then  if  and  otherwise. If  and  intersect, then . Then  if we think about it suitably. And the way to think about it is this. To calculate  we first take a random permutation of . Then we choose a random initial segment  and a random final segment . Then we evaluate . This is how I am defining the expectation of . , Though I haven’t written out a formal proof (since I am not doing that — though I think a general rule is going to have to be that if a sketch starts to become rather detailed, and if nobody can see any reason for it not to be essentially correct, then the hard work of turning it into a formal argument would be done away from the computer), I am fairly sure that if a dense set  contains no combinatorial lines and  is the balanced function of  then  is bounded away from 0., That was just a mini-summary of where this uniformity-norms idea may possibly have got to. Because it feels OK I want to think about the part that feels potentially a lot less OK, which is obtaining some kind of usable structure where  has a large average, on the assumption that  is large.</t>
  </si>
  <si>
    <t>C2171</t>
  </si>
  <si>
    <t>what I want to be able to do</t>
  </si>
  <si>
    <t>501.  Inverse theorem., What I would very much like to be able to do is rescue a version of the conjecture put forward in comment 411. The conjecture as stated seems to be false, but it may still be true if we use the slices-equal measure. In terms of functions, what I’d like to be able to prove is that if  is at least , then there exist set systems  and  such that the density of disjoint pairs  with  and  is at least  and the average of  over all such pairs is at least . (The first condition could be relaxed to positive density in some subspace if that helped.) , I’m fairly sure that easy arguments give us the following much weaker statement. If you choose a random pair  according to equal-slices measure, then you can find set systems  and  with the following properties. , (i) Every set in  is disjoint from  and every set in  is disjoint from ., (ii) The set of disjoint pairs  such that  and  is on average dense in the set of disjoint pairs  such that ., (iii) For each  the expectation of  over all disjoint pairs  is at least ., If this is correct, then the question at hand is whether one can piece together the pairs  to form two set systems  and  such that the density of disjoint pairs  with  and  is at least  and the average of  over all such pairs is at least .</t>
  </si>
  <si>
    <t>CTao_35789</t>
  </si>
  <si>
    <t>according to the paper</t>
  </si>
  <si>
    <t>612. Hindman’s theorem is a special case of one of their versions of the Carlson-Simpson theorem according to the paper.</t>
  </si>
  <si>
    <t>CTao_35790</t>
  </si>
  <si>
    <t>The two examples we have for a lower bound for c_5 being 150 have cubes with 14 and 12 points is there an example with all cubes 16 or higher
and total 150 or higher? Or failing that all cubes 15 or higher and total 150 or higher?</t>
  </si>
  <si>
    <t>C2172</t>
  </si>
  <si>
    <t>502.  Inverse theorem., In this comment I want to explain slightly better what I mean by “piecing together” local lack of uniformity to obtain global obstructions. To do so I’ll look at a few examples.,  Example 1 Terry has already mentioned this one. Let  be a function defined on . Suppose we know that for every interval  of length  we can find a trigonometric function  such that . Can we find a trigonometric function  defined on all of  such that ? The answer is very definitely no. Basically, you can just partition  into intervals of length a bit bigger than  and define  to be a randomly chosen trigonometric function on each of these intervals. This will satisfy the hypotheses but be globally quasirandom., Example 2 Now let’s modify Example 1. This time we assume that  has trigonometric bias not just on intervals but on arithmetic progressions of length  (in the mod- sense of an arithmetic progression). I don’t know for sure what the answer is here, but I think we do now get a global correlation. Suppose for instance that  is around . Then if we choose random trigonometric functions on each interval of length , they will give rise to random functions on arithmetic progressions of common difference . So the frequencies are forced to relate to each other in a way that they weren’t before. , Example 3. Suppose that  is a graph of density  with vertex set  of size . Suppose that  is some integer that’s much smaller than  and suppose that for a proportion of at least  of the choices  of  vertices you can find a subset  of size at least  such that the density of the subgraph induced by  (inside ) is at least . Can we find a subset  of  of size at least  such that the density of the subgraph induced by  is at least ? , The answer is yes, and it is an easy consequence of standard facts about quasirandomness. The hypothesis plus an averaging argument implies that  contains too many 4-cycles, which means that  is not quasirandom, which implies that there is a global density change. (Sorry, in this case I misstated it — you don’t actually get an increase, as the complete bipartite graph on two sets of size  illustrates, but you can get the density to differ substantially from . If you want a density increase, then you need a similar statement about bipartite graphs.), Example 4. Suppose that  is a random graph on  vertices with edge density . Let  be a subgraph of  of relative density . Then one would expect  to contain about  labelled triangles. Suppose that it contains more triangles than this. Can we find two large subsets  and  of vertices such that the number of edges joining them is substantially more than ? , Our hypothesis tells us that if we pick a random vertex in the graph, then its neighbourhood will on average have greater edge density than . So we have a large collection of sets where  is too dense. However, these sets are all rather small. So can we put them together? The answer is yes but the proof is non-trivial and depends crucially on the fact that the neighbourhoods of the vertices are forced (by the randomness of ) to spread themselves around., Question. Going back to our Hales-Jewett situation, as described at the end of the previous comment, is it more like Example 1 (which would be bad news for this approach, but illuminating nevertheless), or is it more like the other examples where the non-uniformities are forced to relate to one another and combine to form a global obstruction?</t>
  </si>
  <si>
    <t>C2173</t>
  </si>
  <si>
    <t>493.  DHJ equivalence., Dear Gil,, I see what you mean. I had in my mind the false idea that the function  is roughly continuous in , when of course that is true only near the centre. I now think you are right and that DHJ for slices-equal measure is a stronger result than DHJ (and therefore, I imagine, not a known result at all). The reason I think that is that Sperner for slicees-equal seems to be stronger than Sperner for the uniform measure., Of course, the other direction is the one we actually need, so this doesn’t mean that proving DHJ for slices-equal measure is a waste of time.</t>
  </si>
  <si>
    <t>C2174</t>
  </si>
  <si>
    <t>actually this might work</t>
  </si>
  <si>
    <t>494. DHJ equivalence., Actually, perhaps there is a way of deducing slices-equal DHJ from uniform DHJ. Let  be a dense subset of  in the slices-equal measure. Find a small triangular grid of slices  where  is on average dense, where all  in the grid are close to  that are bounded away from 0 and . Suppose, for the sake of example, that your slices are all very close to . Now choose a random  coordinates and fix them to be 3. On average, your set will still be dense, and now you have a new  (it is the old ) and all slices are near the middle so that they all have roughly the same weight.</t>
  </si>
  <si>
    <t>CTao_35793</t>
  </si>
  <si>
    <t>Thomas Sauvaget</t>
  </si>
  <si>
    <t>275. : an example, Inspired by the previous discussion, I think I’ve found an example showing that , I’d be grateful if someone could check it.  , I’m using slightly different notations: instead of cartesian coordinates I’m using left-to-right ordering of words recursively to make visualisation easy.  Namely, when  is even increase upwards, when  is odd increase righwards. In this way we can deal with 2-dimensional patterns only. For example  looks like this:
131 132 133   231 232 233  331 332 333
121 122 123   221 222 223  321 322 323
111 112 113   211 212 213  311 312 313   , Given those notations here is what I think is a 154-element line-free pattern in :,  , The bottom-left black element is 11111 (not in the set), and so on. The two lone red elements are removed (Michael’s idea, here these are 12222 and 13333), then I found that removing the 6 other red elements leads to a line-free set (note that these 6 red elements are all on a super-diagonal).  Total is thus . This would also fit with the OEIS sequence A052979 mentionned above., I’ve built the example recursively by matching lower conditions starting from the bottom left  square, first killing straight lines then diagonals, then doing the same with the other  squares from .   In fact there is still some freedom in the pattern:  the two squares I’ve circled with blue could have any of the 3 elementary  patterns, but here I’ve chosen the most symmetric ones., It seems that this construction is fairly topological and systematic, it may well be possible to get an explicit recursive formulation, and thus a formula for estimating . I’ll try to come back to it if indeed the example is correct.</t>
  </si>
  <si>
    <t>CTao_35795</t>
  </si>
  <si>
    <t>check work</t>
  </si>
  <si>
    <t>276: , Dear Thomas,, It unfortunately seems to me that the bottom row of the middle  contains some horizontal lines (e.g. the three centres of the three ‘s in this bottom row).  There are also some lines on the top row and on the left and right columns of this middle ., (If you write each of the ‘s in xyz notation, one sees the problem; there are a bunch of rows and columns which only have two of the three patterns x, y, z and so let some lines slip in.  The ‘s with three red squares in them are the intersection of two of the x, y, z and can kill more lines, but unfortunately this doesn’t cover all the possible lines.), But it could be that some permutation of this sort of strategy could work… it may provide the first good example we have which is not based off of the  set.</t>
  </si>
  <si>
    <t>C2175</t>
  </si>
  <si>
    <t>think "as abstractly as possible"</t>
  </si>
  <si>
    <t>503.  Combining obstructions., I want to think as abstractly as possible about when obstructions in small subsets are forced to combine to form a single global obstruction. For simplicity of discussion I’ll use a uniform measure. So let  be a set, let  be subsets of , and let us assume that every  is contained in exactly  of the . Let us assume also that the  all have the same size (an assumption I’d eventually hope to relax) and that a typical intersection  is not too small, though I won’t be precise about this for now., For each  let  be some function. Then one simple remark one can make (which doesn’t require anything like all the assumptions I’ve just made) is that if we can find  that correlates with many of the , then there must be lots of correlation between the  themselves. To see this, recall first that  is the constant function 1. Therefore,  is a function that takes values in . Furthermore, . Since , and we can rewrite it as , we find that on average  must be a substantial fraction of its trivial maximum . If  is large, so that the diagonal terms are negligible, then this says that there are lots of correlations between the ., In my next comment I will discuss a strategy for getting from this to a globally defined function, built out of the , that correlates with  and is likely to have good properties under certain circumstances.</t>
  </si>
  <si>
    <t>C2177</t>
  </si>
  <si>
    <t xml:space="preserve">except he really doesn't ask a question ;) </t>
  </si>
  <si>
    <t>504. Combining obstructions., Tim – Before you define a general local-global uniformity, please let me ask a question. For extremal set problems it was very useful – and we used it before – to take a random permutation of the base set n and considering only sets which are “nice” in this ordering. For example, let us consider sets where the elements are consecutive. If the original set system was dense, then in this window, that we had by a random permutation, is a dense set of intervals. Here we can define/check uniformity easily. Disjoint sets are disjoint, and one can also analyze intersections. I didn’t do any formal calculations, however this window might give us some information we want and it is easy to work with.  (We won’t find combinatorial lines there, so I don’t see direct a proof for DHJ, but it’s not a surprise …)</t>
  </si>
  <si>
    <t>CTao_35799</t>
  </si>
  <si>
    <t>200 -&gt; 700</t>
  </si>
  <si>
    <t>277.  Thread moving, As this thread is beginning to get quite long, I am moving it to a new thread, starting at 700:, https://terrytao.wordpress.com/2009/02/13/bounds-for-the-first-few-density-hales-jewett-numbers-and-related-quantities/</t>
  </si>
  <si>
    <t>CTao_35800</t>
  </si>
  <si>
    <t>613.  Stationarity II, DHJ(3)(c) finds combinatorial lines in stationary -systems .  It turns out to be convenient to eliminate the role of n, and instead work with stationary -systems , where  is the space of all words of finite length with alphabet {0,1,2}.   (Paper #1 uses the notation  for .)  It is clear that DHJ(3)(c) implies, DHJ(3)(c*): If  is a stationary -system, with E having positive measure, then there is a combinatorial line  such that ., In a similar spirit, DHJ(3)(b) is easily seen to be equivalent to, DHJ(3)(b*): If  is a -system, with the  having measure uniformly bounded away from zero, then there is a combinatorial line  such that ., To finish the proof of Proposition 3.1, we need to deduce DHJ(3)(b*) from DHJ(3)(c*).  Broadly speaking, the idea is to start with a -system and repeatedly use Carlson-Simpson-type Ramsey theorems to pass to subsystems in which become increasingly stationary., A -system can be viewed as a collection of random sets , one for each n.  As noted already in 610, stationarity implies that  has the same distribution as  for all n and all words , where of course we identify  with  in the obvious manner.</t>
  </si>
  <si>
    <t>C2185</t>
  </si>
  <si>
    <t>sound but might not be feasible</t>
  </si>
  <si>
    <t>508. Ergodic-mimicking general proof strategy:, Okay, I will give my general idea for a proof. I’m pretty sure it’s sound, though it may not be feasible in practice. On the other hand I may be badly mistaken about something. I will throw it out there for someone else to attempt, or say why it’s nonsense, or perhaps ignore. I won’t formulate it as a strategy to prove DHJ, but of what I’ve called IP Roth. If successful, one could possibly adapt it to the DHJ, k=3 situation, but there would be complications that would obscure what was going on. , We work in $X=n^{n}\times n^{n}$. For a real valued function $f$ defined on $X$, define the first coordinate 2-norm by $||f||^1_2=(\iplim_b\iplim_a {1\over |X|}\sum_{(x,y)\in X} f((x,y))f((x+a,y))f((x+b,y))f((x+a+b,y)))^{1\over 4}$. The second coordinate 2-norm is defined similarly (on the second coordinate, obviously). Now, let me explain what this means. $a$ and $b$ are subsets of $n$, and we identify $a$ with the characteristic function of $a$, which is a member of $n^{n}$. (That is how we can add $a$ to $x$ inside, etc. Since $n$ is a finite set, you can’t really take limits, but if $n$ is large, we can do something almost as good, namely ensure that whenever $\max\alpha&lt;\min\beta$, the expression we are taking the limit of is close to something (Milliken Taylor ensures this, I think). Of course, you have to restrict $a$ and $b$ to a subspace. What is a subspace? You take a sequence $a_i$ of subsets of $n$ with $\max a_i&lt;\min a_{i+1}$ and then restrict to unions of the $a_i$. , Now here is the idea. Take a subset $E$ of $X$ and let $f$ be its balanced indicator function. You first want to show that if *either* of the coordinate 2-norms of $f$ is small, then $E$ contains about the right number of corners $\{ (x,y), (x+a,y), (x,y+a)\}$. Restricted to the subspace of course. What does that mean? Well, you treat each of the $a_i$ as a single coordinate, moving them together. The other coordinates I’m not sure about. Maybe you can just fix them in the right way and have the norm that was small summing over all of $X$ still come out small. At any rate, the real trick is to show that if *both* coordinate 2-norms are big, you get a density increment on a subspace. Here a subspace surely means that you find some $a_i$s, treat them as single coordinates, and fix the values on the other coordinates.</t>
  </si>
  <si>
    <t>C2180</t>
  </si>
  <si>
    <t>simple ... so most likely false</t>
  </si>
  <si>
    <t>505. Combining obstructions., In my previous post I said that we won’t see combinatorial lines in a random permutation. Now I’m not that sure about it. So, here is a simple statement which would imply DHJ (so it’s false most likely, but I can’t see a simple counterexample) If you take a dense subset of pairwise disjoint intervals in n then there are four numbers a, b, c, d in increasing order that a,b,c,d and a,c,c,d and a,b,b,d are in your subset.
The rough numbers – counting the probability that there is no such configuration in a random permutation – didn’t give me any hint. I have to work with a more precise form of Stirling’s formula. I need time and I will work away from the computer. (I have to leave shortly anyways)</t>
  </si>
  <si>
    <t>C2181</t>
  </si>
  <si>
    <t>issue with earlier work</t>
  </si>
  <si>
    <t>506., The “simple statement” above is clearly false, just take pairs where
one interval is between 1 and n/2 and the second is between n/2 and n. But I think this is not a general problem for our application where we might be able to avoid such “bipartite” cases.</t>
  </si>
  <si>
    <t>CTao_35801</t>
  </si>
  <si>
    <t>random is essentially stationary; posting to wiki update</t>
  </si>
  <si>
    <t>614.  A possible simplification, It appears to me that one can in fact get stationarity for free (and avoid invoking the Carlson-Simpson theorem here).  The basic observation is that when one deduces DHJ(3)(b) from DHJ(3)(a) by using a random m-dimensional subspace inside , the random set obtained in this fashion already is essentially stationary by construction.  I’ll write up the details on the wiki and report back here when I’m done., (This does not completely eliminate the need for Carlson-Simpson, though, as such results are also used later in the paper.)</t>
  </si>
  <si>
    <t>C2182</t>
  </si>
  <si>
    <t>will this work?</t>
  </si>
  <si>
    <t>495. DHJ equivalence. , Actually, on second thought, I do not think the DHJ for sliced-equal measure easily implies DHJ or is easily implied by DHJ. Since the two measures in questions are mutually singular it seems a priori that an easy reduction will be a little miracle., For Sperner, the result that in the silced-equal measure the maximum measure of an antichain is at most 1/n indeed easily implies that the maximum measure for an antichain in the uniform measure is at most . , Now, the heuristic argument from 494 is appealing but suspicious. Will all the slices be sufficiently near the middle, or rather look near but actually be in the shallow boundary of the middle where “roughly the same” still be too “roughly”?</t>
  </si>
  <si>
    <t>CTao_35804</t>
  </si>
  <si>
    <t>Terry.39</t>
  </si>
  <si>
    <t>277. lower bound of , I tried a pattern of points based on Terry.39’s suggestion.  It seems to give asymptotic results similar to what he thought. , First define a sequence, of all positive numbers which, in base 3, do not contain a 1.  Add 1 to all multiples of 3 in this sequence.  This sequence does not contain a length-3 arithmetic progression., It starts 1,2,7,8,19,20,25,26,55, …, Second, list all the (abc) triples for which the larger two differ by a number
from the sequence, excluding the case when the smaller two differ by 1, but then including the case when (a,b,c) is a permutation of N/3+(-1,0,1), This had numerical asymptotics for  close to
$latex 1.2-\sqrt(\log(n)) between n=1000 and n=10000, Sune.273: Sorry, I haven’t written all the numbers in yet for my pattern – I am only up to 70, so another formula is used to give lower bounds after that.</t>
  </si>
  <si>
    <t>C2183</t>
  </si>
  <si>
    <t>partial proof</t>
  </si>
  <si>
    <t>arbitrary to uniform</t>
  </si>
  <si>
    <t>496.  DHJ equivalence., There’s no problem getting from an arbitrary measure to the uniform measure. The proof is as follows. Suppose I know that every set that is dense in the measure  contains a combinatorial line. Now suppose I want to find a combinatorial line in a set  that has density  in the uniform measure on  if  is sufficiently large. Pick  such that every subset of  of -density  contains a combinatorial line. Now randomly embed  into  by choosing  variable coordinates and fixing the rest. We may suppose that every point in  has  of each coordinate value and that . Therefore, changing  coordinates hardly changes the density of a slice. It follows that each point of  is in approximately the same number of these random subspaces. Therefore, by averaging, there is a random subspace inside which  has -density at least . (We could think of it Terry’s way: as we move the random subspace around, what we effectively have is a bunch of random variables, each with mean approximately , so by linearity of expectation we’ll get -density at least  at some point, whatever the measure  is.), The other way round I am less sure of. I think I’ll have to go away and actually try to write out the calculation rigorously.</t>
  </si>
  <si>
    <t>C2184</t>
  </si>
  <si>
    <t>bengreen</t>
  </si>
  <si>
    <t>507., Tim,, Regarding your Example 2 in 502 above, here is a cheat way to get a global obstruction. If you correlate with a linear phase on many progressions of length sqrt{N} then you also have large U^2 norm on each such progression. Summing over all progressions, this means that the sum of f over all parallelograms (x,x+h,x+k,x+h+k) with |k/h| \leq \sqrt{N}, or roughly that, is large., But even if you only control such parallelograms with k = 2h this is the same as controlling the average of f over 4-term progressions, and one knows that is controlled by the *global* U^3 norm and  hence by a global quadratic object (nilsequence). That will allow you to “tie together” the frequencies of the trig polys that you correlated with at the beginning, though I haven’t bothered to think exactly how. One just needs to analyse which 2-step nilsequences correlate with a linear phase on many progressions of length sqrt{N}, and it might just be ones which are essentially 1-step, and that would imply that f correlates globally with a linear phase., BY the way much the same argument shows that if you have large U^k norm on many progressions of length sqrt{N} (say) then you have large global U^{2^k -1} norm., Ben</t>
  </si>
  <si>
    <t>C2206</t>
  </si>
  <si>
    <t>DHJ (2.6):, Here’s what looks like a combinatorial proof, modulo reduction to sets and Graham-Rothschild being kosher (at least no infinitary theorems are used). Put everything in the sets formulation, where you have sets $B_w$ of measure at least $\delta$ in a prob. space. (No need for stationarity.) Now color combinatorial lines $\{ w(0),w(1),w(2)\}$ according to whether $B_{w(0)}\cap B_{w(1)}$, $B_{w(0)}\cap B_{w(2)}$ and  $B_{w(1)}\cap B_{w(2)}$ are empty or not (8 colors). By Graham-Rothschild, there is an $n$-dimensional subspace all of whose lines have the same color for this coloring. Just take $n$ large enough for the sets version of DHJ (2.5).</t>
  </si>
  <si>
    <t>C2186</t>
  </si>
  <si>
    <t>C2177; 500</t>
  </si>
  <si>
    <t>509.  Quasirandomness., Jozsef, re 504, what you describe is what I thought I was doing in the second paragraph of 500. The nice thing about taking a random permutation and then only looking at intervals is that you end up with dense graphs. The annoying thing is that these dense graphs don’t instantly give you combinatorial lines. However, they do give correlation with a Cartesian product, so my hope was to put together all these small dense Cartesian products to get a big dense “Kneser product”. At the moment I feel quite hopeful about this. I’ve got to go to bed very soon, but roughly my planned programme for doing it is this., Suppose you have proved that there are a lot of pairwise correlations between the . Then I want to think of these  as unit vectors in a Hilbert space and find some selection of them such that most pairs of them correlate. Here’s a general dependent-random-selection procedure for vectors in a finite-dimensional Hilbert space. Suppose I have unit vectors . Now I choose random unit vectors  and pick all those  such that  for every . The probability of choosing any given  is obviously . Now the probability that  and  are both positive is equal to the proportion of the sphere in the intersection of the positive hemispheres defined by  and , which has measure , where  is the angle between  and . So the probability of picking both  and  is . So if  and we have lots of correlations of at least , then we should end up with almost all pairs that we choose having good correlations. It is some choice like this that I am currently hoping will give rise to a global obstruction to uniformity., The more I think about this, the more I am beginning to feel that it’s got to the point where it’s going to be hard to make progress without going away and doing calculations. I don’t really see any other way of testing the plausibility of  some of the ideas I am suggesting.</t>
  </si>
  <si>
    <t>Tao_4</t>
  </si>
  <si>
    <t>cuz Tao's system sucks</t>
  </si>
  <si>
    <t xml:space="preserve">
This thread is a continuation of the previous thread here on the polymath1 project.  Currently, activity is focusing on the following problems:
1.  Upper and lower bounds for  for small n.
Let  be the largest size of a set in  without a combinatorial line.  Thanks to efforts from previous threads, we have the first five values of :
.
We also know that , and are working to narrow this further.  The arguments justifying these bounds can be found here.  The latest bounds for the next few values of  can be found here.
2.  A hyper-optimistic conjecture
Consider a variant of the above problem in which each element of  with a 1s, b 2s, and c 3s is weighted by the factor ; this gives  a total weight of .  Let  be the largest weight of a line-free set of , and let  be the largest size of a subset of
which contains no upward-pointing equilateral triangles  with .  It is known that ; the “hyper-optimistic conjecture” is that one in fact has .  This would imply density Hales-Jewett for k=3.
Currently, we know the following values for these sequences:
and
.
There are also some further upper and lower bounds known; see this spreadsheet for the latest bounds, and this page for proofs of the bounds.  The data so far is consistent with the conjecture, but more work would be needed to obtain a more convincing case for it.
3.  Asymptotics for Moser’s cube problem
Moser’s cube problem asks to compute the largest size  of a subset of the cube  without geometric lines.  The first few values of  are known:
.
The best asymptotic lower bound known is .  Given that we have a significantly superior lower bound of  for , one might hope to similarly improve the lower bound for Moser’s problem.  But there seems to be a technical snag, based on the observation that between two slices  and  with the , there are in fact quite a few combinatorial lines connecting them, and so it is not obvious how to create a geometric line-free set that involves more than one slice per value of c-a.
It is also of interest to work out what asymptotic lower bound for  one can get for larger values of k than 3.
Comments on this thread should start at 700.  We will also try to record progress made at the polymath1 wiki and at the polymath1 spreadsheet, as appropriate.
</t>
  </si>
  <si>
    <t>CTao_35807</t>
  </si>
  <si>
    <t>700. bound on , then on , in order not to burden this thread I’m inviting any other attempts along the lines of 275 to be discussed at: , http://thomas1111.wordpress.com/2009/02/14/a-proof-that-c_5154/, and if things work out we’ll report a brief summary back here and in the wiki, after the (possibly longish) trial/error period. Currently I’ve found a new pattern for  which requires independent confirmation/infirmation.</t>
  </si>
  <si>
    <t>CTao_35809</t>
  </si>
  <si>
    <t>cautionary note</t>
  </si>
  <si>
    <t>701.  bound on ., By the way, one cautionary note: I think any line-free subset of the 162-element set  must have at most 150 points.  Proof: one can view  as  with  deleted for the triples .  From the triples  one more point needs to be deleted, and similarly for .  Meanwhile, from the triples  five more points need to be deleted, and similarly for , leading to at most 150 points overall., at least one point needs to be deleted from</t>
  </si>
  <si>
    <t>C2187</t>
  </si>
  <si>
    <t>Another general question (I think we discussed it but I forgot what was the conclusion.) How far can we bound from above the number of wild coordinates in the combinatorial lines so that DHJ (for k=3) is still correct? For Sperner it is enough that the number of wild coordinates tends to infinity as slow as we want, is that so also for DHJ?</t>
  </si>
  <si>
    <t>C2188</t>
  </si>
  <si>
    <t>reading seminar is helping me SEE THINGS (and he's already an expert)</t>
  </si>
  <si>
    <t>510.  Stationarity, The reading seminar is already paying off for me, in that I now see that the random Bernoulli variables associated to a Cartesian half-product automatically enjoy the stationarity property, which will presumably be useful in showing that those half-products contain lines with positive probability.  (I also plan to write up this strategy on the wiki at some point.), Let’s recall the setup.  We have a set A of density  in  that we wish to find lines in.  Pick a random x in , then pick random  in the 0-set of x, where  does not depend on n.  This gives a random embedding of  into , and in particular creates the strings  for , formed from x by flipping the  digits from 0 to 1, and the  digits from 0 to 2.  I like to think of the  as a “Cartesian half-product”, which in the m=4 case is indexed as follows:, 0000 0002 0022 0222 2222
1000 1002 1022 1222
1100 1102 1122
1110 1112
1111, Observe that  form a line whenever .  We have the Bernoulli events ., We already observed that each of the  have probability about , thus the one-point correlations of  are basically independent of i and j.  More generally, it looks like the k-point correlations of the  are translation-invariant in i and j (so long as one stays inside the Cartesian half-product).  For instance, when , the events  and  (which are the assertions that the embedded copies of 0000, 1000 and 0002, 1002 respectively both lie in A) have essentially the same probability.  This is obvious if you think about it, and comes from the fact that if you take a uniformly random string in  and flip a random 0-bit of that string to a 2, one essentially gets another uniformly random string in  (the error in the probability distribution is negligible in the total variation norm).  Indeed, all the probabilities of  are essentially equal for all i,j for which this makes sense.  And similarly for other k-point correlations., I don’t yet know how to use stationarity, but I expect to learn as the reading seminar continues.</t>
  </si>
  <si>
    <t>C2189</t>
  </si>
  <si>
    <t>Dear Gil,, Yes, we can in fact make the number of wildcards bounded by  depending only on m.  Indeed, one basically takes m to be the first index for which DHJ is true at this density.  The pigeonhole principle then tells us that there is an m-dimensional slice of the big set which also has density , and the claim follows.</t>
  </si>
  <si>
    <t>CTao_35812</t>
  </si>
  <si>
    <t>check understanding; recap in own language;</t>
  </si>
  <si>
    <t>615.  Let me try to recap Terry’s points, passing from DHJ(3)(a) to DHJ(3)(c), in my own language., Let  be a given set of density ., Let  be some moderate integer; perhaps  when  is a “constant”., Let  be a random subset of cardinality .  Imagine choosing a “random restriction”  to the coordinates .  I.e.,  is chosen uniformly at random., Then  induces a probability distribution on subsets of .  Call the induced subset ., Let  denote a string in .  I will use the notation “” for the string in  gotten by appropriately piecing  and  together.  , We claim that for *each* string , the probability (over choice of ) that  is at least .  On one hand, note that  is *not* a uniformly distributed string in .  For example, if  is the all-0’s string, then the distribution on  is slightly biased towards those strings with more 0’s.  , Still if  is “small enough” then the distribution will be very close to uniform (except around the “extreme slices” of , but  has almost all its density outside these slices anyway).  And this should prove the claim with a minimum of calculations., At this point we’re at DHJ(3)(b); on to DHJ(3)(c).  “Stationarity” here would seem to be that for any further restriction  to coordinates , the resulting distribution on the set  (a subset of ) is the same., Again, this is not true, but it should be “almost” true.  And it seems like we’re only going for “almost stationarity”, not “stationarity” anyway., In fact, it seems to me that whereas “(almost) stationarity” importantly involves an *ordering* on the coordinates , it seems this argument doesn’t really.  I.e.,  need not be a “suffix” of  or anything.</t>
  </si>
  <si>
    <t>C2190</t>
  </si>
  <si>
    <t>Dear Gil,, In the end I didn’t have to do a calculation to see that my argument for the reverse implication was wrong. If you condition on  particular coordinates equalling 3, then that hugely affects what slice you are likely to have chosen, so you no longer have slices-equal measure. This is one area where the uniform measure scores over the slices-equal measure.</t>
  </si>
  <si>
    <t>C2191</t>
  </si>
  <si>
    <t>502.2; 507</t>
  </si>
  <si>
    <t>here's my work - please check</t>
  </si>
  <si>
    <t>511.  Local-to-global, Re 502 Example 2 and 507, I think I now have a simple way of getting a global obstruction in this case, but it would have to be checked. Suppose that  is a function that correlates with a trigonometric function on a positive proportion of the APs in  of length . Here  could be very small — depending on the size of the correlation only I think., Now suppose I pick a random AP of length 3. Then it will be contained in several of these APs of length , and if  is prime each AP of length 3 will be in the same number of APs of length . At this stage there’s a gap in the argument because lack of uniformity doesn’t imply that you have the wrong sum over APs of length 3, but it sort of morally does, so I think it might well be possible to deal with this and get that the expectation of  is not small — perhaps by modifying  in some way or playing around with different . And then we’d have a global obstruction by the  inverse theorem., Alternatively, instead of using APs of length 3, it might be possible to use additive quadruples  but under the extra condition that there is a small linear relation between  and . That would give a useful positivity. I haven’t checked whether lack of uniformity on such additive quadruples implies that the  norm is large, but the fact that 3-APs give you big  is a promising sign.</t>
  </si>
  <si>
    <t>CTao_35816</t>
  </si>
  <si>
    <t>translation of paper 1 on the wiki</t>
  </si>
  <si>
    <t>616., Thanks Ryan, this fleshes out what I was trying to say., I’ve started a running “combinatorial translation” of paper #1 on the wiki at, http://michaelnielsen.org/polymath1/index.php?title=Furstenberg-Katznelson_argument, It’s likely to evolve in unstable ways over time (in particular, I am likely to overhaul the notation as I understand more of the big picture) but hopefully will eventually settle down., As you note, the random sampling construction gives additional stationarity properties beyond those used in Paper #1.  In particular, the random sets  are also stationary wrt permutations of the index set m.  It’s not clear whether this additional symmetry could be useful though (it might even be harmful, because later parts of the proof may need to break this symmetry and so trying to hold on to it may be counterproductive).</t>
  </si>
  <si>
    <t>CTao_35817</t>
  </si>
  <si>
    <t>recap summarizing previous comments and first paper</t>
  </si>
  <si>
    <t>617.  Recap, I’m now going to try to recapitulate the previous discussion in light of the new simplification, thus moving away from the presentation in Paper #1.  (I guess I am changing the rules a little bit here from a “reading seminar” to a “revisionist seminar”, but I said that the rules would be made up as we went along. :-) )  I will try to keep the wiki page above current with the latest revision of thinking., Let  be a dense line-free subset of , where n is very large.  For every small integer m, we can then form a random line-free subset  by randomly embedding  inside  (by picking m random positions for the wildcards, and then picking the frozen positions randomly), and then pulling  back by this map.  One can think of  as a random variable taking values in the power set , so its probability distribution is a probability measure  on ., By construction,  is stationary with respect to the permutation group  of m, i.e.  is invariant wrt the action of .  Also, for any word , the slicing map  defined by, , is almost stationary in the sense that for fixed m, r, and w, the random variables  and  have asymptotically the same distribution in the limit ., Taking a subsequence limit as  (and using the Helly selection principle, a.k.a. the vague sequential compactness of probability measures), we can then find random line-free sets  (or equivalently, a probability measure  on ) which is stationary with respect to the permutation groups  acting on , and also with respect to the slicing maps .  Also, if the  all have density at least , then so do the : in particular,  will be non-empty with probability at least , which implies that for any , that  with probability at least  also., This is all very well and good, but there is one minor technical problem which will cause difficulty in later parts of paper #1: the slicing maps  are not invertible.  We would like to upgrade them to be invertible (thus upgrading the semigroupoid of transformations  to a groupoid), thus giving us DHJ(3)(c*) in its full strength.  This can be done, but requires extending the measure spaces  a bit (or, in probabilistic language, adding a whole bunch of “dice” or “random number generators”).  I plan to talk about this in a later comment.</t>
  </si>
  <si>
    <t>CTao_35821</t>
  </si>
  <si>
    <t>inversion of maps; paper #1 still</t>
  </si>
  <si>
    <t>618.  Inversion of maps, There is a simple lemma that says that any finite probability-preserving surjective map can be inverted if one throws in a random number generator that draws uniformly from 0,1.  More precisely:, Lemma  Let  be a surjective map from one finite probability space to another which preserves the probability measure (in the sense that U pushes the probability measure on X forward to the probability measure on Y).  Then one can lift this map to an invertible measure-preserving map , with product measure., I prove this lemma in the wiki notes, but let’s just illustrate this with the simplest example: the non-injective map from the two-element space {a,b} (with probability 1/2 of each) to the one-element space {c}.  One invertible lift of this map is the map  which maps (a,t) to (c,t/2) and (b,t) to (c,(t+1)/2).  Many other choices are possible; this lift is not unique., Applying this lift to all of the generators , we can now find probability spaces  and invertible measure-preserving maps  that commute with the slicing maps .  Concatenating these maps then give us more invertible measure-preserving maps  for all words w of length r.  We are now basically in the situation of DHJ(3)(c*), which the rest of Paper #1 aims to prove.  (It’s slightly different because we’ve “graded” the underlying probability space X, replacing it with a sequence  of probability spaces, but I don’t think this will make much of a difference.), Remark: the lemma here is my interpretation of Lemma 3.2 in Paper #1; the statement there is false as stated, but can be repaired by throwing in the 0,1 as is done above.</t>
  </si>
  <si>
    <t>CTao_35824</t>
  </si>
  <si>
    <t>frivolous comment</t>
  </si>
  <si>
    <t>619., A frivolous comment, for the combinatorially minded: the Lemma in 618 is in some sense a continuous version of (a special case of) Hall’s marriage theorem, and serves much the same purpose (viz. conjuring up a bunch of artificial but useful perfect matchings out of thin air).</t>
  </si>
  <si>
    <t>CTao_35825</t>
  </si>
  <si>
    <t>idea while slightly lost</t>
  </si>
  <si>
    <t>does this play a similar role to a pivot dumb question? what things do people come up with when slightly lost?</t>
  </si>
  <si>
    <t>620.  Inversion of maps., I’m getting slightly lost in notation and also slightly lost because I don’t quite know where this is going.  However it seems to me that we might not eventually need a completely general Lemma like the one in Terry.618.  Some natural randomized-inverse map might work in our context; e.g., tack on a random substring from .</t>
  </si>
  <si>
    <t>CTao_35827</t>
  </si>
  <si>
    <t>from not enough to infinite entropy - per "Hilbert's hotel"</t>
  </si>
  <si>
    <t>621. Inversion of maps, Sorry about the notation shifting – I also don’t fully know where we are going either, and this I think is reflected in the notation…, We’re not inverting a map from  to , but rather a map from  to  (which, I guess, is induced by an embedding of  in ).  Given a word w of length r, and a set , we have the slice , defined as, ., Stationarity tells us that if we take the random set  and look at a slice  of it (think of w as fixed), one gets back something with the same distribution as the random set .  But one cannot initially invert this procedure: starting with the random set , one cannot deterministically lift it back to a set in  that has the same distribution as  (and which agrees with to  on the slice) – there is not enough entropy in the domain and too much in the range.  But one can do this once one has a random number generator, which I am modeling by a uniform distribution on 0,1 – this gives us an infinite amount of entropy on both sides and removes the obstruction to invertibility, as per “Hilbert’s hotel”.  (One has to take care that one only performs “reversible computations” in order to maintain invertibility, but this is a minor technical detail.)</t>
  </si>
  <si>
    <t>C2192</t>
  </si>
  <si>
    <t>512.  Stationarity., Just a small note on Terry.#510:  Is there any particular reason for choosing the indices  from the 0-set of the initial random string ?  , If not, the probabilistic analysis might be very slightly cleaner if we simply say, “Choose  random coordinates  and fill in the remaining  coordinates at random.  Now consider the events …”</t>
  </si>
  <si>
    <t>CTao_35837</t>
  </si>
  <si>
    <t>put a pin in the idea</t>
  </si>
  <si>
    <t>remember &amp; unrestrict later</t>
  </si>
  <si>
    <t>622.  Understood, I’m just thinking that since we got to  in the first place by making a large random restriction, perhaps we can “remember” this and “unrestrict”  coordinates later.  Just guessing… I’m probably being too speculative right now. Best to see where the next parts of the arguments go.</t>
  </si>
  <si>
    <t>C2193</t>
  </si>
  <si>
    <t>C2183, Terry?</t>
  </si>
  <si>
    <t>like this idea</t>
  </si>
  <si>
    <t>497. DHJ for various measures, Thanks Tim and Terry; The implication from general measures to uniform measures is neat and simple. (it is even simpler when the problem is group-invariant like for cap sets.) I suppose that there is no simple implication in the other direction and this has the benefit of making the DHJ problem for the slice-equal measure an open problem., I find the idea that changing the measure will help (e.g. difficulties described by some counter examples go away) quite appealing. (We talked in the threads about biased Bernoulli measures and about the slice-equal measure which is simply the simple average of all Bernoulli measures.) I wonder if there is a nice basis of orthgonal functions (like the Fourier transform) suitable for the slice-equal measure.</t>
  </si>
  <si>
    <t>C2194</t>
  </si>
  <si>
    <t>513. Stationarity, Yeah, you’re right; I was rather clumsily thinking of the base point x as being the lower left corner of the embedded space, when in fact one only needs to think of what x is doing outside of the variable indices.  (I’ve updated the wiki to reflect this improvement.)</t>
  </si>
  <si>
    <t>CTao_35842</t>
  </si>
  <si>
    <t>present solution</t>
  </si>
  <si>
    <t>702. Lower bound for Moser’s cube, The following set gives a lower bound of  points for Moser’s cube: , Take all points with two 2s, and all those with one 2 and an odd number of 1s.</t>
  </si>
  <si>
    <t>CTao_35843</t>
  </si>
  <si>
    <t>working solution</t>
  </si>
  <si>
    <t>703. Lower bound for Moser’s cube, Should the asymptotic lower bound for Moser’s cube be  ?, Now that I’ve read the page on Moser’s cube, you can take all points with q 2s, and all those with q-1 2s and an odd number of 1s, to give  points, where q is the nearest integer to N/3</t>
  </si>
  <si>
    <t>CTao_35844</t>
  </si>
  <si>
    <t>704. Lower bound for Moser’s cube, Dear Michael, I think Stirling’s formula will show that  is roughly .  (One can also see this from the binomial formula  and the law of large numbers, which shows that the bulk of the sum comes from the region .)</t>
  </si>
  <si>
    <t>CTao_35846</t>
  </si>
  <si>
    <t xml:space="preserve">interesting idea; suggested reading; cross threads to 500; can't see it yet but I can imagine it </t>
  </si>
  <si>
    <t>623.  Oh, that’s an interesting idea.  The artificial nature of the transformations used in the Furstenberg-Katznelson argument bothered me a bit, and this would be a much more natural way to do it.  I don’t quite see how to set it up so that everything is completely reversible (i.e. the relevant maps  are invertible), so that entropy is neither created nor destroyed, but I can imagine that it is possible., I’ve read a little further into the paper (an interesting experiment, reading a paper collaboratively a small fragment at a time).  With the above revisionist notation, we now have a sequence  of probability spaces and invertible measure-preserving maps  for all words w, obeying a semigroup law.  The claim is now that for every set  of positive measure, that there exists a combinatorial line  in some cube  for some n such that the triple intersection of , , and  has positive measure (or equivalently, that the random set  contains the line  with positive probability).  , In Paper #1, a somewhat weaker result is proven, namely there exists a line , such that the three pairwise intersections of , , and  have positive measure (thus the random set  will contain any two of the points on this line with positive probability).  The notes in #2 finish the job to get all three points on the line.  This weaker statement is already not obvious to me combinatorially – it’s some sort of triple version of the DHJ(2.5) statement we discussed back around 130 or so.  (I think it is asserting the existence of a positive r for any dense  with r wildcards such that for each ij=01,12,20, there exists a combinatorial line which intersects A in the i and j position.)  I think I’ll ask it at the 500 thread to see if anyone can come up with a combinatorial proof.</t>
  </si>
  <si>
    <t>CTao_35847</t>
  </si>
  <si>
    <t xml:space="preserve">also hi after quarter century ;) </t>
  </si>
  <si>
    <t>705. Bounds for , Oh, I see.  Thanks., I think I can squeeze in some more points with N/6-1 1s, and N/6 2s,
but they will be relatively few., BTW it must be a quarter century since we last met, at Vern’s classes.
I’m delighted to be in this, which is sort of one of your classes.</t>
  </si>
  <si>
    <t>C2195</t>
  </si>
  <si>
    <t>I think I can do that</t>
  </si>
  <si>
    <t>498.  DHJ for various measures, (Getting squeezed for space in this thread!), I think I can derive equal-slices DHJ from regular DHJ., Suppose that  has density  in the equal-slices sense. By the first moment method, this means that A has density  on  on the slices., Let m be a medium integer (much bigger than , much less than n)., Pick (a, b, c) at random that add up to n-m.  By the first moment method, we see that with probability , A will have density  on the  of the slices  with , , .  This implies that A has expected density  on a random m-dimensional subspace generated by a 1s, b 2s, c 3s, and m independent wildcards. Applying regular DHJ to that random subspace we obtain the claim.</t>
  </si>
  <si>
    <t>CTao_35853</t>
  </si>
  <si>
    <t>Klas Markström</t>
  </si>
  <si>
    <t>programmatic solution</t>
  </si>
  <si>
    <t>706. The value of c_5 is 150, I formulated the problem as an integer programing instance and solved it using some of my linear programming tools. The program quickly finds a solutions with 150 points and then reduces the upper bound to 150 in less than 2 minutes, My program correctly gives the known values for the lower c_n and the correct number of solutions for them as well., There are 12 different extremal configurations for c_5., I have started a run for c_6</t>
  </si>
  <si>
    <t>C2196</t>
  </si>
  <si>
    <t>new problem</t>
  </si>
  <si>
    <t>reading seminar - now I have a new problem in between previous ones</t>
  </si>
  <si>
    <t>514.  DHJ(2.6), Back in 130 I asked a weaker statement than DHJ(3), dubbed DHJ(2.5): if A is a dense subset of , does there exist a combinatorial line  whose first two positions only  are required to lie inside A?  It was quickly pointed out to me that this follows easily from DHJ(2)., From the reading seminar, I now have a new problem intermediate between DHJ(3) and DHJ(2.5), which I am dubbing DHJ(2.6): if A is a dense subset of , does there exist an r such that for each ij=01,12,20, there exists a combinatorial line  with exactly r wildcards with ?  So it’s three copies of DHJ(2.5) with the extra constraint that the lines all have to have the same wildcard length.  Clearly this would follow from DHJ(3) but is a weaker problem.  At present I do not see a combinatorial proof of this weaker statement (which Furstenberg and Katznelson, by the way, spend an entire paper just to prove).</t>
  </si>
  <si>
    <t>CTao_35862</t>
  </si>
  <si>
    <t>who is the anonymous contributor for the lower bounds</t>
  </si>
  <si>
    <t>707.  , Klas, that’s quite impressive!  (For comparison, the fact that  took some time to be done by hand.)  It would be great if some data or source code for the run could be made available somewhere (e.g. on the wiki)., The Moser number c’_5 might also be in reach now (it is somewhere between 120 and 129, according to the spreadsheet).  By the way, to the anonymous contributor of the lower bounds for the Moser problem: if you could describe the examples either here or on the wiki page for the Moser problem, that would be great!</t>
  </si>
  <si>
    <t>C2197</t>
  </si>
  <si>
    <t>influence strategy</t>
  </si>
  <si>
    <t>499. Influence strategy of proof, There were several comments regarding the relation with influences, so let me mention a few connections and start with a  “strategy” based on influence proofs. (probably related to Ryan’s suggested approach to Sperner.) , a) 0-1, We have a subset A of  or .
Let  be a combinatorial line let  be the set of fixed coordinates and  be the set of wild coordinetes., Let’s define the projection of A in the direction orthogonal to  as the vectors  in  such that completing   by either the all 0 vector on the  coordinates or the all 1 vector or the all 2 vector gives you a vector in A., We can define the influence as the measure of the projection minus the measure of A. if  is a single coordinate this is the ususal influence., If A has density c and A contains no lines then its influence in every direction is c. (We would like to show that the influence must be substantially smaller in some directions.), So we would like to develop some strategy for showing that there is always a direction (maybe restrict our attention to directions for which R is small) so that the influence in this direction is smaller than c. (Or even smaller than .)  , (To immitate these proofs we do not need to adopt the influence/projection  terminology and can just talk about combinatorial lines.) , If we try to immitate the influence proofs we need to do the following:, a) To give a Fourier expression for the influence (or equivalently the number of combinatorial lines) in direction with  as wild coordinates., b) To note that (perhaps just when S is small) such an expression must obey some restrictions because it is the Fourier expansion of a set or some similar restraint function., c) to reach a contradiction, somehow., (Usually in the influence proofs b is applying some hypercontractive inequality; a major difference is that in these proofs we want to reach a contradiction from having too small influence and here from having too large influence.), b) 0-1-2, We have a subset A of  .
Let  be a combinatorial line let  be the set of fixed coordinates and  be the set of wild coordinetes., We need to give a Fourier description for the numbers of vectors on  which are the projection of at least 1, and at least 2 vectors from A. , Having no combinatorial line amounts to untypical relations between these two quantities and we want to show that they cannot all hold for every S (or every small S). Again this may be easier for DHJ(2.5) and alike., In this vague plan, what seems clearly doable (but require calculations) is giving the Fourier expansion for the different projections and influences.</t>
  </si>
  <si>
    <t>C2198</t>
  </si>
  <si>
    <t>500. DHJ for different measurse
hmm. Right!, We already have a comment 500 over on the other thread, so this looks like the time to declare this thread officially closed! (However, I have something to say about DHJ for different measures, so I’ll do so over there.)</t>
  </si>
  <si>
    <t>CTao_35865</t>
  </si>
  <si>
    <t>708. If c_5 is 150 than if the spreadsheet is correct c_6 is 450. Clearly
c_6 is less than or equal to 3 times c_5 and we have a lower bound
of 450 so that forces c_6 to be 450. c_7 is between 1302 and 1350 since we have a lower bound of 1302 and by the same reasoning 3 times 450 is
1350.</t>
  </si>
  <si>
    <t>CTao_35866</t>
  </si>
  <si>
    <t>709.  A052979 was the last sequence in the OEIS which might have been equal to the sequence c_n but the two sequences diverge if c_5 equals 150.</t>
  </si>
  <si>
    <t>CTao_35868</t>
  </si>
  <si>
    <t>710.  I’ve provisionally updated the spreadsheet to reflect the upper bound for .  (It seems consistent with the difficulties Thomas has been experiencing in trying to improve the lower bound below 150.)  If we have a complete list of all the extremisers for , then it looks likely that one will be able to shave a couple points off of the upper bound 1350 from , though it seems rather unlikely that we will be able to close the gap with the lower bound of  without a massive computational effort.  Still, this is much more of the sequence  computed than I would have initially thought possible, if it all checks out…</t>
  </si>
  <si>
    <t>CTao_35869</t>
  </si>
  <si>
    <t>explain code</t>
  </si>
  <si>
    <t>711. c_5, Terry, I can upload the file with the linear program in a standard format which can be read by  e.g. the open source linear programing solver glpk  from gnu.
The integer programing formulation is quite simple. One 0/1-variable for each point in the cube, and one linear inequality for each combinatorial line., I have a file with the 12 extremal sets for c_5 which I can also upload., I am running the c_6 case to see if I can find the extremal sets there too, but it is considerably harder and I have moved it to a linux cluster where it will run over night. (It’s now late in the evening in Sweden), I did a quick check for the Moser-problem and it seem less well suited for integer programing. I could quickly verify the value of 43 for n=4, but for n=5 the integer gap is much larger than it was for c_5, and that means that it will take a lot longer to run. But I can give it a try later.</t>
  </si>
  <si>
    <t>CTao_35870</t>
  </si>
  <si>
    <t>712.  , If , then as noted in 708,  and so every  extremiser is formed from three  extremisers.  If there are only 12  extremisers, then one should be able to fairly quickly exhaust the  combinations to find all the  extremisers.  (There are also some symmetries of the problem that might be deployable to cut down the search space by a factor of 6 or so.), It may also be possible to get the computer to classify near-extremisers, e.g. 149-element line-free subsets of .  This may then be able to lower the upper bound of  somewhat.</t>
  </si>
  <si>
    <t>C2202</t>
  </si>
  <si>
    <t>515.  Different measures., Terry, I’m not sure I understand your derivation of slices-equal DHJ from uniform DHJ. For convenience let me copy your argument and then comment on specific lines of it., Suppose that  has density  in the equal-slices sense. By the first moment method, this means that A has density  on  on the slices., Let m be a medium integer (much bigger than , much less than n)., Pick (a, b, c) at random that add up to n-m.  By the first moment method, we see that with probability , A will have density  on the  of the slices  with , , ., This implies that A has expected density  on a random m-dimensional subspace generated by a 1s, b 2s, c 3s, and m independent wildcards.,  Applying regular DHJ to that random subspace we obtain the claim., One of my arguments for deducing slices-equal from uniform collapsed because sequences belonging to non-central slices are very much more heavily weighted than sequences that belong to central ones. I don’t understand why that’s not happening in your argument (though I haven’t carefully done calculations). Consider for example what might happen if . Then the weights of individual sequences in the slices of the form  go down exponentially as r increases and as t decreases, even if  is close to . Or am I missing something?, In general, there seems to be a difficult phenomenon associated with the slices-equal measure, which is that unless you’re lucky enough for  to contain bits near the middle, it will be very far from uniform on all combinatorial subspaces where it might have a chance to be dense. Worse still, it doesn’t restrict to slices-equal measure on subspaces.</t>
  </si>
  <si>
    <t>CTao_35873</t>
  </si>
  <si>
    <t>you have to understand x before progressing further - x is Carlson-Simpson theorem</t>
  </si>
  <si>
    <t>624.  Compactification of the string space, I’ve scanned through the rest of the paper, and it seems like one has no choice but to start understanding the statement of the Carlson-Simpson theorem (and its variants) before progressing much further, although one can at least take these statements as “black boxes”.  This theorem is an infinite-dimensional version of the colouring Hales-Jewett theorem, but to state it properly, we need some notation., I’m using  for the strings of length n, and  for the finite length strings.  , We can give  a “3-adic” metric by defining the distance between two distinct strings x, y (possibly of different length) to be , where l is the first digit at which x and y differ (or terminate).  , The metric space  is totally bounded but incomplete.  One can complete it by attaching the space  of infinite strings.  The space  is totally bounded and complete, with  as a dense subspace, thus  is a compactification of .   (Roughly, one can think of  as being like the terminating decimals base 3 in , and  as being like the entire interval .), Paper #1 uses  in place of ., Let X be a compact metric space.  Observe that a map  is uniformly continuous if and only if it extends to a continuous map .  One can think of a uniformly continuous F as an operation that takes a string as input and spits out a point in X as output, but is increasingly insensitive to fluctuations in the  and higher digits as ., Of course, not every map on  is continuous. (A good example of a discontinuous map: the map  that counts the parity of the number of 1s in the string.)  But the Carlson-Simpson theorem is an assertion that every map F from  to a compact set (or a finite set) becomes uniformly continuous when restricted to an “infinite-dimensional combinatorial subspace”.  This allows one to extend F at some key points  of .  The proof is going to proceed by taking the shift maps  (viewed as unitary operators) and taking a suitable limit (in the weak operator topology) as  and working with the limiting operators (which turn out to be orthogonal projections).    I don’t know yet why this is going to be a useful thing to do., In a subsequent comment I will state the Carlson-Simpson theorem properly, both in the finite colouring version (which is the standard formulation) and in the compact version (which is the version preferred by paper #1).</t>
  </si>
  <si>
    <t>CTao_35874</t>
  </si>
  <si>
    <t>CTao_35862; also 702 and 703</t>
  </si>
  <si>
    <t>713. Lower bounds for Moser cubes, Dear Terry.707,, I am sorry, that was me who entered the lower bounds.  I forgot to log into Google before I did so., My logic was as I described in 702 and 703.  You can include all points with q 2s and half of those with q-1 2s.  , Any combinatorial line can only have one entry vary.  In one of the endpoints, it has an odd number of 1s.  So all combinatorial lines are excluded.</t>
  </si>
  <si>
    <t>C2204</t>
  </si>
  <si>
    <t>now I get it</t>
  </si>
  <si>
    <t>516.  Different measures., On second thoughts, I do now follow your argument!</t>
  </si>
  <si>
    <t>CTao_35875</t>
  </si>
  <si>
    <t>what would it take to solve something? "That would improve our lower bound instantly" &lt;-- defining the requirement</t>
  </si>
  <si>
    <t>714. Lower bound for Moser’s cube, We would like to find some restriction on the number of 0-s, 1-s, and 2-s that makes the appearance of a geometric line impossible, but still allows many points. If  denotes the number of 0-s and  denotes the number of 2-s, then fixing the number of 1-s means that we select a,b pairs that a+c = constant. (this is our best solution so far) There is another way to avoid lines; If A and C denote the sets of a-s and c-s, then if the difference set of A, A-A , and the difference set C-C are disjoint then triples (a,*,c) won’t form geometric lines. Now, if  then it is easy to choose them being “difference-disjoint” and that the product |A||C| is about m. This gives the same bound as the a+c=constant trick. But I’m not sure that one can’t find two larger difference-disjoint sets A and C. That would improve our lower bound instantly.</t>
  </si>
  <si>
    <t>CTao_35876</t>
  </si>
  <si>
    <t>715. Lower bound for Moser’s problem, Dear Jozsef, if  are such that , then by the pigeonhole principle there must be a collision in the sumset A+C, i.e. a non-trivial solution to a+c=a’+c’ with  and .  Then a-a’=c’-c, and so A-A and C-C have non-trivial intersection.  So I think this method may not give a substantial improvement over the current example.</t>
  </si>
  <si>
    <t>CTao_35877</t>
  </si>
  <si>
    <t>amusing -- cross/analogy to genetics!!!</t>
  </si>
  <si>
    <t>716.  Genetic algorithms, This is perhaps not something to pursue too seriously here (it would take a non-trivial programming effort, unless someone just happens to have an off-the-shelf piece of GA software lying around), but it would be amusing to see how well a genetic algorithm would fare with trying to maximise the size of a line-free set.  It’s tempting to use blocks of, say,  as “genes” that can be swapped around between competitor sets, possibly with some transposon genes to mix the blocks up a little.  (The evolution of the “phenotype” in Thomas’s blog post might give an illustration of how such an algorithm would develop, sans the “intelligent designer” of course ;-) .), More generally, this problem might serve as a reasonable one for benchmarking a number of standard algorithms (we’ve discussed greedy algorithms, integer programming, genetic algorithms, SAT solvers, and quadratic programming in previous comments).</t>
  </si>
  <si>
    <t>CTao_35878</t>
  </si>
  <si>
    <t>717. Lower bound, Terry, re. 715, yes you are right, however we might handle such cases by considering only some a, c pairs. In general, we can ask what is the max number of edges in a bipartite graph between A and B which still avoids lines. (i.e. by taking (a,*,c) points only where a,c is an edge can’t form lines) If it true that the number of edges of such graph is always at most m?</t>
  </si>
  <si>
    <t>C2205</t>
  </si>
  <si>
    <t>different measures discussion added to wiki</t>
  </si>
  <si>
    <t>517. Different measures, I’ve put a summary of the different measures discussion on the wiki at, http://michaelnielsen.org/polymath1/index.php?title=Equal-slices_measure, (More generally, I will probably be more silent on this thread than previously, but will be working “behind the scenes” by distilling some of the older discussion onto the wiki.)</t>
  </si>
  <si>
    <t>CTao_35879</t>
  </si>
  <si>
    <t>718. Lower bound, Well, it seems that any bipartite graph between  and  which avoids lines has at most m edges. A graph avoids lines iff there are no parallel edges; one edge between a and c and another connecting a+d and c+d. This shows that simply considering the number of 0-s, 1-s, and 2-s can’t give us a better bound than what we have.</t>
  </si>
  <si>
    <t>C2209</t>
  </si>
  <si>
    <t>C2208</t>
  </si>
  <si>
    <t>520. , Terry…the subspace doesn’t depend on the random set A. What I am proving is the (b) formulation, not the (a) formulation. There seems to be some disconnect between the language of ergodic theory and the language of “random sets”, so let me try to translate: one reduces to a subspace where, for each ij=01,12,02, one of the following two things happens: , 1. for all variable words w over the subspace, the probability that both w(i) and w(j) are in A is zero.
2. for all variable words w over the subspace, the probability that both w(i) and w(j) are in A is positive., If you still think there is an issue about a density decrement, just read my proof as a proof of the (b) formulation…there, you can’t have a density decrement upon passing to a subspace because all the sets B_w have density at least \delta.</t>
  </si>
  <si>
    <t>519., Dear Randall, I like this proof, but I am a little worried that A is still dense on the subspace one passes to by Graham-Rothschild.  If A is deterministic, it may well be that the space one passes to is completely empty; if instead A is random, then the Graham-Rothschild subspace will depend on A and it is no longer clear that all the events in that space have probability .</t>
  </si>
  <si>
    <t>C2227</t>
  </si>
  <si>
    <t>can we reduce &amp; analogize?</t>
  </si>
  <si>
    <t>532. Need for Carlson’s theorem?, Terry’s reduction to a use of Folkman instead of Graham-Rothschild, as well as his ideas for increasing the symmetry available, got me thinking there might be a way to reduce to a situation where you are using Hindman’s theorem instead of from Carlson’s theorem in the entire proof. Here is my first attempt…perhaps others can check if this makes sense. Fix a big $n$ and let $A$ be your subset of $k^n$ that you want to find a combinatorial line in. Let $Y$ be the space $2^{k^n}$, that is, all sets of words of length $n$. $U^i_j$ is the map on $Y$ that takes a set $E$ of words and interchanges 0s and js in the ith place to get a new set of words, namely the set $U^i_j E$. (Some of the words in $E$ may be unaffected; in particular, if no word in $E$ has a 0 or j in the ith place, $E$ is a fixed point.) Now let $X$ be the orbit of $A$ under $G$, the group gen. by these maps. It seems that to find a combinatorial line in any member of $X$ will give you a line in $A$. Let $B=\{ E:00…00\in E\}\subset X$. In general, for $U\subset X$, define the measure $\mu(U)$ to be the fraction of $g$ in $G$ such that $gA\in U$. This should give measure to $B$ equal to that of the relative density of $A$, and I am thinking the measure is preserved by the $U^i_j$ maps.  If all of this is right, then things are simpler than FK imagined, because we have that $U^i_j$ commutes with $U^k_l$ for $i\neq k$, which should allow for the use of Hindman in all places were before Carlson was used. In particular, it allows for the use of Folkman in any finitary reduction (rather than Graham-Rothschild). And, in the case of Sperner’s Lemma, well, that becomes a simple consequence of the pigeonhole principle. (Because it’s just recurrence for a single IP system.) To be a bit more precise, in the $k=3$ case, I want to prove that there is some $\alpha\subset n$ such that $\mu(B\cap \prod_{i\in \alpha} U^i_1 B\cap \prod_{i\in \alpha} U^i_2 B)&gt;0$ and conclude DHJ (3). The point is you get to IP systems much more easily with the extra commutativity assumption., Sorry for the ergodic wording. Really at this state I am just hoping someone will check to see if everything I am saying is wrong for some simple reason I have overlooked. If not, we can write up a trivial proof of Sperner and a simplified version of $k=3$ and go from there.</t>
  </si>
  <si>
    <t>C2210</t>
  </si>
  <si>
    <t>521. , Oh, I see now.  That’s a nice argument – and one that demonstrates an advantage in working in the ergodic/probabilistic setting.  (It would be interesting to see a combinatorial translation of the argument, though.), I’ll write it up on the wiki (on the DHJ page) now.</t>
  </si>
  <si>
    <t>CTao_35889</t>
  </si>
  <si>
    <t xml:space="preserve">719. Lower bound for Moser, k=4, A straightforward lower bound for Moser’s cube k=4 (values 0,1,2,3) is:
q entries are 1 or 2; or q-1 entries are 1 or 2 and an odd number of entries are 0., , I think this is </t>
  </si>
  <si>
    <t>C2211</t>
  </si>
  <si>
    <t>522. DHJ(2.6)., Hmm, I see how this is a bit trickier than DHJ(2.5).  For example, for any of the three  pairs you can probably show that if  for some moderate  then there is at least an  chance of having an “ pair” at distance .  But the trouble is, these could potentially be different measure  sets, and since they’re small it’s not so obvious how to show they’re not disjoint., As an example of the trickiness, let , assumed an integer.  Perhaps $\latex A$ is the set of strings whose 0-count is divisible by  and whose 1-count is divisible by .  Now 02-pairs have to be at distance which is a multiple of , and 12-pairs have to be at a distance which is a multiple of .  So you have to be a bit clever to extract a common valid distance, a multiple of .</t>
  </si>
  <si>
    <t>CTao_35890</t>
  </si>
  <si>
    <t>multi-dimensional tic tac toe!</t>
  </si>
  <si>
    <t>720. Multi-dimensional tic-tac-toe, Busy weekend! Are we ready for the OEIS, or should we try a proof by hand that c_5 = 150 first?, I haven’t done much other than realize there might be something about our problem in the literature relating to multi-dimensional tic-tac-toe, and indeed the very first to explore it were Hales and Jewett. (Was this how DHJ was started, or did this occur later?), This article from Contemporary Combinatorics seems to be the most recent treatment.</t>
  </si>
  <si>
    <t>C2213</t>
  </si>
  <si>
    <t>Ryan, , Can you explain more your approach in comment 477. ?</t>
  </si>
  <si>
    <t>C2214</t>
  </si>
  <si>
    <t>524.  DHJ(2.6), A small observation: one can tone the Ramsey theory in Randall’s proof of DHJ(2.6) a notch, by replacing the Graham-Rothschild theorem by the simpler Folkman’s theorem (this is basically because of the permutation symmetry of the random subcube ensemble).  Indeed, given a dense set A in  we can colour n in eight colours, colouring a shift r depending on whether there exists a combinatorial line with r wildcards whose first two (or last two, or first and last) vertices lie in A.  By Folkman’s theorem, we can find a monochromatic m-dimensional pinned cube Q in n (actually it is convenient to place this cube in a much smaller set, e.g. ).  If the monochromatic colour is such that all three pairs of a combinatorial line with r wildcards can occur in A, we are done, so suppose that there is no line with r wildcards  with r in Q with (say) the first two elements lying in A., Now consider a random copy of  in , using the m generators of Q to determine how many times each of the m wildcards that define this copy will get.  The expected density of A in this cube is about , so by DHJ(2.5) at least one of the copies is going to get a line whose first two elements lie in A, which gives the contradiction.</t>
  </si>
  <si>
    <t>C2215</t>
  </si>
  <si>
    <t>relevant Ramsey theorems added to the wiki</t>
  </si>
  <si>
    <t>p.s.  I have placed the statement of relevant Ramsey theorems (Graham-Rothschild, Folkman, Carlson-Simpson, etc.) on the wiki for reference.</t>
  </si>
  <si>
    <t>CTao_35907</t>
  </si>
  <si>
    <t>721. Lower bound for Moser, k=4, Michael, re. 719, you have a better bound by selecting elements where the total number of 1-s and 2-s is n/2. Similar to the k=3 case, one can argue that this is the best possible bound if you only consider the numbers of 0-s,1-s,2-s, and 3-s. For k=5 the situation is better, there we have an arithmetic progression-like sequence just by considering the sizes of digits.</t>
  </si>
  <si>
    <t>CTao_35908</t>
  </si>
  <si>
    <t>coffee before math ;)</t>
  </si>
  <si>
    <t>722. Lower bound for Moser, k=4, contd. It seems that this is practically the same bound as yours, Michael. Sorry for not noticing. I’ll have a morning coffee before writing anything more …</t>
  </si>
  <si>
    <t>CTao_35910</t>
  </si>
  <si>
    <t>723. Lower bound for Moser, k=5, If A, B, C, D, and E denote the numbers of 0-s, 1-s, 2-s, 3-s, and 4-s then the first three points of a geometric line form a 3-term arithmetic progression in A+E+2(B+D)+3C. So, for k=5 we have a similar lower bound for the Moser’s problem as for DHJ k=3.</t>
  </si>
  <si>
    <t>CTao_35911</t>
  </si>
  <si>
    <t>721. Files for c_5=150
I’m a bit short on time today but I want to make the data for c_5 available. I have put the two files on my webserver, temporarily.
If someone is willing to put them in a suitable place in the wiki then that would be great., This file contains the extermisers. One point per line and different extermisers separated by a line with “—”
http://abel.math.umu.se/~klasm/extremal-c5, This is the linear program, readable by Gnu’s glpsol linear programing solver, which also quickly proves that 150 is the optimum.
http://abel.math.umu.se/~klasm/linprog-d=5-t=3.lpt
Each variable corresponds to a point in the cube, numbered according to their lexicografic ordering. If a variable is 1 then the point is in the set, if it is 0 then it is not in the set.
There is one linear inequality for each combinatorial line, stating that at least one point must be missing from the line.</t>
  </si>
  <si>
    <t>CTao_35913</t>
  </si>
  <si>
    <t>request for someone to check the work; also like the rule of thumb to try them both</t>
  </si>
  <si>
    <t>725. c_6
I’m aware that the value of c_6 follows from c_5 and that the extermisers can be constructed from the c_5 extermisers. However when doing computer work for these kinds of things I try to follow the cautious strategy that if one can get the same answer in two different ways then it is best to try them both. This gives a good insurance against mistakes and other errors., It would be good if someone else would be willing to combine the c_5 extermisers into c_6 extermisers. That way we would have an independent construction by that method as well as the pure integer programming run I am doing for the problem now.</t>
  </si>
  <si>
    <t>CTao_35915</t>
  </si>
  <si>
    <t>secondary confirmation; narrow the bounds</t>
  </si>
  <si>
    <t>726., I’ve put the recent progress on c_n and Moser’s problem on the wiki.  Please feel free to edit., I think as soon as we have a second confirmation of the 150 result (either by hand or by computer) we can send the sequence (up to 450) to the OEIS.  I doubt we will pin down  exactly any time soon, though we may be able to narrow the bounds by a bit.</t>
  </si>
  <si>
    <t>CTao_35917</t>
  </si>
  <si>
    <t>220; 219</t>
  </si>
  <si>
    <t>has anyone tried [x]?</t>
  </si>
  <si>
    <t>727., Have anyone tried to generalize the construction in 220? (Michael’s answer to Terry.219)
Do there exist similar examples when a, b and c are not equal? or when r&gt;1?</t>
  </si>
  <si>
    <t>CTao_35918</t>
  </si>
  <si>
    <t>another suggested paper added - "asymptotically noise stable"</t>
  </si>
  <si>
    <t>625. In the analysis of boolean functions there is general intuition of continuous/measurable functions vs. discontinuous/nonmeasurable functions.  Roughly, the former are those functions which are “asymptotically noise stable” (in the sense of Benjamini-Kalai-Schramm: http://citeseerx.ist.psu.edu/viewdoc/summary?doi=10.1.1.48.2927 ) or have “analogue” functions on Gaussian space or the sphere.  I wonder if this viewpoint will be helpful.</t>
  </si>
  <si>
    <t>CTao_35920</t>
  </si>
  <si>
    <t>method</t>
  </si>
  <si>
    <t>n-queens variant is fascinating</t>
  </si>
  <si>
    <t>728. Fujimura’s problem, Thinking about the multi-dimensional tic-tac-toe led to attempting this problem as an n-queens variant., Imagine each removed point as a “queen” that attacks in all six possible directions (and is able to pass over other queens)., For there to be no equilateral triangles, it is necessary but not sufficient for each point without a queen to be attacked by at least n queens. This corresponds with the removal of all n triangles from that point., To be a sufficient condition, each available distance and direction must contain at least one queen. (The three directions are (a+k,b,c) (a,b+k,c) (a,b,c+k) with k&gt;0.), There is also a limit to how many queens any individual queen may be attacked by, but I haven’t gone through the calculations yet.</t>
  </si>
  <si>
    <t>C2217</t>
  </si>
  <si>
    <t>525. Strategy based on influence proofs, Let me say a little more (vague) things about possible strategy based on mimmicking influence proofs. We want to derive facts on the Fourier expansion of our set based on the fact that there are no lines and let me just consider k=2 (Sperner). Suppose that your set A has density c and you know that there is no lines with one wild cards. This gives that
. (In a random set we would expect ; anyway this is of course possible.), Next you want to add the fact that there are no lines with 2 wild cars.
The formula (in fact there are few and we have to choose a simple one)  for the number of lines with two wild cards i and j and the conclusion for the Fourier coefficients are less clear to me. Maybe we can derive conclusions on the higher moments  or some other indormations., Here, we do not want to reach a subspace with higher density but rather a contradiction. In the ususal influence proofs the tool for that were certain inequalities asserting that for sets with small support the Fourier coefficients are high. This particular conclusion will not help us but the inequalities can help in some other way., If indeed we are getting from the no line assumptions that the Fourier coefficients are high and concentrated this may be in conflict with facts about codes. Namely that our A will be a better than possible code in terms of its distance distribution. Anyway the first thing to calculate would be a good Fourier expression for the number of lines with 2 wildcards.</t>
  </si>
  <si>
    <t>CTao_35921</t>
  </si>
  <si>
    <t>check understanding; clarifying theorems - some in paper #1</t>
  </si>
  <si>
    <t>626.  Colouring theorems I: finitary theorems, In this post and the next I want to describe a square of four Ramsey theorems: two finitary theorems, and two infinitary theorems.  It is the latter which is used in Paper #1., The first finitary theorem is the colouring Hales-Jewett theorem.  The k=3 version of this theorem asserts that if 3^n is partitioned into c colour classes, and n is sufficiently large depending on c, then one of the colour classes contains a combinatorial line., Iterating this theorem, we conclude that 3^n is partitioned into c colour classes, and n is sufficiently large depending on c, m, then one of the colour classes contains an m-dimensional combinatorial subspace., The second finitary theorem is the Graham-Rothschild theorem.  The k=3 version of this theorem asserts that if, instead of colouring the vertices of 3^n as in Hales-Jewett, one colours the combinatorial lines in 3^n, partitioning the space of all such lines into c colours, then (if n is sufficiently large depending on c, m) one can find an m-dimensional combinatorial subspace in which all lines in that space have the same colour., Recall that a combinatorial line can be viewed as a string of 0s, 1s, 2s, and a wildcard *, with the wildcard appearing at least once (e.g. 01*2* is a combinatorial line).  Identifying the wildcard with the symbol 3, we can thus view a combinatorial line as a point in  containing at least one 4.  Thus one can rephrase the k=3 Graham-Rothschild theorem in another way:, Graham-Rothschild theorem.  If the vertices of 4^n are partitioned into c colour classes, then (if n is sufficiently large depending on m, c) there is an m-dimensional subspace (with none of the fixed coordinates equal to 3) such that all points in this subspace (with at least one coordinate equal to 3) have the same colour., Written this way, Graham-Rothschild looks a lot like colouring Hales-Jewett, and it is in fact possible to deduce the latter from the former (the precise deduction escapes me right now, though)., The k=1 version of the Graham-Rothschild theorem implies Folkman’s theorem: if the positive integers are finitely coloured, then for any m, one can find m positive integers such that all finite sums of those integers (other than the trivial sum 0) have the same colour.  This can be shown by considering the colouring on  that colours a vertex by the colour given to the number of 1s on that vertex., In the next comment I describe the infinitary strengthenings of the colouring Hales-Jewett and the Graham-Rothschild theorems, which are the Carlson-Simpson theorem and Carlson’s theorem respectively.</t>
  </si>
  <si>
    <t>C2218</t>
  </si>
  <si>
    <t>526.  DHJ(2.6)., Thanks for the observation about using Folkman’s Theorem, Terry, it looks quite nice.  I have some other ideas about trying to give a Ramsey-less proof based on Sperner’s Theorem; I’ll try to write them soon.</t>
  </si>
  <si>
    <t>CTao_35923</t>
  </si>
  <si>
    <t xml:space="preserve">check understanding; continued previous post; </t>
  </si>
  <si>
    <t>627.  Colouring theorems II.  Infinitary theorems, The infinitary strengthening of the Hales-Jewett theorem is the Carlson-Simpson theorem.  To define it, I need some notation.  Define an infinite-dimensional combinatorial subspace of  to be an object indexed by an infinite string of 0s, 1s, 2s, and an infinite number of wildcards , where each wildcard  appears in a non-empty consecutive block , with each  appearing to the left of .  For instance, the following string describes an infinite-dimensional combinatorial subspace:, , This gives an embedding of  into  by mapping any n-digit string into the string formed from the above infinite string by substituting these digits into the first n wildcards , and then truncating everything after .  For instance, in the above example, 20 maps to, ., Carlson-Simpson theorem  If  is finitely coloured, then one of the colour classes contains an infinite-dimensional combinatorial subspace., This theorem implies the colouring Hales-Jewett theorem but is significantly stronger, in particular it does not seem to be deducible solely from the colouring Hales-Jewett theorem (much as the infinite pigeonhole principle cannot be deduced from its finite counterpart)., It implies a compact version:, Carlson-Simpson theorem, compact version  If  is a map from  into a compact metric space X, then there exists a infinite-dimensional combinatorial subspace  such that  is uniformly continuous (i.e. it extends continuously to the compactification )., It is not hard to see that the two versions are equivalent (one has to cover the compact metric space by an increasingly fine mesh of small balls, which can then be used to colour ).  In paper #1 it is remarked that the compact case is in fact slightly easier to prove than the finite colouring case (I suppose that the induction is somehow cleaner.), In a similar spirit, the Graham-Rothschild theorem has the following infinitary generalisation:, Carlson’s theorem  Suppose that the combinatorial lines in  are finitely coloured.  Then there is an infinite-dimensional combinatorial subspace on which all lines have the same colour., Or equivalently:, Carlson’s theorem  Suppose that  is finitely coloured.  Then there is an infinite-dimensional combinatorial subspace with no fixed coordinate equal to 3, such that any element of this space with at least one 3 has the same colour., Again, there is a compact version:, Carlson’s theorem  Suppose that  is a map into a compact metric space X.  Then there is an infinite-dimensional combinatorial subspace with no fixed coordinate equal to 3, such that the restriction of F to this space is uniformly continuous on those points with at least one 3., As I understand it, Carlson’s theorem was discovered independently by Carlson and by Furstenberg-Katznelson., The k=1 case of Carlson’s theorem is essentially Hindman’s theorem (the infinitary generalisation of Folkman’s theorem).  Given that the cleanest proof of Hindman’s theorem involves idempotent ultrafilters, I would imagine that this is how Carlson’s theorem is also proved.  Needless to say, such theorems are not easily finitisable.</t>
  </si>
  <si>
    <t>C2220</t>
  </si>
  <si>
    <t>527. Fourier approach to Sperner., Gil, here area few more details re #477.  First, I see I dropped the Fourier coefficients at the beginning of the post, whoops!  What I meant to say is that if you do the usual Fourier thing, you get the probability of  is, ., The intuition here is that since  is tiny, hopefully all the terms involving a positive power of  are “negligible”.  Obviously this is unlikely to precisely happen, but if it were true then we would get, ,, a noise stability quantity.  Now there are something like  terms we want to drop, so it would be hard to do something simple like Cauchy-Schwarz.  My idea is one from a recent paper with Wu.  Think of  as a quadratic form over the Fourier coefficients of .  I.e., think of  as a vector of length  and think of , ,, where  is a matrix whose  entry is the obvious expression from above with ‘s and ‘s and so on.  Our goal is to find two similar-looking matrices  such that , meaning  are psd.  Then we get .  (I see I’ve used  for two different things here; whoops.)  , To be continued…</t>
  </si>
  <si>
    <t>C2221</t>
  </si>
  <si>
    <t xml:space="preserve">continued work </t>
  </si>
  <si>
    <t>"how a real mathematician would do it"</t>
  </si>
  <si>
    <t>528. Fourier approach to Sperner., Let me explain what I hope  will be; the matrix  will be similar., Let  be the 2×2 matrix with entries .  This is like a little “-biased -noise stability” matrix.  Let .  Similarly, let  be the 2×2 matrix with entries  and define .  Finally, let .  The quadratic form associated to  should be that average of two noise stabilities I wrote in post #477, except with noise rate , not ., My unsubstantiated claim/hope is that indeed .  Why do I believe this?  Uh… believe it or not, because I checked empirically for  up to 5 with Maple. 😉  Sorry, I guess this isn’t how a real mathematician would do it.  But I hope it can be proven., To define the matrix , do the same thing but set  to be the 2×2 matrix with entries , etc.  So eventually I hope to sandwich  between the average of the -biased -noise stabilities of  and the average of the -biased -noise stabilities of ., PS: Although it may work for Sperner, I’m less optimistic ideas like this will work for DHJ.  The trouble is, in a distribution on comparable pairs  for Sperner, there is *imperfect* correlation between  and .  Roughly, if you know , you are still unsure what  is.  On the other hand, in any distribution on combinatorial lines  for DHJ, there is *perfect* correlation between  and  (and the other two pairs).  If you know  and , then you know  with certainty.  This seems to break a lot of hopes to use “Invariance”-type methods like those in Elchanan’s follow-on to MOO.  This is related to the fact that there is no hope to prove a generalization of DHJ of the form, “If  are two subsets of  of density , then there is a combinatorial line  with  and .”</t>
  </si>
  <si>
    <t>C2222</t>
  </si>
  <si>
    <t>529. Ramsey-less DHJ(2.6) plan., Here is a potential angle for a Ramsey-free proof of DHJ(2.6).  The idea would be to soup up the Sperner-based proof of DHJ(2.5) and show that the set  of (Hamming) distances where we can find a 01-half-line in  is “large” and “structured”., So again, let  be a random string in  and condition on the location of ‘s 2’s.  There must be some set of locations such that  has density at least  on the induced 01 hypercube (which will likely have dimension around ).  So fix 2’s into these locations and pass to the 01 hypercube.  Our goal is now to show that if  is a subset of  of density  then the set  of Hamming distances where  has Sperner pairs is large/structured.  (I’ve written  here although it ought to be .), Almost all the action in  is around the  middle slices.  Let’s simplify slightly (although this is not much of a cheat) by pretending that  has density  on the union of the  middle slices *and* that these slices have “equal weight”.  Index the slices by , with the th slice actually being the  slice., Let  denote the intersection of  with the $i$th slice, and let  denote the relative density of  within its slice.  , To be continued…</t>
  </si>
  <si>
    <t>C2223</t>
  </si>
  <si>
    <t>wasteful but simplifying step</t>
  </si>
  <si>
    <t>530. Ramsey-less DHJ(2.6) plan continued., Here is a slightly wasteful but simplifying step: Since the average of the ‘s is , a simple Markov-type argument shows that  for at least a  fraction of the ‘s.  Call such an  “marked”., Now whenever we have, say,  marked ‘s, it means we have a portion of  with a number of points at least  times the number of points in a single middle slice.  Hence Sperner’s Theorem tells us we get two comparable points  from among these slices., Thus we have reduced to the following setup:  , There is a graph , where  (the “marked ‘s”) has density at least  and the edge set  has the following density property:  For every collection  with , there is at least one edge among the vertices in ., Let  be the set of “distances” in this graph, where an edge  has “distance” .  Show that this set of distances must be large and/or have some useful arithmetic structure.</t>
  </si>
  <si>
    <t>CTao_35925</t>
  </si>
  <si>
    <t>Dima</t>
  </si>
  <si>
    <t>cross context; cross/analogy - better understanding here</t>
  </si>
  <si>
    <t>729.Geometric hyperplanes., (studied mostly in a different context, for geometries related to finite simple groups, buildings, etc), As the name suggests, a geometric hyperplane is a subset such that every line (combinatorial line, that is, in our case) either lies in it, or intersects it in a point (i.e. an word over {1,2,3}, in our case). So the complement of a geometric hyperplane does not contain a combinatorial line. The opposite need not be true, as a combinatorial line can intersect the complement of a line-free set in 2 points (the latter looks like a “waste of lines”, though, and one would hope (too optimistically, perhaps) that in the extremal examples of line-free sets this does not happen), A geometric hyperplane of any “partial linear space with line size 3” (we have our combinatorial lines as an example) is obtained from a so-called universal embedding into  where  is the number of points,  are integers mod 2, and in our case  provided certain natural condition is satisfied. This is a result due to M.Ronan (“Embeddings and hyperplanes of discrete geometries”, Europ. J. Combin. 8 (1987), 179–185.)
As far as I can recall (I can’t easily lay my hands on this text here), for our examples this condition trivially holds., The universal embedding is the following natural contruction: take the vectorspace  modulo the relations  for each line  This maps each point the geometry to a nonzero vector of  and each line to a 2-space of  (here  is the dimension of the quotient space).
The geometric hyperplanes then are just hyperplanes of the space   , One way or another, this is a nice and sometimes useful construction, although I am not too optimistic for it being useful here. Perhaps it would lead to better understanding of construtions of particular line-free sets.</t>
  </si>
  <si>
    <t>CTao_35926</t>
  </si>
  <si>
    <t>Kristal.247; Terry.248</t>
  </si>
  <si>
    <t>potential solutions</t>
  </si>
  <si>
    <t>730. List of  solutions, The twelve solutions are in three types., In the notation of Kristal.247 and Terry.248, all twelve can be formed by removing points from , yzx zxy xyz
xyz yzx zxy
zxy xyz yzx, or a cyclic permutation of that., The number of points remaining in each cube is either, 3 solutions from permutations of this
17 17 18
18 14 17
14 18 17, 6 solutions from permutations of this
17 17 15
18 14 17
17 18 17, 3 solutions from permutations of this
17 17 12
18 17 17
17 18 17, In each solution, one number on the rising diagonal is a multiple of 3;
that cube was xyz before the removal of points., All twelve solutions are formed from complete  slices., If my program is right, there is only one  solution, the one we know, and it is built from the last three solutions above.</t>
  </si>
  <si>
    <t>CTao_35927</t>
  </si>
  <si>
    <t>report work</t>
  </si>
  <si>
    <t>showed by hand, point to external site</t>
  </si>
  <si>
    <t>731.  , I was able to show by hand that , basically by using a precise description of the 52 and 51-point line-free sets in , followed by a rather tedious case analysis.  See, http://michaelnielsen.org/polymath1/index.php?title=Upper_and_lower_bounds, The key point seems to be that extremal sets have a very strong tendency to be trapped in one of the sets , , for j=0,1,2, and any attempt to deviate from these sets by adding a point or two outside of the set tends to be “punished” by the forcible removal of many points from inside that set.  , Much of the analysis seems like it can be pushed to 150.  For instance, I know that if two parallel slices of the set have 51 points or more, then the set as a whole can have at most 150 points.  One still has to rule out 52-50-49 and 51-50-50 slice patterns, though, if one is to get all the way to 150., Michael: If there is only one  solution, then we have , by the same argument that gave us .</t>
  </si>
  <si>
    <t>CTao_35928</t>
  </si>
  <si>
    <t>Klas, Terence</t>
  </si>
  <si>
    <t>732. Symmetries., Klas, Terence,
when you talk about cutting down the search space, it can be cut down by the full automorphism group of the set of combinatorial lines, that is by the direct product of  and  the symmetric group on  letters. (It is easy to see that adding 1 to each coordinate, thinking of coordinates being in  maps a combinatorial line to a combinatorial line, and gives  whereas permuting the coordinates gives  That there are no more symmetries, can be seen by observing that there are different numbers of combinatorial lines on points with different numbers of symbols equal to each other.)</t>
  </si>
  <si>
    <t>CTao_35930</t>
  </si>
  <si>
    <t>733. Moser, k=5, equals DHJ, k=3, joszef.723 noted that we get the same density for the Moser cube with k=5 as we got for DHJ with k=3.  That is because the restriction of the k=5 Moser’s cube to  is the same problem as DHJ.  It also explains why Moser’s k=3 cube gets the same density as Spurner’s lemma.</t>
  </si>
  <si>
    <t>C2225</t>
  </si>
  <si>
    <t>can we do this?</t>
  </si>
  <si>
    <t>I wonder if the following “ideology” can be promoted or justified: A set without a line with at most r wildcards “behaves like” an error correcting code with minimal distance r’ where r’ grows to infinity (possibly very slowly) when r does. for k=2 of course we do not get en error correcting codes but when we have to split the set between many slices points from different slices are far apart so it is a little like a bahavior of a code. for k=3 this looks much more dubious but maybe has some truth in it.</t>
  </si>
  <si>
    <t>C2228</t>
  </si>
  <si>
    <t>can anyone think of a way to do this?</t>
  </si>
  <si>
    <t>533. Well it seems that was wrong…the maps don’t take lines to lines. Can anyone else think of a way to preserve some of the symmetry that Terry has gotten in the early stages?</t>
  </si>
  <si>
    <t>CTao_35931</t>
  </si>
  <si>
    <t>734. Moser, k=5 doesn’t equal DHJ, k=3, No, I don’t think my previous comment is correct, although the densities do match.</t>
  </si>
  <si>
    <t>C2242</t>
  </si>
  <si>
    <t xml:space="preserve">cave man methods ;) </t>
  </si>
  <si>
    <t>541. Cave man methods:, Here’s a curious low-tech trick to get difference sets to intersect: suppose you have sets A, B, C of density d. Let m&gt;1/d and use ramsey’s theorem to choose n so that for any 8-coloring of the 2-member sets of an n element set, you get an m element set whose 2-member sets are of one color. Now color {x,y}, x1/d, the x_i+A cannot all be disjoint, hence x_j-x_i is in A-A for some, hence all, i,j and similarly for B-B, C-C.</t>
  </si>
  <si>
    <t>C2229</t>
  </si>
  <si>
    <t>potential method suggested</t>
  </si>
  <si>
    <t>534. Folkman’s theorem, Back in 341 and in some following comments I tried to popularize Folkman’s theorem as a statement relevant to our project. I didn’t find a meaningful density version yet, however Tim pointed out that statements like Ben Green’s removal lemma for linear equations might work. It would be something like this; If the number of IP_d-sets is much less than what isexpected from the density, then removing a few elements one can destroy all IP_d sets. In the next post I will say a few more words about the set variant of Folkman’s theorem, however I’m not sure that this 500 blog series is the best forum for that.</t>
  </si>
  <si>
    <t>C2230</t>
  </si>
  <si>
    <t>changed my mind</t>
  </si>
  <si>
    <t>keeping unrelated conversation out of this thread</t>
  </si>
  <si>
    <t>535. Folkman’s theorem, on second thought I decided not to talk about Folkman’s theorem here, since this blog is about possible proof strategies for DHJ. I will try to find another forum to discuss some questions on Folkman’s theorem.</t>
  </si>
  <si>
    <t>CTao_35934</t>
  </si>
  <si>
    <t>735. Re:734. Moser, k=5 doesn’t equal DHJ, k=3, Michael, the k=6 case is the first one where I see some simple correlation between the Moser and DHJ problems. By the map P: P(0)=P(5)=0, P(1)=P(4)=1, P(2)=P(3)=2 a line-free grid maps to a combinatorial-line-free cube. So, Moser k=6 is at least  times DHJ k=3. For k=5 we would need an asymmetric map, I’m not sure if one can get a relation between the two problems similar to the k=6 case.</t>
  </si>
  <si>
    <t>CTao_35945</t>
  </si>
  <si>
    <t>736.  , Using the optimization method described in 229. I found a geometric line free set of size 124. (). The program is implemented in MATLAB using the builtin minimization routine (which does not use the fact that the objective function  is a cubic polynomial). Because there is no apparent structure to the set found, I list the 124 integers below (whose ternary expansions give the set) so that it may be checked independently., 1  ,   4   ,  5   ,  9  ,  10  ,  12  ,  14  ,  16   , 17  ,  21 ,   22 ,   25 ,   28  ,  29 ,   30  ,  32 ,   33  ,  34   , 36  ,  38 ,  42  ,  44 ,  45 ,   46  ,  48 ,   50  ,  52  , 53  ,  57   , 58   , 61  ,  62  ,  64 ,   65   , 66 ,  68   , 69   , 70   , 73   , 76   , 77   , 80  ,  81  ,  82,  84  ,  86   , 88 ,   89  ,  90  ,  92 ,   96  ,  98 ,  100 ,  101 , 102  , 104  , 105 ,  106 , 108  , 110 ,  114  , 116 ,  126 , 128 , 132 , 134, 136 ,  137 ,  138  , 140 ,  141 ,  142  , 144 , 146  ,150  , 152 ,  153 ,  154  , 156  , 158 ,  160 ,  161 ,  164 ,  165  , 166 , 169 ,  172 ,  173,
  174 ,  176 ,  177  , 178 ,  181 ,  184 ,  185 ,  186 ,  189 ,  190 ,  192 , 194  , 196 ,  197,  198  , 200,   204  , 206 ,  208 ,  209  , 210 ,  212,
 213 ,  214  , 217  , 220  , 221 ,  225  , 226 , 228  , 230 ,  232 ,  233 ,  237,  238  , 241.</t>
  </si>
  <si>
    <t>CTao_35946</t>
  </si>
  <si>
    <t>work checked</t>
  </si>
  <si>
    <t>737. c5′, Chua.736’s solution contains all points with two 1s, or one 1 and an even number of 0s.
It also contains four points with no 1s and two or three 0s.  Any two of these four points differ in three places, except for one pair of points that differ in one place.
For these reasons, I agree that this is a solution to Moser’s problem.</t>
  </si>
  <si>
    <t>C2234</t>
  </si>
  <si>
    <t>discuss proof</t>
  </si>
  <si>
    <t>536., Jozsef: I guess this is the best forum we have right now (we tried splitting up into more threads earlier, but found that all but one of them would die out quickly).  I can always archive the discussion at the wiki to be revived at some later point., I wanted to point out two thoughts here.  Firstly, I think I have a Fourier-analytic proof of DHJ(2.6) avoiding Ramsey theory.  Firstly, observe that the usual proof of Sperner shows that the set of wildcard-lengths r of the combinatorial lines in a dense subset of  contains a difference set of the form A-A where A is a dense subset of .  Using the deduction of DHJ(2.5) from Sperner, we see that the set of wildcard lengths of combinatorial lines whose first two points lie in a dense subset of  also contains a similar difference set.  Similarly for permutations.  So it comes down to the claim that for three dense sets A, B, C of , that A-A, B-B, C-C have a non-trivial intersection outside of zero., This can be proven either by the triangle removal lemma (try it!)  or by the arithmetic regularity lemma of Green, finding a Bohr set on which A, B, C are dense and pseudorandom.  There may also be a more direct proof of this., Secondly, I think we may have a shot at a combinatorial proof of   Moser(3) – that any dense subset A of  contains a geometric line rather than a combinatorial line.  This is intermediate between DHJ(3) and Roth, but currently has no combinatorial proof.  Here is a sketch of an idea: we use extreme localisation and look at a random subcube .  Let B be the portion of A on the corners  of the subcube, and let C be the portion of A which is distance one away (in Hamming metric) from the centre  of this subcube.  The point is that there are a lot of potential lines connecting one point of C with two nearly opposing points of B.  I haven’t done it yet, but it looks like the number of such lines has a nice representation in terms of the low Fourier coefficients of A, and should therefore tell us that in order to be free of geometric lines, A has to have large influence.  I am not sure where to take this next, but possibly by boosting this fact with the Ramsey theory tricks we can get some sort of contradiction.</t>
  </si>
  <si>
    <t>C2236</t>
  </si>
  <si>
    <t>Here is a nice example I heard from Muli Safra. (It’s origin is in the problem of testing monotonicity of Boolean functions.) Consider a Boolean function  where  and  is a random Boolean function. When you consider strings x and y that correspond to two random sets S and T so that S is a subset of T with probability close to one f(x) = f(y) because almost surely the variables where S and T differs miss the first m variables. We can have a similar example for an alphabet of three letters.</t>
  </si>
  <si>
    <t>C2237</t>
  </si>
  <si>
    <t>C2234; 529; 530</t>
  </si>
  <si>
    <t>537. DHJ(2.6), Hi Terry, re your #536: great! this is just what I was going for in #529 &amp; #530…  But one aspect of the deduction I didn’t quite get: in my #530, you don’t have the differences from all pairs in , just the ones where you have an “edge”.  So do you produce your set  by filtering  somehow?  Or perhaps I’m missing some simple deduction from the proof of Sperner.</t>
  </si>
  <si>
    <t>C2238</t>
  </si>
  <si>
    <t>suggested reading &amp; that is the way a real mathematician would do it</t>
  </si>
  <si>
    <t>538. Fourier of line avoiding sets., Thanks a lot for the details, Ryan, it is very interesting. I think that using Maple  is  the way a real mathematician will go about it! , As for my vague (related) suggestions: There is a nice Fourier expression of subsets of   without a combinatorial line with one wild cards. But already when you assume there is no lines with one and two wildcadrs its get messy. (In particular these scare expressions .)  , Maybe there would be a nice expression for sets in  without a combinatorial line with one wildcard. This can be nice., Another little (perhaps unwise) question regarding avoiding special configurations of “small distance” vectors. Suppose you look at subsets of  without two distinct sets S and T so that S\T has precisely twice as many elements as T\S. Does this implies that the size of the family is ? (Again you can take a slice.), The problem about Sperner theorem which is mentioned in the the last paragraph was completely reolved by Imre Leader and Eoin Long, their paper Tilted Sperner families http://front.math.ucdavis.edu/1101.4151 contains also related results and conjectures.</t>
  </si>
  <si>
    <t>C2239</t>
  </si>
  <si>
    <t>538. Moser(3)., For this problem I think it might be helpful to go all the way back to Tim.#70 and think about “strong obstructions to uniformity” of the following form: dense sets  for which  is not almost everything.</t>
  </si>
  <si>
    <t>CTao_35951</t>
  </si>
  <si>
    <t>Michael Pea</t>
  </si>
  <si>
    <t>738. Moser’s cube, k=3, This suggests further solutions for , q 1s, all points from 
q-1 1s, points from 
q-2 1s, points from 
etc., where  is a subset of  for which any two points differ from each other in at least d places., Mathworld’s entry on error-correcting codes suggests it might be NP-complete to find the size of A(m,d) in general. ,  because it includes all points in 
 because it can include all points in  with an odd number of 0s</t>
  </si>
  <si>
    <t>C2240</t>
  </si>
  <si>
    <t>540., Re: Sperner: if A is a dense subset of , then a random chain in this set is going to hit A in a dense subset of its equator (which is the middle  of the chain, which has length n).  If A hits this chain in the  and  positions, then we get a combinatorial line with j-i wildcards.  This is why the set of r arising from lines in A contain a difference set of a dense subset of ., Incidentally, I withdraw my claim that the joint intersection of A-A, B-B, C-C can be established from triangle removal – but the arithmetic regularity lemma argument should still work., Finally, for Moser, I agree with Ryan’s 538 – except that I think one should restrict y to be very close to the centre  of the cube , otherwise y is only going to interact with a small fraction of the points of the cube and I don’t think this will be easily detectable by global obstructions.  I still haven’t worked out what goes on when y is just a single digit away from  but I do believe it will have a nice Fourier-analytic interpretation.</t>
  </si>
  <si>
    <t>C2241</t>
  </si>
  <si>
    <t>wiki update &amp; suggest some private thought</t>
  </si>
  <si>
    <t>Metacomment., I’d just like to chip in here and say that I’ve been devoting most of my polymath1 energies to developing the associated wiki. If anyone else has any thoughts that are in a sufficiently organized state to make wiki articles (they don’t have to be perfect of course) then it would be great. It will make it much easier to keep track of what we know, what we’ve asked, what we think we might be able to prove and roughly how, etc. So far, I think Terry and I are the only two contributors. The other thing I wanted to say is that I get the sense that other people are doing a certain amount of thinking away from the blog. I’ve got to the point where I want to do this too (and report back regularly if I come up with anything) but I don’t want to do it if others are in fact not doing so. Anybody care to tell me? It somehow feels as though we’ve got to the stage where a certain amount of private thought is needed to push things further, but because I formulated rule 6 I have felt obliged to stick to it. (Gil, I know you are relaxed about all this.)</t>
  </si>
  <si>
    <t>C2243</t>
  </si>
  <si>
    <t>cave man cont.</t>
  </si>
  <si>
    <t>541. Cave man again:, I see stuff in what are interpretted as comment brackets gets left out! Let’s try this again., Here’s a curious low-tech trick to get difference sets to intersect: suppose you have sets A, B, C of density d. Let m&gt;1/d and use ramsey’s theorem to choose n so that for any 8-coloring of the 2-member sets of an n element set, you get an m element set whose 2-member sets are of one color. Now color {x,y}, x less than y, according to which of A-A, B-B, C-C y-x is in. Pass to an m member set {x_1,…,x_m} whose 2-member subsets are of one color for this coloring. Since m is greater than 1/d, the x_i+A cannot all be disjoint, hence x_j-x_i is in A-A for some, hence all, i,j and similarly for B-B, C-C.</t>
  </si>
  <si>
    <t>C2356</t>
  </si>
  <si>
    <t>593. DHJ (2.7):, I think I managed to remove all hint of ergodic reduction in a proof of DHJ (2.6)…of course if you look at the proof (Plain TeX code will be at the end of this msg.), it’s because the reduction (to sets, not to stationarity) is inside. Still, it’s pretty painless and the Ramsey theory used has been trimmed again, to just Ramsey’s theorem this time. Also it doesn’t use DHJ (2) as a lemma. I’ve actually called it DHJ (2.7) because it seems to be very slightly stronger than what Terry called (2.6). , More generally, I have been looking carefully at how to do a “straight translation” of the proof of DHJ (3) and am stuck. The issue arises already in the ergodic proof of the Szemeredi corners theorem. Basically, a set A of positive density in Z^2 is used to generate a measure preserving action of Z^2, together with a positive measure set B; recurrence properties of B imply existence of configurations for A. The issue arises because once the system is fixed, one can approximate B by a “relatively almost periodic” function f…f will have a kind of compactness property over a certain factor, meaning that given e&gt;0 one can find an e-net (composed of functions) of finite cardinality M such that, on the fibers over the factor in question, the entire orbit of f will be e-close to some member of the net (on most fibers for most of the orbit). The point is that this number M is completely fixed by the set B, which is fixed by the set A, but the ergodic proof doesn’t give any way to bound M as a function of the density of A. For all the (usual) ergodic proof says to the contrary, this M might go to infinity for a sequence of A’s having measure bounded away from zero. This seems to be a not-very-desirable artefact of the ergodic proof, one that I don’t understand very well at present. , *********, \magnification=\magstep 1
\noindent {\bf DHJ (2.7):} For all $\delta&gt;0$ there exists $n=n(\delta)$ such that if $A\subset 3^n$ with $|A|&gt; \delta 3^n$,
there exists $\alpha\in {\bf N}$, $|\alpha|0$. Let $m&gt;{3\over
\delta_0}$ and choose by Ramsey’s theorem an $r$ such that for any 8-coloring of the 2-subsets of $r$, there is an $m$-subset
$B\subset r$ all of whose 2-subsets have the same color. Let $\delta=\delta_0-{\delta_0\over 4\cdot 3^r}$ and put $n_1=n(
\delta_0+{\delta_0\over 4\cdot 3^r})$. Finally put $n=r+n_1$ and suppose $A\subset 3^n$ with $|A|&gt;\delta 3^n$. For each $v\in 3^r$,
let $E_v=\{w\in 3^{n_1}:vw\in A\}$. If $|E_v|&gt; (\delta_0+{\delta_0\over 4\cdot 3^r})3^{n_1}$ for some $v$ we are done; otherwise
$|E_v| &gt; {\delta_0\over 3}$ for {\it every} $v\in 3^r$. , \medskip\noindent Some notation: for $i\in r$ and $xy\in \{10,21,02\}$, let $v_i^{xy}\in 3^r$ be the word $z_1z_2\cdots z_r$,
where $z_a=x$ if $0\leq a\leq i$ and $z_a=y$ otherwise. Color $\{1,j\}$, $0\leq i&lt;j&lt;r$, according to whether or not the sets
$E_{v_i^{xy}}\cap E_{v_j^{xy}}$ are empty or not, $xy\in \{10,21,02\}$. (This is an 8-coloring.) By choice of $r$ we can find
$0\leq k_1&lt;k_2&lt;\cdots &lt;k_m&lt;r$ such that $\big\{\{ k_i,k_j\}: 0\leq i&lt;j&lt;m \big\}$ is monochromatic for this coloring. By pigeonhole,
for, say, $xy=10$, there are $i&lt;j$ such that $E_{v_{k_i}^{xy}}\cap E_{v_{k_j}^{xy}}\neq \emptyset$, hence non-empty for all $i,j$
by monochromicity and similarly for $xy=21,02$. Now for $xy=10,21,02$, pick $u_{xy}\in E_{v_{k_1}^{xy}}\cap E_{v_{k_2}^{xy}}$ and
put $q_{xy}=s_1s_2\cdots s_r$, where $s_i=x$, $0\leq i&lt;k_1$, $s_i=3$, $k_1\leq i&lt;k_2$, and $s_i=y$, $k_2\leq i&lt;r$. Finally put
$w_{xy}=q_{xy}u_{xy}$. Then $w_{xy}(x)=v^{xy}_{k_2} u_{xy}$ and $w_{xy}(y)=v^{xy}_{k_1} u_{xy}$ are in $A$, $xy\in \{10,21,02\}$.
Hence $n=n(\delta)$, contradicting $\delta&lt;\delta_0$. , \end</t>
  </si>
  <si>
    <t>C2244</t>
  </si>
  <si>
    <t>let's go ahead and run some calculations offline</t>
  </si>
  <si>
    <t>542. Metacomment., I too feel like trying out longer calculations off the blog from time to time.  Tim, why don’t you go ahead and try the ones you’re thinking of?  Perhaps we can just report here how the calculations go…</t>
  </si>
  <si>
    <t>CTao_35954</t>
  </si>
  <si>
    <t>objective reminder</t>
  </si>
  <si>
    <t>don't forget x is what we are trying to do</t>
  </si>
  <si>
    <t>628.  Convergence to an orthogonal projection, Recall that our objective is to show that, given any system of measure-preserving transformations  obeying a groupoid law, and any set  of positive measure, that there exists a combinatorial line  in some  such that  has positive measure for ij=01,12,20., The measure of  can also be written as,    (1), where we let measure-preserving transformations  act on functions  in the usual manner, .  , The key claim is, Claim There exists a sequence of combinatorial lines  such that for each ij=01,12,20, the unitary operators  converge in the weak operator topology to orthogonal projections ., Indeed, if this claim held, then (1) for the word  would converge as  to, , On the other hand, since , , we must have  and hence , and so (1) is positive for sufficiently large m., The main tool in proving the claim is the Carlson-Simpson theorem., This is a somewhat infinitary argument; at present I do not see what the combinatorial analogue of it will be.</t>
  </si>
  <si>
    <t>CTao_35963</t>
  </si>
  <si>
    <t>739. c_6
My integer programing run has now finished and as expected it found the optimum to be c_6=450 and found a unique one solution., This case required a lot more CPU-time than c_5. I had to split the problem into many subcases and ran them in parallell ona linux cluster. My guess would that it used around 1000 CPU-hours.</t>
  </si>
  <si>
    <t>C2249</t>
  </si>
  <si>
    <t xml:space="preserve">tension between goal and methods </t>
  </si>
  <si>
    <t>Metacomment., I think there may be some tension here between the objective of solving the problem by any means necessary, and the objective of trying to see whether a maximally collaborative approach to problem-solving can work.  I would favour a relaxed approach at this point; it seems that we are already getting enough benefit from the collaborative forum here that we don’t need to be utterly purist about keeping it that way.  And I think things are moving to the point where, traditionally, one of us would simply sit down for an hour or two and work out a lot of details at once.</t>
  </si>
  <si>
    <t>C2250</t>
  </si>
  <si>
    <t>not sure where the Randall one is that he is responding to?</t>
  </si>
  <si>
    <t>543.  Moser(3), Hmm, there do seem to be some obstructions to uniformity here that are annoying.  For instance, if m is an odd number comparable to 0.1 n, and A is the set of points in {1,3}^n which have an even number of 3’s in the first m positions, and B is the set of points formed by taking 2^n and changing one of the last n-m positions to a 1 or a 3, then there are no geometric lines connecting A, B, and A despite A having density 0.5 and B having density 0.9 in {1,3}^n and the radius 1 Hamming ball with centre 2^n respectively. On the other hand, A has a lot of coordinates with low influence wrt swapping 1 and 3; if 1 and 3 were completely interchangeable then Moser(3) would collapse to DHJ(2), so perhaps there is something to exploit here., Randall: I’m beginning to realise that if one wants to hold on to permutation symmetry on the cube, then one can’t use Ramsey theorems such as Graham-Rothschild or Carlson, as the symmetry is broken when one passes to a combinatorial subspace (the wildcard lengths are unequal).  So it may actually not be a good tradeoff.</t>
  </si>
  <si>
    <t>C2251</t>
  </si>
  <si>
    <t>offline calculations - but document &amp; describe even the unsuccessful (do people bring back their unsuccessful work after this????)</t>
  </si>
  <si>
    <t>Metacomment. I also agree that we need some off-line calculations, and we can keep the spirit of point 6 (asking not to go away for weeks to study some avenue) by participants trying to document and describe what they try to do and what they do (even if unsuccessful) in short time intervals.</t>
  </si>
  <si>
    <t>C2253</t>
  </si>
  <si>
    <t>agreement called</t>
  </si>
  <si>
    <t>Metacomment.  I think we all basically agree about off-line calculations. At some point fairly soon I will try to do some, but I will be careful to follow Gil’s suggestion. I will write a comment in advance to say what I am going to do, and I will report back frequently and in detail on what results from the calculations. (I may give less detail about the things that don’t work, but even there I will try to give enough detail to save anyone else from needing to go off and repeat my failures.), Briefly, the kinds of things I’d like to do are to write out a rigorous proof that a quasirandom set (in a sense that I have defined on the wiki) must contain many combinatorial lines, and to try to deduce something from a set’s not being quasirandom. I’d also like to play around with Fourier coefficients on  with equal-slices measure and try to prove that the only obstruction to Sperner in that measure is lots of low-influence variables. I won’t get down to either of these today, if anyone has any remarks that will potentially stop me or change how I go about it.</t>
  </si>
  <si>
    <t>C2255</t>
  </si>
  <si>
    <t>can someone do this?; wiki has a special case - need a fully elementary proof</t>
  </si>
  <si>
    <t>544.  Corners(1,3), Over at the wiki I have written about a special case of the corners problem that is like DHJ(1,3). It’s corners when your set A is of the form  Can anyone see an elementary proof that a dense set of this kind contains a corner? I can prove it fairly easily if I’m allowed to use Szemerédi’s theorem, so at least the transition from one to two dimensions is elementary, but I’d rather a fully elementary proof. My account of the problem (and of DHJ(1,3)) can be found here.</t>
  </si>
  <si>
    <t>C2257</t>
  </si>
  <si>
    <t>on another thread they are already running programs</t>
  </si>
  <si>
    <t>Metacomment., I should point out that over at the 700 thread, things have already advanced to the point where we have already had several people run programs to get the latest upper and lower bounds (and writing programs is not something that one can really do collaboratively, at least not with the structures in place right now).</t>
  </si>
  <si>
    <t>CTao_35996</t>
  </si>
  <si>
    <t>740. , That’s a huge effort, and I’m guessing we won’t be able to find  by this method., In 738, I can at least estimate the size of A(m,d) by sphere packing., In A(m,3), each selected point and its m immediate neighbours form disjoint sets, so 
Also , In A(m,5) and A(m,6), each selected point and two layers of neighbours form disjoint sets, so ., Using these inequalities, it seems that only a tiny fraction of points from lower layers are included in the method described in 738.  So this method still only has  points.</t>
  </si>
  <si>
    <t>C2260</t>
  </si>
  <si>
    <t>545.  Fourier analysis on equal-slices , This isn’t the calculation I was talking about, as this one was possible to do in my head. I don’t yet know where we could go with this, but it felt like a good idea to think about how Walsh functions behave with respect to equal-slices measure. (I used to call this slices-equal measure, which I feel is slightly more correct, but in the end I have had to concede that “equal-slices” trips off the tongue much better.) In particular, I wondered about orthogonality. , The calculation turns out to be rather pretty. Let’s write  for the Walsh function associated with the set . That is,  is 1 if x has an even number of 1s in A, and -1 if it has an odd number of 1s in A. Then ., Therefore, the inner product  is equal to , so what we really care about is the expectation of individual Walsh functions. In the case of uniform measure, these expectations are all zero except when A is the empty set, and this implies the orthogonality of the Walsh functions., It turns out to be quite easy to think about the value of  when expectations are with respect to equal-slices measure. This is because we can rewrite the expectation over  as the expectation over all permutations  of  and all integers  between  and  (in both cases chosen uniformly) of the sequence  such that  is 1 if and only if . (In set terms, we randomly permute  and then pick a random initial segment.), Suppose that  has cardinality . Then the calculation we need to do is this: what is the probability that if you choose a random subset  of size  and take a random , then  will have an even number of elements less than or equal to ? (If the probability is , then  will be  for every set  of size .), Now if  is odd and  is even, then we can replace  by  and we can replace  by  and the number of elements of  that are at most  is the number of elements of  that are greater than . Also,  cannot equal . Therefore, there is a bijection between pairs  that give an odd intersection and pairs  that give an even intersection. So the probability is  in this case, and we find, as we want, that . , From this we find that  is orthogonal to  whenever  and  have different parities (assuming that  is even, which we may as well)., If  has even cardinality, things do not work so well. Consider, for example, the case where  consists of two elements. Here we choose a random  and a random set  and ask for the probability that an even number of x and y are at most . For fixed  the probability is approximately , which integrates to . So we get , Another way to think of this is that x and y divide up  into three subintervals, each of expected size , so the probability that  lands in the middle subinterval is on average . This second way is quite useful, as it shows that for general even  we will get approximately  for the probability of an even intersection and therefore  for ., So we end up not with an orthonormal basis but with something fairly nice: a basis that splits into two sets  and  of vectors, one for even parity sets and one for odd parity sets, such that every vector in  is orthogonal to every vector in , and vectors  and  in the same set are nearly orthogonal except if the symmetric difference of  and  is small.</t>
  </si>
  <si>
    <t>C2261</t>
  </si>
  <si>
    <t>prior method on different problem</t>
  </si>
  <si>
    <t>(of sorts)</t>
  </si>
  <si>
    <t>546.  Fourier analysis and Sperner obstructions., Now I want to try to do a similar calculation to see if we can say anything about obstructions to Sperner in the equal-slices measure. The model will be this. Let  be a bounded function defined on . Now we pick a random pair of sets  by first picking a random permutation  of  and then picking two random initial segments of the permuted set. Then we take the expectation of . I am interested in what we can say if this expectation is not small. The dream would be to show that almost all the influence on  comes from just a small set., Clearly the calculation we want to do is this: we pick two sets  and  and work out the expectation of  over all pairs  chosen according to the distribution above. , I think it is fairly clear that this expectation will be small if either of  or  is large, by the arguments of the previous post. This is promising, but I don’t know that I can see, without going off and calculating, whether it will be small enough to give us something useful (particularly as I’m not quite sure what substitute we will have, if any, for Parseval’s identity). If  and  are both small, then there is quite a bit of dependence between  and , or so it seems. For example, if  has size 2,  has size , , and for a particular permutation the probability that an initial segment contains an even number of elements of  is close to 1, then that permutation bunches  up to one of the two ends of the interval, so  behaves like a set of size 2 and the probability of getting an even  intersection with  is roughly 2/3., This is all suggesting to me that lack of uniformity in Sperner implies that a few variables have almost all the influence. If any influence experts think they can see where these thoughts would be likely to lead, then I’d be interested to hear about it. Otherwise, this is one of the private calculations I’d like to do. If it worked, then we would have some modest evidence for what I very much hope will turn out to be the case: that with equal-slices measure the only obstructions to uniformity for DHJ(3) come from sets of complexity 1 (which are defined in the discussion of DHJ(1,3) on this wiki page. This would be because of the fluke that Sperner-type obstructions happened to correlate with sets of complexity 1.</t>
  </si>
  <si>
    <t>C2262</t>
  </si>
  <si>
    <t>C2261; 477</t>
  </si>
  <si>
    <t>skeptical</t>
  </si>
  <si>
    <t>547. Equal slices measure / Sperner., Hi Tim.  I’m still not 100% on board for equal-slices measure 🙂 but…, 1. If I’m not mistaken, it’s the same as first choosing  uniformly, and then choosing from the -biased product distribution on .  Thinking of it this way might help with Fourier methods, since they tend to mate nicely with product distributions., 2. When you say “obstructions to …”, do you mean obstructions to having probability close to  for the event  or for probability close to ?  The former may be difficult, since any monotone  will lead to probability close to , and there are an awful lot of monotone functions.  , If you are interested in the standard product measure (as opposed to equal-slices) then the Fourier calculations from #477 and company seem like they could lead to a pretty good understanding of density-Sperner for a small Poisson number of wildcards.  But I’m not currently sure if understanding density-Sperner really helps at all for understanding HJ or even Moser. (I may say more on why I feel this way later; I’m feeling a bit gloomy about Fourier approaches right now…)</t>
  </si>
  <si>
    <t>C2264</t>
  </si>
  <si>
    <t>Yes, integrating over  is a nice way to think about equal-slices probability. It would be interesting to come up with a good orthonormal basis of functions w.r.t. the equal slices probability. (Indeed, we have such functions for every .), I would be very interested to see a good understanding of density Sperner with small number of Poisson number of wild-cards. (I tried to do some computation and I do not see how to proceed right now even with Sperner.)</t>
  </si>
  <si>
    <t>CTao_36005</t>
  </si>
  <si>
    <t>741.  Moser, It occurs to me that if we have a good enough understanding of the  result, and in particular we can classify 43-point Moser sets, then we may be able to improve the upper bound on  from 129 to  as was done for the  and  upper bounds, bringing us closer to the lower bound of 124.  If we also can classify the 42-point Moser sets then in principle we can hit  exactly., (Similarly, if we get a good classification of 50-point line-free subsets of , then we should be able to finish off a non-computer-assisted proof that c_5 = 150.)</t>
  </si>
  <si>
    <t>C2266</t>
  </si>
  <si>
    <t>hadn't thought of it like that</t>
  </si>
  <si>
    <t>549.  Sperner obstructions, Ryan, that is indeed a nice way of thinking about equal-slices measure, and thanks for reminding me about monotone functions, which, despite a number of your previous comments, had slipped out of my mind. I must try to think what the most general phenomenon is, of which monotone functions are a particularly nice manifestation. (For example, the intersection of an up-set and a down-set is likely to be highly non-quasirandom for Sperner.) Better still, it would be good to generalize that to subsets of  where I don’t find it completely obvious what one should mean by a “monotone” set. (Of course, one can come up with definitions, but I’d like a definition with a proper justification.) In general, however, it seems to me that anything even remotely monotone-like in  ought to correlate with a set of complexity 1.</t>
  </si>
  <si>
    <t>C2267</t>
  </si>
  <si>
    <t>hoping for a big slice of luck</t>
  </si>
  <si>
    <t>550.  Equal-slices orthonormal basis, Ryan, I completely understand your not being 100% convinced by equal slices probability. I myself am in the position of (i) very much wanting it to do something good and (ii) feeling that it would be a bit of a miracle if it did., I’ve been thinking about Gil’s question of finding a nice orthonormal basis of functions with respect to equal-slices density,  and have just come up with a guess. In the true polymath spirit I will present the guess and only after that see whether it actually works. I’ve got a good feeling about it though (because I scientifically inducted from 2 to the general case)., Here are my initial desiderata. I would like a set of functions  (sort of pseudo-Walsh functions), one for each subset , such that, regarding the elements of  as subsets of , the value of  depends only on the cardinality of . I would also like them to be orthogonal in the equal-slices measure. (I think this could be enough to nail the functions completely, but I’m just going to guess a solution. If it turns out to be rubbish then I’ll go away and try to solve some simultaneous equations.), There is more or less no choice about what to do with singletons: up to a constant multiple, I’ve basically got to define  to be  if  and  otherwise. Since the equal-slices weight of  is equal to that of its complement, this function averages zero in the equal-slices measure, and is therefore orthogonal to the constant function 1 (which is what we have to choose for  when  is empty)., Things get more complicated with pairs. As I argued in an earlier comment, if you just choose the usual Walsh function  then with equal-slices measure you get that the average of the function is  (when ). And that was basically because if you randomly choose two points in  and then choose a random  between  and , then the probability that exactly one of your two random points is less than  is approximately  instead of . So the nicest thing to do seems to be this (always assuming that  for this discussion): we define  to be 1 if  is 0 or 2 and  if , Now let’s jump straight to the guess. I won’t bother normalizing anything so I’m aiming for orthogonality rather than orthonormality. If  then I’d like  to be   , OK, now let me begin the probably painful process of checking this guess. FIrst of all, this set of functions is no longer closed under pointwise multiplication, but that was always going to be too much to ask, since otherwise the functions  would have determined everything and we’d have ended up with the usual Walsh functions. This has the annoying consequence that it’s not enough just to check that  has average zero when  is non-empty. And I have to admit that at this stage I’m just hoping for a big slice of luck (no cheesy pun intended)., What, then, is the product ? Hmm, I think it’s going to be beyond me to do this straight up on to the computer, so now I really am going to do an offline computation. I’ve got various things coming up so it may be an hour or two before I can report back. (Also, I want to check that the expectation of  really is zero. I’m satisfied that it is approximately zero, but it would be much nicer to have exact orthogonality.)</t>
  </si>
  <si>
    <t>CTao_36011</t>
  </si>
  <si>
    <t>solutions in a specific file</t>
  </si>
  <si>
    <t>742. Moser.
I ran my program for the Moser problem. For n=4 I get 43 as the optimum and  the program found 1552 extremisers. However a quick heuristic test suggest that most might be isomorphic.
The solutions can be found here
http://abel.math.umu.se/~klasm/extremal-moser-n=5-t=3
The file format is the same as before.</t>
  </si>
  <si>
    <t>C2268</t>
  </si>
  <si>
    <t>idea DOA</t>
  </si>
  <si>
    <t>551. Equal slices and orthonormality, Oh dear, just noticed, before getting round to any calculation, that this idea is dead before it’s even got going. If for each  we want  to depend on  only, then as I pointed out above we need  to be the usual Walsh function when  is a singleton. But for two such functions to be orthogonal we then need their pointwise product to average zero as well. But their pointwise product is the usual Walsh function associated with a set of size 2, and the whole motivation for this line of enquiry was that those Walsh functions did not average zero in the equal-slices measure., This shows that my two desiderata above are inconsistent. In my next comment I’ll give a suggestion for what to do.</t>
  </si>
  <si>
    <t>C2269</t>
  </si>
  <si>
    <t>Ryan's approach too good to ignore</t>
  </si>
  <si>
    <t>552. Equal slices and orthonormality, It seems to me that Ryan’s way of looking at equal-slices density is too good to ignore, so instead of asking what the most natural orthonormal basis is with respect to equal-slices density, let us ask instead what the most natural thing to do is if (i) we want orthonormality and (ii) we want to think of equal-slices density as the average of the weighted densitites on the cube., As Gil points out, for each fixed  you have a natural orthonormal basis. Indeed, if we choose a random point of  by letting the coordinates be independent Bernoulli random variables with probability  of being 1 and  of being 0, then the function that is  when  and  when  has mean 0. The expectation of the square of this function is , so if we divide by  then we get a function  of mean 0 and variance 1. We can define  similarly for each ., Now for a general set  define  to be  Then the independence of the random variables  implies that  if  is non-empty (always assuming that the elements of  are chosen randomly and independently with probability ). Therefore, the  are orthogonal. If  then we get the usual Walsh functions., I think that there is just one natural thing to do at this point. For each  let us write  for the expectation of , where each  is Bernoulli with probability . Then the equal-slices measure of  is . , How about inner products? Well, . If we want to understand this in a Fourier way, it seems crazy (with the benefit of hindsight) to try to find a single orthonormal basis that will do the job. Instead, for each  one should expand  and  in terms of the weighted Walsh basis  and then take the average. For each individual  there is a nice Parseval identity, since the  are orthonormal. To spell it out, if we write  for , then , This looks to me like a nice usable Parseval identity, even if it doesn’t have the form I was orginally looking for. So we’re taking our Fourier coefficients to belong to  rather than to .</t>
  </si>
  <si>
    <t>C2270</t>
  </si>
  <si>
    <t>553. Sperner obstructions., The next thing I’d like is a good measure on pairs . With the old way of thinking about equal-slices density this was easy: we took two initial segments of a randomly permuted . But can we think of it in a Ryan-like way? , Here’s a natural suggestion. First we randomly pick a pair  of real numbers with . Next, we choose the set  by picking each element independently and randomly with probability . And then we pick the set  by picking each element of  independently and randomly with probability . Note that the elements of  end up being chosen independently with probability , so the marginal distributions of  and  are sensible., The next task is to try to sort out what we mean by . (We want to say that  is non-uniform if this expectation is not small.) Wait, that’s not quite what I meant to say. It’s clear what it means, since I’ve just specified the distribution on pairs . What is not quite so clear is how to express it in terms of the vector-valued Fourier coefficients. I think I need a new comment for that.</t>
  </si>
  <si>
    <t>CTao_36017</t>
  </si>
  <si>
    <t>743. Moser, At a first glance, there are four types of solution, 512 solutions: 24 points contain two 2s, 16 contain one 2, 3 contain no 2s
768 solutions: 23 points contain two 2s, 16 contain one 2, 4 contain no 2s
256 solutions: 24 points contain two 2s, 15 contain one 2, 4 contain no 2s
16  solutions: 18 points contain two 2s, 20 contain one 2, 5 contain no 2s</t>
  </si>
  <si>
    <t>C2271</t>
  </si>
  <si>
    <t>554. Sperner-related calculations., Finally I’ve found something that I definitely couldn’t do straight up. But with a bit of paper and a couple of false starts I think I’ve got it down, or at least have made some calculational progress in that direction. The aim is to express the quantity  (defined in the previous comment—it is of course essential that we are talking about an equal-slices-related joint distribution here) in terms of the vector-valued Fourier coefficients of . Also, I’ve changed A and B to U and V because I want to use A and B to label some Walsh functions., For this calculation it will be more convenient to think in terms of Bernoulli random variables. Let  be Bernoulli with mean , let  be Bernoulli with mean , and let . All the  and  are of course independent, so the  are independent Bernoulli random variables with mean . Later on we will average over  but for now let us regard them as fixed and see what happens. Later we will take  to be the set of  such that  and  to be the set of  such that . (What this will ultimately be doing is investigating the number of pairs  in  with  of size roughly  and  of size roughly .), Now we can expand  in terms of the functions  and also in terms of the functions . If we do so, then our main task is to try to understand the quantity  which we are rewriting as  , Here we find that independence helps us a lot. Let us begin by conditioning on . Since this fixes  we are now interested in  For every  let us write  for the function that takes  to  and  to .  Then  and  Therefore,  is equal to  which by independence is equal to . I have to feed my son now so will continue with this calculation later.</t>
  </si>
  <si>
    <t>CTao_36018</t>
  </si>
  <si>
    <t>744. If the following:, 512 solutions: 24 points contain two 2s, 16 contain one 2, 3 contain no 2s
768 solutions: 23 points contain two 2s, 16 contain one 2, 4 contain no 2s
256 solutions: 24 points contain two 2s, 15 contain one 2, 4 contain no 2s
16 solutions: 18 points contain two 2s, 20 contain one 2, 5 contain no 2s, are the only possible values for c_4′ = 43. Then I think that c_5′
must be 128 or less. There are only 24 points possible with two 2’s
so if there are three in a row the first one must have at least 18 of these
points the second cube must also have at least 18 so there must be at least
12 in both final the third must have at least 18 so there must be
at least 6 in all three which results in a line. So the maximum value for
c_5′ is 128 or less.</t>
  </si>
  <si>
    <t>C2273</t>
  </si>
  <si>
    <t>555. Sperner-related calculations continued., While walking to a local grocer’s I realized that conditioning on the  was not such a good idea. Instead, we should note that  splits up as a product of three products, which I will write separately. They are ,  and . Therefore, because of independence, the expectation that we’re interested in (or at least I am) also splits up as a product of three products, namely ,  and  Thus our calculation becomes very simple, since each of these expectations in the products is a number that does not depend on . Must go again.</t>
  </si>
  <si>
    <t>C2274</t>
  </si>
  <si>
    <t>556.  Sperner-related calculations continued., There are three very finite calculations to do next., 1. Since  is Bernoulli with mean , , by the way we defined . Wow, I wasn’t expecting that., 2. Similarly, . , 3. As for , it works out to be some number . I’ll calculate it later as I have to go., So the whole thing collapses to 0 unless  and then we get . That looks pretty nice to me.</t>
  </si>
  <si>
    <t>CTao_36024</t>
  </si>
  <si>
    <t>745.  , I’ve managed to classify all 52-point, 51-point, and 50-point line-free subsets of ; the details are somewhat tedious but they are on the wiki, see Lemma 2 of, http://michaelnielsen.org/polymath1/index.php?title=Upper_and_lower_bounds#n.3D4, At the 50-point level we see for the first time a set which is not contained in one of the  sets, which I have called X., In principle, it should now be possible to establish the upper bound , using Lemmas 2, 3, 4 on the wiki, though I will not have the time to verify this in the near future.</t>
  </si>
  <si>
    <t>C2275</t>
  </si>
  <si>
    <t>future project</t>
  </si>
  <si>
    <t xml:space="preserve">combine OS computer programming and collaborative work :) :) :) </t>
  </si>
  <si>
    <t>The issue of computation has come up in a couple of the threads. I know that there are open source efforts in computer programming. It makes me wonder weather there eventually might be a combination of open source computer programming and massively collaborative mathematics in order to do difficult precise calculations that come up in efforts to try and solve the problem.</t>
  </si>
  <si>
    <t>C2276</t>
  </si>
  <si>
    <t>557.  Sperner-related calculations continued., Right,  is  with probability ,  with probability  and  with probability . Recall that  and , and similarly for . (I’ve changed these to minus what they were before, but this isn’t important.) To tidy things up a bit I’m going to make the substitution  and . So , , and similarly for  and ., Therefore,  is  with probability ,  with probability  and  with probability . Therefore, the expectation is  hmm, I’ve just tried it on a piece of paper and it doesn’t seem to simplify. That’s annoying, as I would very much like to get some idea of the average size of  as  and  vary.</t>
  </si>
  <si>
    <t>C2283</t>
  </si>
  <si>
    <t>558. Sperner-related calculations continued., Actually, I forgot the minus signs:  should have been . So we get ., I’m going to have to do this a few times until I’m confident it’s right. But at the moment it looks as though  is sometimes bigger than 1, which I don’t like, but also as though there is a range where it is less than 1, which might mean that we were OK after some very modest localization. The reason I’d like  is that it would then mean that the contribution to the sum from large  was fairly negligible, and I think we’d have a proof of at least some statement along the lines of incorrect number of  implying large Fourier coefficient at some small . And if that worked, it would be hard to resist the temptation to try something similar for DHJ(3), though the thought of it is rather daunting.</t>
  </si>
  <si>
    <t>C2286</t>
  </si>
  <si>
    <t>relax the condition</t>
  </si>
  <si>
    <t>559. Removal lemma for DHJ, The main difficulty – at least for me – in applying a removal lemma to the set model (DHJ Version 4. in the Wiki) is the disjointness of sets as it makes the corresponding graph very sparse. Here I’ll try to relax the disjointness condition in a slightly different model. Instead of working inside of one dense cube showing that it contains a line, here we will consider now several cubes; The “original” cube , n copies of  …  copies of , and so on. For any subset of n we have one cube. We can suppose that each cube is at least c-dense and line-free. For any pair of subsets of n, say A and B there is a unique point assigned; it is in the cube over  with 1-s in the  positions, 2-s in the  positions, and 0-s elsewhere. Every point represents a pair of subsets in n. This model allows us to state the following “corner-like” form of DHJ:
For every  there exists n such that every collection of pairs (A,B) of subsets of n of cardinality at least  contains a “corner” , where D is disjoint from A and B.  (A, B, D are subsets of n )</t>
  </si>
  <si>
    <t>CTao_36030</t>
  </si>
  <si>
    <t>746, Mosers problem in dimension 4 and 5., From Klas’  list in 742 it appears to me (just by a visual inspection, not by computer count) that possibly the distributions of the 43 vectors in the 3 planes are like
(13, 16,14) and (14,15,14) (only?)
This would mean that  the middle  layer is quite full,
so, when constructing a 5 dimensional array out of the 4 dimensional configurations,
like
(a b c)
(d e f)
(g h i), where , etc, and also
one should indeed be able to get a better upper bound.
Perhaps one of you can count the number of ones, twos and threes in the first column, for each solution and report the distributions?, Given that for dimension 3 the extremal example is of type (6,4,6), i.e. middle layer is not dense, in dimension 4 we have (possibly) the opposite, so that for dimension 5 one could expect again the middle layer is less dense,
The example by KS Chua in 736 has a distribution of
{{42, 40, 42}, {42, 40, 42}, {42, 40, 42}, {41, 40, 43}, {41, 40, 43}}
in the 5 parallel layers, so is in the spirit of this philosophy.</t>
  </si>
  <si>
    <t>CTao_36031</t>
  </si>
  <si>
    <t>code/solutions point to alternate location</t>
  </si>
  <si>
    <t>747. Moser n=4, Over night I ran the program to find all solutions for Moser’s problem for n=4 and 42 points.
The solutions can be found here
http://abel.math.umu.se/~klasm/moser-n=4-t=3-p=42.gz
There are of course a large number of solutions, 86232, but again it seems that the number of non-isomorphic solutions might be quite small., A question for those analysing the solutions. Are all the 42 point solutions subsets of the 43 point extremisers or are there other maximal solutions as well?</t>
  </si>
  <si>
    <t>C2292</t>
  </si>
  <si>
    <t>C2270; 476</t>
  </si>
  <si>
    <t>"If you pick them at random, some bets are off."</t>
  </si>
  <si>
    <t>560.  Sperner., Tim, regarding your problem beginning in #553 and fixing  and  first…  Is it correct that if we fix  and , then we recover the scenario from #476?  , One reason I like to have  very close to  (“extreme localization”) is that the -biased and -biased measures are practically disjoint if  is even a little bit less than .  So then how a set  acts under the -biased distribution has nothing to do with how it acts under the -biased distribution., (Of course, this is only if you *fix* distant  in advance.  If you pick them at random, some bets are off.)</t>
  </si>
  <si>
    <t>C2293</t>
  </si>
  <si>
    <t>switch problems</t>
  </si>
  <si>
    <t>561. Moser., Given that we feel a bit stuck on HJ, I feel tempted to think more about Moser instead.  I mean, why not? — it’s a strictly easier problem.  Is there an “easier” ergodic-theory proof of Density-Moser?</t>
  </si>
  <si>
    <t>C2294</t>
  </si>
  <si>
    <t>560. Removal lemma for DHJ (contd.), Now that a dense system is given, let’s check how can we use a removal lemma. Given a collection of pairs of subsets of n, denoted by S, of cardinality . The family of pairs having the same symmetric difference set form a matching in this graph. By Ruzsa-Szemeredi there will be many edges from the same matching (symmetric difference) that are connected by another edge. More precisely, there will be at least  quadruples A,B,C,D that (A,B), (C,D), and (A,D) are from S and . Unfortunately it is not a combinatorial line in general. However it is a combinatorial line if , i.e. when the three pairs are representing points from the same cube.</t>
  </si>
  <si>
    <t>C2295</t>
  </si>
  <si>
    <t xml:space="preserve">oops, here is a typo in the previous post; the correct statement is
</t>
  </si>
  <si>
    <t>C2296</t>
  </si>
  <si>
    <t>563. Moser, Re:561. Ryan, I don’t think that there is a published ergodic proof for Moser’s problem and I think that Moser k=6 implies DHJ k=3. But I agree, there should be a simpler way to prove Moser k=3. Note that for any algebraic line L in  one can find an x such that x+L is a geometric line.</t>
  </si>
  <si>
    <t>C2297</t>
  </si>
  <si>
    <t>Dear Jozsef, how do we get DHJ for k=3 from Moser for k=6? (Exploring these type of reductions may also be a nice avenue of some potential.)</t>
  </si>
  <si>
    <t>C2298</t>
  </si>
  <si>
    <t>at this point its a degree 3 conversation - Ryan to Jozsef to Gil to Jozsef</t>
  </si>
  <si>
    <t>Dear Gil, We have to check, but my thought was that if you map  to  as 1 maps to  1 or 6, 2 maps to 2 or 5, and 3 maps to 3 or 4, then if DHJ k=3 was combinatorial line free then Moser k=6 is geometric line free.  And if DHJ was dense, then Moser is dense too. I hope it’s right .</t>
  </si>
  <si>
    <t>CTao_36035</t>
  </si>
  <si>
    <t>CTao_35951, CTao_35996</t>
  </si>
  <si>
    <t>748 Moser
The observation made by Michael, in 738 and 740 has also been made
by V Chvatal, Canadian Math Bulletin, Vol 15, 1972, 19-21. “Remarks on a problem of Moser”.
That paper, however, is more difficult to read, and rewriting that observation in modern notation, as done by Michael, was certainly useful., That paper also comments that the construction only gives , the reason being indeed that , It can also be observed that the method gives for dimension 4 only 42 points, so that one should not expect that construction to be optimal, since .</t>
  </si>
  <si>
    <t>CTao_36036</t>
  </si>
  <si>
    <t>749.  by optimization and  LYM, The optimization approach can be applied to the weighted version
. The argument in 229 (minus the confusing
indexing) is :, Let  be a uniform k graph with vertex set  and edge set  together with a weight
function  for each vertex  and set, , Then the maximal total weight  of an independent set
of vertices (no k of which is an edge) in  is given by, , Applied to subset relation , with variables  weighted by  and the known  for , it gives the
following interpolation of the LYM equality. For all ,,  , Choosing a 0-1  corresponding to an antchain gives the usual LYM.</t>
  </si>
  <si>
    <t>C2299</t>
  </si>
  <si>
    <t>566.  Equal-slices measure., Ryan, my answer to your point in 560 is that it is indeed true that if you fix  and  that are some way apart, then the measures  and  are approximately disjointly supported. However, this is quite natural once you average over  and . It’s a bit like saying that in order to understand Sperner we will look at pairs of layers and see what happens for those. Obviously, one cannot look at each pair in complete isolation if one wants to prove Sperner’s theorem (since the weight inside each layer might be less than 1/2, say) but it’s not so clear that one can’t get useful information about obstructions that way: for example, one might be able to understand when two layers don’t make the right contribution to the number of subset pairs, and one might then be able to put that together to understand when it happens after averaging over all pairs of layers., But whether or not you are convinced by this, your alternative way of thinking about equal-slices measure has been hugely useful!</t>
  </si>
  <si>
    <t>C2300</t>
  </si>
  <si>
    <t>back to work</t>
  </si>
  <si>
    <t>there was a question (interruption - 560) to which there was a response (566) and now he is continuing to work (558)</t>
  </si>
  <si>
    <t>567.  Sperner calculations continued., A quick remark re 558. I realized as I woke up this morning that  must be at most 1 by Cauchy-Schwarz because it’s the covariance of the random variables  and , each of which has been carefully designed to have variance 1. (To put it another way, it follows easily from Cauchy-Schwarz.) So I think we’re in business here. I made some small slips in the calculations earlier, but I think that we have the very nice expression  for the total weight , where each  has modulus less than 1, with equality if and only if . From this one can informally read off a few quite interesting things. For instance, the contribution from a set  of large cardinality will be tiny if  and  are not very close to each other, but that happens only rarely (Ryan won’t like this bit), so the total contribution from large  appears to be small. This fits in nicely with one’s intuition that by Kruskal-Katona the upper shadow of a layer of positive density will be huge if you go up a lot of layers, unless there is some simple explanation such as all sets containing 1. Perhaps at this point I’ll try to tidy up these calculations and put them on the wiki.</t>
  </si>
  <si>
    <t>CTao_36040</t>
  </si>
  <si>
    <t>Austin.6</t>
  </si>
  <si>
    <t>check understanding; think I'm understanding papers 1/2/3 and what they are doing</t>
  </si>
  <si>
    <t>629.  The invertible maps  and group structure, I am beginning to understand a bit better the strange collection of invertible measure-preserving transformations  that appear in the papers 1, 2, 3, which in turn generate the compound maps ., Firstly, as Ryan proposed in 622, there is a nice probabilistic interpretation of these transformations that does not require the artificial device of introducing a new source of randomness, such as the uniform probability measure on 0,1.  Roughly speaking, one can view each  as the space of random m-dimensional combinatorial subspaces in , where each of the m wildcards  appear exactly once, plus some additional data which is a bit tricky to describe cleanly (details are on the wiki)., The transformation  for j=1,2,3 is the map that takes the random m+1-dimensional subspace to an m-dimensional slice, formed by replacing the final wildcard  with j., To invert this transformation (i.e. extending an m-dimensional subspace with an m+1-dimensional one), what one would like to do is start with the random m-dimensional subspace, search the fixed coordinates randomly for an instance of j, and replace this j with a wildcard .  Of course, this is a random map rather than a deterministic one; so what one has to do is to “roll the dice in advance” and store the choices of fixed coordinates one would use to extend the transformation as part of the data used to define an element of .  In fact one needs to roll the dice once for every element of the free group  on three generators, representing all the future possibilities of extending and contracting the space., The construction actually gives more than the invertible maps ; it also gives a permutation action on each , and one can multiply all the  to get an honest-to-goodness measure-preserving group action  of the free group , rather than this funny groupoid action that Furstenberg and Katznelson use.  However (as was pointed out all the way back in Austin.6), all this additional structure is actually a hindrance to the proof, because one has to let go of it in order to take advantage of the powerful Ramsey theorems available such as Carlson’s theorem., I still feel that there should be some clean algebraic substitute for the concept of a group action that can clarify conceptually the dynamics of this system, but I do not yet know what it should be (something like a semi-groupoid action).  The key thing seems to be that the structure one has generates lots of “IP-systems”, which I will discuss next.</t>
  </si>
  <si>
    <t>CTao_36041</t>
  </si>
  <si>
    <t>IP convergence lemma</t>
  </si>
  <si>
    <t>630.  An IP convergence lemma, Let  be a sequence of group elements, then we can define  for any finite set  of natural numbers by the formula, , when .  The  form an IP-system, which means that they have the restricted multiplicativity property, , whenever  is to the left of .  (This is an example of the “semi-groupoid action” concept I am struggling to formalise in a clean algebraic fashion.)  , If G has a topology on it, we say that the IP-system  converges to a limit  if every neighbourhood of U contains the  “for sufficiently large “, which means that the least element  of  is sufficiently large., Hindman’s theorem is equivalent to the claim that any IP-system in a compact metrisable space has a convergent sub-IP-system (I will not define what a sub-IP-system is here; again, I do not feel that I have that the correct algebraic formalism for all this yet.)., The following lemma is the key in Paper #1 (together with Carlson’s theorem, which has a similar flavour to Hindman’s theorem) to proving the claim in 628:, Lemma.  Let  be an IP system of unitary operators on a separable Hilbert space H that converges (in the weak operator topology) to a limit P.  Then P is an orthogonal projection., Note that the weak operator topology on the operators with norm at most 1 on H is compact metrisable., Proof.  Since the  have operator norm at most 1, P has norm at most 1 as well.  Since the only idempotents of norm at most 1 are the orthogonal projections, it suffices to show that ., Let .  Then  converges weakly to  as .  But for fixed , $U^*_\beta U_\alpha^* v$ converges weakly to  as ; thus, ,, where the limits are in the weak sense.  On the other hand, using the IP property, the limit on the left is .  Thus  and so P is idempotent.</t>
  </si>
  <si>
    <t>CTao_36043</t>
  </si>
  <si>
    <t>logical argument</t>
  </si>
  <si>
    <t>750. If there are 1552 43-point solutions and 86232 42-point solutions
then there must be one 42-point solution which is not a subset of any of the 43-point solutions, since each 43-point solution has 43 42-point subsets and 43*1552 is less than 86232.</t>
  </si>
  <si>
    <t>C2303</t>
  </si>
  <si>
    <t>"Ryan-style model"</t>
  </si>
  <si>
    <t>568. Fourier and DHJ(3)., Before I go off and do actual calculations, I want to see how much I can easily generalize of the Sperner calculations to DHJ(3). , The first step is to come up with a Ryan-style model for equal-slices measure. For points it is easy enough: first, pick  and for each coordinate  let it be 1 with probability p, 2 with probability 1 and 3 with probability r. Then average the resulting density over all such p,q,r.  , Now for  I’d like to pick a random combinatorial line in such a way that its 1-set is chosen according to (p+s,q,r) measure, its 2-set is chosen according to (p,q+s,r) measure, and its 3-set is chosen according to (p,q,r+s) measure. I think this too is easy: for each i you make it 1 with probability p, 2 with probability q, 3 with probability r, and a wildcard with probability s. , The next task is to come up with analogues of the “biased Walsh functions”  that we used on . So now we are looking for functions  (where the  is redundant but there for symmetry). We very much want to use independence, so we would like  to be , where  will be . Amongst the properties we will want of the function  is that its expectation (defined to be ) is 0 and that its variance is 1. To achieve this, I plan to let ,  and . Here  and  is a normalizing factor to make the variance 1. This seems not to be the unique thing one could do but it does seem to be quite a natural thing to do. I’m hoping, however, that the expectation and variance will give me most of the information I care about., In particular, the functions  defined this way do indeed form an orthonormal basis for (complex) functions defined on ., Now let us think about the expression , where the expectation is over all combinatorial lines  chosen according to the (p,q,r,s) measure. To do this, we expand  as , and similarly for  and . So what we would like to understand is  for fixed sets . Again, the expectation is over all (p,q,r,s)-combinatorial lines. (Eventually we will average over p+q+r+s=1.), I want to be able to see this expression, so will start a new comment.</t>
  </si>
  <si>
    <t>C2304</t>
  </si>
  <si>
    <t>569.  Fourier and DHJ(3)., Now let us choose a sequence of random variables , where each  is 1 with probability p, 2 with probability q, 3 with probability r, and a wildcard with probability s. Then let  be  if  or , and  if  is a wildcard, and define  and  similarly, so that the three sequences ,  and  form a random combinatorial line  determined by ., Now each term in the product  itself splits up into a big product, the first over all , the second over all  and the third over all . For example, . , Let us try to understand when the expectation of this product has a chance of not being zero. , One case where it is zero is if there exists i that belongs to A but not to B or C. In that case, the big product will include , but it won’t involve  or . Therefore, by independence and the fact that , the entire expectation is 0., What about if  but ? Now we want to know what  is. We know that the probability that  is , and the probability that  and  is . I would very much like the resulting expectation to be 0, but at the moment I don’t see any reason for this. So I think I’ve got to the point where I need to do a back-of-envelope calculation. Here is where it may turn out that my guess for a good choice of functions  was not a good guess. (I should say that what I’m eventually hoping for is something reminiscent of what one gets in , namely a sum over cubes of Fourier coefficients. This may be asking a bit much though.)</t>
  </si>
  <si>
    <t>C2305</t>
  </si>
  <si>
    <t>(not sure if it was code or just working the problem offline)</t>
  </si>
  <si>
    <t>570. Fourier and DHJ(3), A quick report back. The guess doesn’t work, but I’m still not quite sure whether there might be another choice of functions  that do the job. If we forget normalizations then the only property that matters is . And then what we’d very much like is that if  and , then . But I think that’s not going to be achievable. If we set , then it suggests that we should also have , which more or less pins down the function (I think it decides it up to a constant multiple and taking complex conjugates). But I’m getting a bit bogged down in algebra at the moment, nice though that condition is.</t>
  </si>
  <si>
    <t>C2307</t>
  </si>
  <si>
    <t>amateur</t>
  </si>
  <si>
    <t>who plays - and who doesn't</t>
  </si>
  <si>
    <t>It is notable that most of the USA Mathematical Academia “poster-boys names” (except for Terence Tao ) choose not to take part in this discussion. They don’t read other’s blog, they don’t read emails from others – they busy … but with hat ?</t>
  </si>
  <si>
    <t>C2308</t>
  </si>
  <si>
    <t>response &amp; question</t>
  </si>
  <si>
    <t>"so elegant, how can I not be on board"</t>
  </si>
  <si>
    <t>571. Sperner., Tim, the expression in #567 is so elegant, how can I not be on board for equal-slices now? 🙂  Here are some questions that occur to me:, 1. Can we get a handle on the meaning of the first term?  What does  represent?  Well, it represents the average of ‘s -biased measure times its -biased measure under this way of choosing , but what does that… mean?, 2. Can we understand why this expression is miraculously always  whenever  is a monotone function of equal-slices-mean ?  Being “monotone” is a fairly “non-Fourier-y” property., 3. Is this quantity always at least ?, 4. What exactly might we be hoping to prove in this Sperner case?  Something like, “The extent to which you don’t have a  fraction of Sperner pairs (under Tim’s distribution) is related to the extent to which you are not monotone.”?</t>
  </si>
  <si>
    <t>C2309</t>
  </si>
  <si>
    <t>572.  Sperner, Ryan, I don’t have complete answers to your questions, needless to say, but they are interesting questions so let me give my first thoughts., 1. I haven’t checked that it’s exactly the same, but I’d have thought it would be something like what I was looking at before you came along with your s and s. That is, you randomly scramble , then randomly choose two initial segments  and , and calculate . And then you average over everything you’ve done. In the case where  is the characteristic function of a set , you are calculating the expectation of the square of the density of initial segments of a random permutation of  that belong to . So in that model at any rate it’s always at least  since the average is . So this may possibly answer 3. , 2. I don’t understand your question here. For example, if  is the characteristic function of all sets of size at least , then the -biased measure is basically 0 if . So the equal-slices mean is . And if you choose a random pair  such that  then the probability that they both exceed  is 1/4. And this works if you replace  by any . In order to depart from , you have to find a monotone function that doesn’t look like a union of layers, of which the obvious example is the set of all sets that contain 1. , 3. See 1., 4. At one point I was convinced by you that monotonicity was a key property. But I’ve gone back to thinking that what really matters is small sets with big bias. I think what I’d like to see (and I think it could be quite close) is a density-increment proof of Sperner. The proof would go something like this. By the expansion above, either get the expected number of pairs  or we find a small  such that  is large for a dense set of , where  is the balanced function of  (suitably defined). In the latter case, we fix a small number of variables and give ourselves a density increase in a subspace of bounded codimension. The motivation for such an argument would be to find something that could be adapted to DHJ(3). There are at least two technical problems to sort out. The first is to work out . The second is that restricting to subspaces is problematic when one is dealing with equal-slices measure. Or at least, at some point I persuaded myself that it was.</t>
  </si>
  <si>
    <t>C2310</t>
  </si>
  <si>
    <t>568-570; 77</t>
  </si>
  <si>
    <t>"I want to think about corners" would be a cool t-shirt</t>
  </si>
  <si>
    <t>573.  Fourier, DHJ(3), corners, It’s just occurred to me that what I was trying to do in 568-570 is unlikely to work because we don’t have a direct Fourier expansion of this kind for the corners problem. So before I go any further I want to think about corners., Actually, I’ve now had a counterthought, which is that if by some miracle we ended up with an expression of the form  for the number of combinatorial lines (I’ve also just realized that I was absent-mindedly trying to define a basis that consisted of only  vectors, so I’ve changed  to  and will go back and think about this), then we would not particularly expect to get a non-zero answer (if  was the characteristic function of our dense set) unless we could find a good selection  such that all the Fourier coefficients at  were reasonably large. This would be asking for corners in the triangle . So it could conceivably be that the corners theorem would get us started and Fourier would take over from there—which is reminiscent of, though not quite the same as, what Terry suggested way back in comment 77. Here, the idea would be that the corners theorem (suitably Varnavides-ized) would guarantee that there were many candidate triples of rich slices that could lead to combinatorial lines, and Fourier methods would show that you could differ from the expected number of combinatorial lines given the slice-density function only if something showed up in the Fourier expansions., However, having written that optimistic sounding paragraph, I feel pessimism returning. In fact, I have a little test to apply. I think if one chooses a random set of complexity 1 (see  the discussion of DHJ(1,3) on this page for a definition) then it may well not have any large Fourier coefficients, even though it will typically have the wrong number of combinatorial lines. , To end this comment on an optimistic note, perhaps this strange form of Fourier analysis could be used to prove DHJ(1,3), and perhaps it could come in at the point where Shkredov needs it for his corners proof.</t>
  </si>
  <si>
    <t>C2311</t>
  </si>
  <si>
    <t>here's the test</t>
  </si>
  <si>
    <t>574.  Fourier and DHJ(3), Here’s the test then. Suppose you take two random collections  and  of subsets of . Now let  be the set of all points  with 1-set in  and 2-set in . Let  and  be two functions from  to  such that . Let  be a product of functions  where each  is either 1,  or . The question now is whether  can possibly correlate with . And the answer seems to me to be so obviously no that I think I can get away without actually checking it carefully. , In fact, here’s a sketch of a proof: there are only  non-constant functions of the given type, the expectation of each one over the random set  is 0, and there will be very very strong concentration. (I haven’t checked this argument, but it convinces me.), The next step is to see whether it is possible to make up for this slight disappointment (slight because we had no right to expect things to work better for DHJ(3) than they do for corners) by finding something comparably nice about bipartite graphs and singular values, for possible use in a regularity lemma. I’ll start a fresh comment and then explain what I’m hoping for here.</t>
  </si>
  <si>
    <t>C2312</t>
  </si>
  <si>
    <t>analogize</t>
  </si>
  <si>
    <t>what worked there might work here ...</t>
  </si>
  <si>
    <t>575.  Global quasirandomness, Recall that associated with a subset  of  are three bipartite graphs,  each with two copies of the power set of  as its vertex sets, with edges joining some pairs of disjoint sets. For instance, the 12-graph joins  to  if the sequence x with 1-set equal to  and 2-set equal to  belongs to ., Now the averaging-over-permutations technique looked as though it would yield a definition of quasirandomness that was sufficient to guarantee the correct number of combinatorial lines. However, we did not get out of that the kind of global correlations that would be needed for a regularity lemma. Basically, the reason was that the definition that seemed to be emerging was of the number-of-4-cycles kind rather than the correlates-with-bipartite-subgraph kind. However, the thoughts that led to the Sperner expression feel as though they could also give rise to a useful definition of the latter kind. So that is what I want to try next.</t>
  </si>
  <si>
    <t>C2313</t>
  </si>
  <si>
    <t>576. Global quasirandomness, First, let me give a Ryan-style equal-slices measure for the bipartite graph we’re talking about, or more generally for functions  that take pairs  of disjoint sets to . As usual, I’ll discuss things for fixed  and  and then average later. So let  and  be positive real numbers that add up to less than 1. For each element of , put it in  with probability  and in  with probability , with all choices independent. Then we would like to find a natural decomposition of such functions, analogous to the singular value decomposition of a bipartite graph., In the graphs case we can derive the SVD variationally. The analogue here would be to maximize  over all functions  and  of  norm 1. Here, I imagine that we choose  and  according to the distribution specified above, and measure the  norms of  and  using the  and  measures, respectively. Then if  is a very small function orthogonal to , then the above expectation must change by , which implies that the function  is proportional to . , Got to go. To be continued.</t>
  </si>
  <si>
    <t>CTao_36045</t>
  </si>
  <si>
    <t>CTao_36024; CTao_36017</t>
  </si>
  <si>
    <t>proof based on earlier classification</t>
  </si>
  <si>
    <t xml:space="preserve">751.  by hand, I used Terry’s classification, in comment 745, of 50pt, 51pt and 52pt subsets of  to show .  My proof
is in the wiki., In 743, one group of 16 solutions had five points with no 2s.
One of these solutions is the union of the following, and the other fifteen are reflections of it in one or more of the axes., </t>
  </si>
  <si>
    <t>C2318</t>
  </si>
  <si>
    <t>577. Global quasirandomness, My basic thought here is to try to do linear algebra but with a different model of matrix multiplication: when we write  we are not allowing  and  to vary independently. Having decided on that, I would like to try to follow the usual arguments as similarly as possible. For example, I would like to be able to say that  is quasirandom if  is approximately the constant function  for every bounded . And I’d like to have a counting lemma for quasirandom functions (this is likely to be less easy). With those two ingredients, there would be a serious chance of proving a triangle-removal lemma., From the argument in the previous comment, we have seen that if  is maximized over all unit vectors  and , then  is proportional to . Therefore, if , it follows that  By symmetry, if , it follows that  In other words, the linear map defined by  takes the space orthogonal to  to the space orthogonal to , so we can find orthonormal bases  and  of , one with respect to the measure  and one with respect to the measure , such that for every ,  is proportional to . , Let’s write . (Everything here depends on  and  but we are thinking of those as fixed for now.) Then if , then , which has  norm . For this not to be small, we need some  to be large, I think, and this seems to give us  and  such that  is large. Obviously this needs to be checked pretty carefully, but it looks on the face of it as though we find something like a complexity-1 function that correlates with . (However, when  and  vary, so does the complexity-1 function.), But I still have the local-to-global problem, but from the other side: this time there seems to be a global non-quasirandomness, but it’s not clear to me that global quasirandomness leads to the right number of triangles.</t>
  </si>
  <si>
    <t>CTao_36050</t>
  </si>
  <si>
    <t>Seva</t>
  </si>
  <si>
    <t>752. An algebraic DHJ(3), Not quite following the mainstream of this thread, and perhaps already discussed elsewhere — but anyway. There seems to be a nice version of the DHJ(3), which may be easier to attack and which looks (almost) equally exciting to me., Let’s say that a vector in  is simple if either , or  does not appear among its coordinates; say,  and  are simple vectors, while  is not. Furthermore, call a three-term progression in  simple if its difference is simple. Thus, a simple progression is a triple  of distinct elements of  with  and  all simple. The DHJ(3) implies that any positive density subset of  contains a simple progression. Is there any combinatorial or Fourier-theoretic proof of this fact?, Notice that by the integer Roth theorem, any set  of positive density contains a three-term progression with the difference, say, at most ; however, the corresponding argument does not seem to extend onto simple progressions in .</t>
  </si>
  <si>
    <t>CTao_36051</t>
  </si>
  <si>
    <t>long-winded proof finished</t>
  </si>
  <si>
    <t>752.  by hand, I think I have finished the long-winded proof that , in the wiki.</t>
  </si>
  <si>
    <t>C2321</t>
  </si>
  <si>
    <t>578.  A new proof of DHJ(2), Hi; I’ve been busy with other things for a while, so am not caught up… but meanwhile, I think I found a genuinely different proof of DHJ(2) based on obstructions-to-uniformity (similar, incidentally, to my paper proving convergence for multiple commuting shifts) which may have some potential., It goes like this.  Call a bounded function  uniform at scale m if f(x) and f(y) are uncorrelated, whenever x is chosen randomly from  and y is formed from x by randomly flipping O(m) 0s to 1s.  , Call a bounded function f basic anti-uniform at scale m if its mean influence is O(1/m), i.e. if x is chosen randomly from  and y is obtained from x by randomly flipping one 0 to a 1, then f(x)=f(y) with probability 1-O(1/m)., Lemma:  A bounded function f is either uniform at scale m, or has non-trivial correlation with a function g which is basic anti-uniform at scale m., Proof:  Take , where y is formed from x by randomly flipping m 0s to 1s. , At this point we have two possible strategies., The first is to observe that basic anti-uniform functions tend to be roughly constant on large subspaces.  Because of this, any function f of mean zero which correlates with a basic anti-uniform function will have a density increment on some large subspace.  If one then starts with $f := 1_A – \delta$ and runs the density increment argument (and reduce m at each iteration), one can eventually get to the point where $1_A – \delta$ is uniform at some scale m, at which point one can find lots of combinatorial lines with m wildcards., The other strategy is to use energy-increment methods instead of density-increment ones.  Indeed if we do the usual “energy-increment” iteration (as for instance appears in my first paper with Ben), and decreasing the parameter m appropriately with each iteration, we obtain, Corollary: Every bounded function f can be split into a function  uniform at scale m, plus a polynomial combination  of functions anti-uniform at scale m’, plus a small error, where m’ is much larger than m.  Also, if f is non-negative and has large mean, one can arrange matters so that  is also non-negative and has large mean., Now on subspaces of size about m’,  is close to constant, and on many subspaces, this quantity is going to be large.  Meanwhile,  is uniform on most subspaces, and so most subspaces are going to contain lines (with about m wildcards)., The corresponding obstructions to uniformity for DHJ(3) are more complex.  Roughly speaking, I’m facing things like this: take a random x in , let y be formed from x by randomly flipping a bunch of 0s to 1s, and then let x’, y’ be formed from x and y by randomly flipping a bunch of 0s to 2s (with the digits being flipped for x being the same as those for y).  Then one needs to understand what it means if  is large.  There seems to be a sense that f is somehow correlating with a “local complexity 1” set – i.e. the type of expression we already saw in DHJ(1,3), but somehow localised to a much smaller scale than n – but I don’t see clearly what it will be yet.</t>
  </si>
  <si>
    <t>CTao_36059</t>
  </si>
  <si>
    <t>480, CTao_36051</t>
  </si>
  <si>
    <t>summarizing comments; question</t>
  </si>
  <si>
    <t>753., Michael: Excellent!  Now we have two independent confirmations that  and thus , and also quite a good understanding of the extremisers and near-extremisers (though probably not enough to completely close the gaps in the bounds ).  Incidentally, I placed this sequence on the OEIS at, http://www.research.att.com/~njas/sequences/A156989, and c”_n at, http://www.research.att.com/~njas/sequences/A156990, Seva: Thanks for the question, which I have added to the wiki.  The same question was also posed, incidentally, by Randall in 480.  I think the problem is similar to that of finding arithmetic progressions of length three in dense sets of N whose difference is a square.  Ben observed once that such a result could be deduced from known results in “quadratic Fourier analysis” (in particular, the U^3 inverse theorem) and so there is a chance that something similar can be done here., Re: Moser: it may be helpful to try to find a non-computer-assisted proof of the upper bound , as this may help us understand the structure of the extremisers and near-extremisers better (given that this strategy seems to have been quite successful for ).  Actually, do we even have a human proof of ?</t>
  </si>
  <si>
    <t>CTao_36060</t>
  </si>
  <si>
    <t>human proofs available</t>
  </si>
  <si>
    <t>754 Human proofs of Moser’s problem in dimension 3 and 4
(with regard to terry’s question in 753), 1) L. Moser, Problem P.170 in Canad. Math. Bull. 13 (1970), 268.
Origin of problem., 2) Komlos, solution to problem P.170 by Leo Moser,
Canad. Math.. Bull. vol (??check) (1972), 312-313, 1970., gives a solution like fixing n/3 coefficients, i.e. a lower bound of ., 3) V. Chvatal, Remarks on a problem of Moser, Canad. Math. Bull. 15 (1972),
19-21., improves the constant in Komlos construction, essentially taking a union of slices,
gives a lower bound of  and implicitly $c’_5\geq 124$ etc,
by. relating the problem to a coding theory problem.
but is aware of the solution with 43 points in dimension 4., 4) V. Chvatal,
Edmonds polytopes and a hierarchy of combinatorial problems
Discrete Math. 4 (1973) 305-337.
Reprinted: Discrete Mathematics, 306, 2006,  886-904., gives a human proof of , it’s actually a linear programming method, with some geometrically motivated clever scalings. perhaps this can be generalized., 5) A.K. Chandra, On the solution of Moser’s problem in four dimensions,
Canad. Math. Bull. 16 (1973), 507-511., gives a human proof of  with some useful info on number of points in certain sub-configurations.</t>
  </si>
  <si>
    <t>CTao_36061</t>
  </si>
  <si>
    <t>754. Exact bounds, It is great that you find the exact values of  and  !
I was wondering if you could check if the extremal configurations are “corner-free” or not. By corner-free I meant that if for every point you assign a 3-dimensional point (a,b,c) where a is the number of 0-s, b is the number of 1-s, and c is the number of c-s then there is no triple of the form (x+d,y,z), (x,y+d,z),(x,y,z+d).  It would be also interesting to know if there is at least one such extremal configuration exists for k=6. It is for checking if our present lower bound strategy is optimal or not. (Probably not)</t>
  </si>
  <si>
    <t>CTao_36064</t>
  </si>
  <si>
    <t>can't get it to work</t>
  </si>
  <si>
    <t>I tried these two links, http://www.research.att.com/~njas/sequences/A156989, http://www.research.att.com/~njas/sequences/A156990, and the I didn’t get a sequence for the second one which
I think is for  even though I tried it twice.</t>
  </si>
  <si>
    <t>CTao_36071</t>
  </si>
  <si>
    <t>757 Moser, n=5 , Comment on the example that shows :, If one shifts the digits from {1,2,3} to {-1,0,1}, then one observes that
the example has all 80 vectors with “sum of coordinate entry squares=3,
i.e. two zeros and three times 
 all 40 vectors with  sum of entry squares=4, i.e. one zeros and four  entries, and four more vectors with all entries being . , In other words, this is a union of two Behrend spheres and a third partial sphere.</t>
  </si>
  <si>
    <t>CTao_36072</t>
  </si>
  <si>
    <t>Dear Kristal, the sequence got moved to, http://www.research.att.com/~njas/sequences/A090245, because of a duplication.</t>
  </si>
  <si>
    <t>C2326</t>
  </si>
  <si>
    <t>536; 538; 578</t>
  </si>
  <si>
    <t>strategy/argument type from x might work on y</t>
  </si>
  <si>
    <t>579., There looks like there is a good chance that the type of arguments in 578 can be combined with the basic strategy I sketched out (very vaguely) in 536 (as Ryan already suggested in 538).  Basically, if there are many large slices of A which are not uniform (which means that their Fourier transform is concentrated in a Hamming ball of radius n/m or so centred at the origin) then that slice of A is correlating with an anti-uniform object of low influence; this object is roughly constant on medium-dimensional subslices and so we can locate a density increment.  So we can assume that most slices of A are uniform, and I think this is getting close to what we need for a counting lemma for geometric lines in A where the middle point of the line is close to the centre (2,2,..,2).  I’ll have to do some calculations to clarify all this.</t>
  </si>
  <si>
    <t>C2327</t>
  </si>
  <si>
    <t>sketch of a proof</t>
  </si>
  <si>
    <t>580.  Extreme localization and DHJ(3), Although I am still very interested in trying to find a “global” proof of DHJ(3) (though cheating first and changing the measure to equal-slices), Terry’s 578 prompts me to ask why we don’t already have a proof of DHJ(3). I’m not saying that I think we do, but rather that I want to understand where the gap is., In order to explain that, let me try to give some sort of proof sketch. Either it will look fairly complete, in which case we will need to examine its steps more carefully, or there will be some step that I don’t yet see how to carry out, even roughly., The broad plan is similar to things that both Terry and I have discussed in much earlier comments, and that Terry alludes to in his final paragraph above. I shall write my points as , where these are the 1-set, 2-set and 3-set of a sequence in . If  is dense, then there will be many choices of  for which the set of  with  and  is dense (in the set of  such that ). Therefore, by Sperner we can find a pretty large number of pairs  of such pairs with . And for each such pair of pairs we know that the point  does not belong to . , Now let’s rephrase that. This time I’ll write  for the point with 1-set equal to  and 2-set equal to . Then for each  we find a set-system  such that  whenever  and . Let us write  for the set of all  with the second property. Sperner should tell us that on average the set of all disjoint pairs  is reasonably dense in the set of all disjoint pairs that are disjoint from . So we have something that could be described as a “local complexity 1” set of points that do not belong to . Indeed, we have lots of such sets., I’m going to gloss over a few technicalities such as whether we are thinking about equal-slices measure or insisting that our lines have very few wildcards or whatever. Or perhaps I’ll just go for the latter: let’s focus on lines that have at most  wildcards, where ., Now for the main question. Can we convert this local non-uniformity into a global non-uniformity by some random restriction? At the moment things look a bit strange because the lines we are considering are of the form , where  and  are disjoint from each other and from a fixed set , and all of ,  and  have size about  But if we restrict to the subspace of all sequences that are  on , then in this subspace we are looking at points where the 1-set and 2-set use up about half the coordinates and the 3-set uses up only a tiny number of coordinates. So the plan would be to choose random sets  and  of size something like  and restrict to the subspace of points that are 1 on  and  on . Inside that subspace I think we’d still have correlation with a set of complexity 1 but now a typical point would have around  each of 1s, 2s and 3s (over and above the already fixed coordinates)., Obviously there would be some details to check there, but at the moment I don’t see why it doesn’t give us correlation with a set of complexity 1 after restricting to a small (but not all that small) subspace., Where to proceed from there? Well, the set of complexity 1 is of a nice form in that whether or not you belong to it depends just on whether your 1-set belongs to  and your 2-set belongs to . (In other words, there isn’t an additional condition about the 3-set. As shown on section 2 on this wiki page, such sets are simpler to deal with than general complexity-1 sets. , I will be interested to see whether anyone can spot a flaw in the above sketched argument. If not, then attention should turn to a problem that up to now I have assumed is doable, which is to show that if you correlate with a complexity-1 set then you can get a density increase on a subspace. I’ll post this comment and then think about that problem in my next one.</t>
  </si>
  <si>
    <t>C2328</t>
  </si>
  <si>
    <t xml:space="preserve">cross threads; (how is he judging "significant contributions"?) 700 thread has 2 proofs ready (one computer-assisted, one not); at least 6 made significant contributions </t>
  </si>
  <si>
    <t>Metacomment:, Unrelated to this thread, but I thought I would like to report a success of this collaborative environment: at the 700 thread we have now produced two proofs (one computer-assisted, one not) that , i.e. that the largest line-free subset of  contains exactly 450 points.  Six dimensions is already well into the range where the “curse of dimensionality” really begins to bite, so I find this a significant milestone. At least six people made significant contributions to one of the two proofs.</t>
  </si>
  <si>
    <t>C2329</t>
  </si>
  <si>
    <t>separate task in a new comment??? Is this the first time that ~rule has appeared?????</t>
  </si>
  <si>
    <t>581.  Multidimensional Sperner., I’ve just realized that multidimensional Sperner is easy. I must have been aware of this argument at some point in the past, and certainly I know lots of similar arguments, but this time round I had been blind., The question I’m interested in is this. Suppose that you have a dense subset of . Sperner tells you that you can find a pair  in , and that gives us a 1-dimensional combinatorial subspace. But what if we want a k-dimensional subspace? , Here’s how I think one can argue. Actually, the further I go the more I realize that it’s not completely easy after all. But I think it shouldn’t be too bad. I think for convenience I’ll use equal-slices measure. In that measure one obtains that if  is dense then the proportion of pairs  that belong to  is also positive. So by averaging I think one can find a set  such that the set of all  disjoint from  such that both  and  belong to  is itself dense (in ). By induction that set contains a -dimensional combinatorial subspace and we are done. (This argument is unchecked and I’m not certain the details work out, but if they don’t then some version of it with repeated localizations certainly ought to.), What I’d now like to do is prove that a dense set  of complexity 1 of the special form discussed in the previous comment contains a combinatorial subspace with dimension that tends to infinity with . (Eventually the plan would be to prove more than this: we would like to cover  evenly with such subspaces so that a set that correlates with  has to correlate with one of the subspaces. But we should walk before we run.) That counts as a separate task so I’ll attempt it in the next comment.</t>
  </si>
  <si>
    <t>C2331</t>
  </si>
  <si>
    <t>582. Dealing with complexity-1 sets., Actually, I suddenly feel lazy, for the following reason. It seems as though the multidimensional Sperner proof generalizes rather straightforwardly, and because of that I temporarily can’t face checking the details (and thereby heaping vagueness on vagueness — it is probably soon going to be a good idea to do the Sperner argument carefully)., Here’s the rough thought though. In section 2 on this wiki page I showed that a set of the given form contains a combinatorial line. If the Sperner idea above works, then it should work here too: we just find a set  such that for a dense set of points  in  we can fix , let  be a wildcard set, and thereby obtain a combinatorial line. If so, then once again we should be in a position to say that we have a -dimensional combinatorial subspace in the set of all such , and hence a -dimensional combinatorial subspace in  itself., Let me take a break now, but end with the following summary of the proof strategy. As I’ve already said, I would greatly welcome any feedback, so that I can get an idea of which bits look the dodgiest …, 1. As in 580 (but it was closely modelled on arguments that have been discussed already in earlier comments such as comment 413, part of comment 439, and comment 441) we prove that if  contains no combinatorial lines then, locally at least, there is a dense complexity-1 set that is disjoint from . By averaging, we get a dense complexity-1 set inside which  has a density increment. Moreover, that complexity-1 set is of the simple form where it depends just on the set-systems to which the 1-set and 2-set belong, with the 3-set free to be whatever it likes., 2. Every dense complexity-1 set of this form contains a multidimensional subspace (as optimistically sketched in 581 and earlier in this comment). Almost certainly this can be lifted up to a proof that a dense complexity-1 set of this kind can be uniformly covered by multidimensional subspaces. And then we get a density increment on a subspace. , 3. Therefore, by the usual density-increment strategy, we can keep passing to subspaces until the density reaches 1 (or 2/3 if we feel particularly clever), by which point we must have found a combinatorial line. Done!, If there is a problem with covering a special complexity-1 set uniformly with subspaces, then what we could do next is remind ourselves exactly how the Ajtai-Szemerédi proof of the corners theorem goes, since the averaging arguments they did there are likely to be helpful here.</t>
  </si>
  <si>
    <t>Gowers_10</t>
  </si>
  <si>
    <t xml:space="preserve">The 500s thread of polymath1 is going to run out soon. Before I start what I think will be the 800s thread, I would like to ask whether the general view is that threaded comments would be a good idea for this, because I have recently learned from Luca Trevisan that WordPress now allows them. At the beginning of the experiment there appeared to be a clear view that threaded comments would be highly desirable. Now that things have quietened down somewhat, I find it less obvious. The simple numbering system has served us well (though one could have a numbering system like 8.13.2 for the second comment on the 13th comment of what would have been the 800s thread) and with a more tree-like structure one would lose the easily viewed chronological order of the comments. But perhaps a very limited amount of threading would be helpful, e.g. for quick comments such as “There’s an easy counterexample to that: just take …” or “I have now seen how to prove this: more details can be found in comment 8.27 below.” So the choices are to go the whole hog and allow many levels of nested comments, to leave things as they are, or to allow limited threading (up to a maximum depth of 1, say, counting a comment itself as level 0) with a general agreement that it will be used sparingly. (The last option sounds potentially good, but would depend on people adhering to this agreement, and I can’t tell at this stage whether they would.) Take Our Poll												This entry was posted on February 21, 2009 at 8:04 pm and is filed under Uncategorized.						You can follow any responses to this entry through the RSS 2.0 feed.													You can leave a response, or trackback from your own site.											</t>
  </si>
  <si>
    <t>C2333</t>
  </si>
  <si>
    <t>C2329; 135</t>
  </si>
  <si>
    <t>583. Multidimensional Sperner., Tim, isn’t it the same question that we considered in 135?</t>
  </si>
  <si>
    <t>C2334</t>
  </si>
  <si>
    <t>C2333; 29; C2331</t>
  </si>
  <si>
    <t>beginning to see a possible strategy</t>
  </si>
  <si>
    <t>584.  Multidimensional Sperner, Ah — I remembered only Gil’s comment 29. So the main point of what I’m saying is not so much that multidimensional Sperner is a new and exciting result — with a proof like that it couldn’t be — but that if  is a special set of complexity 1, then any 12-cube in  (by which I mean that you fix some coordinates and some wildcard sets that take values 1 or 2) automatically extends to a combinatorial subspace. That’s quite a nice way of thinking about why special complexity-1 sets are good things. So at least part of the argument sketched in 582 seems to be correct. But there’s still the question of finding not just one combinatorial subspace but a uniform covering by combinatorial subspaces. I would be very surprised if that turned out to be a major problem. (In fact, I think I am beginning to see a possible strategy for a proof.)</t>
  </si>
  <si>
    <t>C2335</t>
  </si>
  <si>
    <t>wordpress allows threading, but we might lose our chronological view</t>
  </si>
  <si>
    <t>Metacomment., This thread is going to run out soon. I have recently learned from Luca Trevisan that WordPress now allows threading — that is, indented replies to existing comments. I think the current numbering system has served us surprisingly well, and if we introduced threading then we would lose the easily viewed chronological order of comments. But perhaps there would be compensating advantages. If you want to express a view in the following poll, then by all means do, though I suspect that we may have a split vote …, If I allowed threading, I would be able to choose how much nesting was allowed. One possibility would be to allow only one level, say, and to ask contributors to use the facility as little as possible (perhaps restricting it to short replies to existing comments that do not themselves invite further discussion). That is what I mean by option 3 below., , Take Our Poll, Oh. It seems that what I’ve just typed works only in a post and not in a comment. So I’d better do that.</t>
  </si>
  <si>
    <t>CTao_36084</t>
  </si>
  <si>
    <t>check understanding (paper 1) by working through a partial proof</t>
  </si>
  <si>
    <t>631.  An informal combinatorial translation of the ergodic proof of DHJ(2), I’m beginning to understand (though still in a somewhat fuzzy, informal way) what the ergodic argument in Paper #1 would translate to in purely combinatorial terms.  For simplicity I’ll start with DHJ(2) – the claim that any dense subset  of  contains a combinatorial line., Let m be an integer that grows slowly with n (think of m as being like , for instance), and let V be a random m-dimensional combinatorial subspace of , where I will be deliberately vague as to what distribution V is drawn from here.  One can use this random subspace V to create various real-valued random variables f(V) which depend only on what A is doing on V.  For instance, one could consider the indicator random variable , which equals 1 when the bottom corner of V (formed by sending all m wildcards to 0) lies in A; one could consider the random variable  that measures the density of A in V; and so forth., Now, the random subspace V has a lot of fixed coordinates, and so with very high probability it’s going to have a lot of fixed 0s and fixed 1s (about n/2 of each).  Let V’ be the random subspace parallel to V formed by taking one of the fixed 0s at random and flipping it to a 1.  Then every random variable f(V) that is associated to V has a “shifted” version f(V’).  Note that we expect V’ to have almost the same distribution as V, and so f(V) and f(V’) should also have about the same distribution; this is a stationarity property.  However, this does not mean that f(V) and f(V’) are necessarily close to each other.  , There are two fundamental types of random variable:, * A random variable f(V) is periodic if f(V’) and f(V) are close, thus  is small., * A random variable f(V) is mixing if f(V’) and f(V) are uncorrelated, thus  is small., Examples: any constant random variable is periodic.  If the set A has “low influence” (which means that flipping a bit from 0 to 1 is unlikely to affect membership in A) then every random variable f(V) is in fact periodic.  At the other extreme, if A is a random set of a fixed density , then any random variable f(V) of mean zero will be mixing, and only the constants will be periodic., Now, here is the basic fact (modulo some lies):, Fact.  Every random variable f(V) can be decomposed (uniquely) into a periodic random variable Pf(V) and a mixing random variable (1-P)f(V).  Furthermore, the periodic random variables and mixing random variables are always uncorrelated (i.e. orthogonal to each other)., This fact is a heavily disguised version of the lemma in 630, and can also be viewed as a sort of “IP mean ergodic theorem”.  It is not quite true as stated; to be true, one has to redefine V’ to not be formed by flipping just one fixed coordinate of V, but by flipping an unspecified but bounded number of fixed coordinates.  (The number of digits to flip will be determined by a Ramsey-type theorem, such as Folkman’s theorem, Graham-Rothschild, etc.  The Ramsey theorem will also tell us what distribution V is to be drawn from, and in particular how many times each wildcard will appear.).  , Assume this fact.  Now we can prove DHJ(2).  If we let  be the event that the bottom left corner of V lies in A, it suffices to show that, , is large., Observe that the claim would be easy if  was periodic, since then .  The claim would also be easy if  was mixing, since then the two random variables  would be roughly  independent.   In general, the Fact tells us that we are in a combination of the two situations.  Splitting both  and  into periodic and mixing components, we get four terms, three of which are small, leaving us with, . (1), But observe that the mixing function  is orthogonal to the periodic function 1, and thus has zero expectation.  Since  has expectation , we conclude that  has expectation , and so (by Cauchy Schwarz) the expression (1) is large, and we are done., In my next comment I will try to indicate how DHJ(3) works in some special cases.  Here there is not just one projection P, but now three separate projections P, reflecting interchange between 0 and 1, 1 and 2, or 2 and 0.  Things are relatively easy when one of the projections is extreme (either everything is periodic, or only the constants are periodic), but the case in which all projections are intermediate (so some random variables are periodic and others are mixing) is quite tricky.</t>
  </si>
  <si>
    <t>C2337</t>
  </si>
  <si>
    <t xml:space="preserve">threading </t>
  </si>
  <si>
    <t>The main thing to keep in mind is threading is more to the benefit of those joining the conversation rather than those already in it., I can follow the thread at Terry Tao’s blog quite well, but have a harder time with the one here because I check it more intermittently.</t>
  </si>
  <si>
    <t>C2338</t>
  </si>
  <si>
    <t>lemma might be true but the proof is rubbish</t>
  </si>
  <si>
    <t>585.  Oops, My lemma in 578 might still be true, but I realise now that the proof I supplied is rubbish.  Still thinking about it…</t>
  </si>
  <si>
    <t>C2339</t>
  </si>
  <si>
    <t>?C2338</t>
  </si>
  <si>
    <t>586. Oops, All I can say is that it convinced me at the time …</t>
  </si>
  <si>
    <t>CTao_36085</t>
  </si>
  <si>
    <t>632.  Some special cases of DHJ(3), Now we move from k=2 to k=3.  Again, we consider an m-dimensional random subspace V of .  Instead of a single companion subspace V’, we now have three spaces , formed from V by flipping a fixed 0 to a 1, or a fixed 1 to a 2, or a fixed 2 to a 0.  We can then define the notion of a random variable f(V) being 01-periodic or 01-mixing (resp. 12-periodic or 12-mixing, etc.) by comparing f(V) with , etc.  We then get decompositions  into 01-periodic and 01-mixing components, etc., What makes life difficult here is that the three orthogonal projections  can be in general position with respect to each other (in particular, they need not commute).  But things are simpler when one of the orthogonal projections is trivial., At one extreme, consider the case when  (say) is the identity – in other words, that every random variable f(V) is 12-periodic.  This is basically saying that the original set A is essentially insensitive to flipping a 1 to 2 or vice versa.  Because of this, we can basically identify 1 and 2 together and reduce the k=3 problem to the k=2 problem., A more non-trivial case is the other extreme, in which  is the expectation operator – i.e. every random variable f(V) of expectation zero is 12-periodic, or equivalently, f(V) and g(V_{1 \to 2}) are independent for every f, g., Now let f(V), g(V), h(V) be random variables.  We claim that if f is 01-mixing OR if g is 20-mixing, then, , (1), where  is defined by taking the same digit that was flipped from 0 to 1 in the definition of , and flipping it to 2 instead., To show this, it suffices (by a certain “IP van der Corput lemma”, which one should think of as a variant of Cauchy-Schwarz) to eliminate h and show that,  (2), where the  are formed by choosing two of the fixed 0s of V and flipping them to i and j (and it is the same two digits being flipped for all four of the ).  , The triviality of  (or more precisely, a variant of this with m replaced by m+1) can then be used to show that the random variables  and , because these random variables involve parallel m+1-dimensional subspaces which differ from each other by flipping a single 1 to a 2.  Assuming this, we can simplify the expression in (2) to, ., But one of these factor vanishes since f is 01 mixing or g is 20 mixing, and we are done., For general f, g, we can now use the Fact from the previous comment to obtain the “generalised von Neumann theorem”., ., Now we can prove DHJ(3).  It suffices to show that, , is large.  Using the generalised von Neumann theorem, this expression can be rewritten as, ., But, as we saw in 631,  has positive inner product with .  Furthermore  has positive inner product with  for any subset E’ of  of positive measure.  One can check that  is monotone, and so  has positive inner product with  for any  of positive measure; thus  is positive almost surely on  (indeed,  is the conditional expectation of  to a certain factor), and similarly for , and we are done.</t>
  </si>
  <si>
    <t>C2340</t>
  </si>
  <si>
    <t>587. Dimensions, I’m trying to follow the uniformity/density increment arguments and I have the same feeling like with the planar square problem. (show that every dense subset of the integer grid contains four points of the form (x,y),(x+d,y),(x,y+d),(x+d,y+d)  ) One can try to prove it directly, it is very difficult but probably possible, extending methods of Ajtai-Szemeredi or Shkredov. On the other hand, transferring the problem to dimension three from 2d, makes it more accessible. So, my question is the following: Is there a natural way to consider larger cubes, where a special configuration is (more) dense and a projection of it to the smaller cube, , is a combinatorial line?</t>
  </si>
  <si>
    <t>C2343</t>
  </si>
  <si>
    <t>partial response</t>
  </si>
  <si>
    <t>588.  Dimensions, Given that the planar square theorem implies the k=4 version of Szemeredi’s theorem, I would imagine that Fourier or graph regularity based methods are insufficient for the task.</t>
  </si>
  <si>
    <t>C2344</t>
  </si>
  <si>
    <t>589. Dimensions, I agree with Terry, in the sense that I don’t think that deducing squares from 3D corners makes the problem fundamentally easier (just ask Michael Lacey …), and that either problem would have to involve quadratic methods or 3-uniform hypergraphs or something of equivalent difficulty., Nevertheless, it does seem that the 3D corners problem is the natural way to solve the 2D squares problem, so one can still ask whether it is more natural to find a low-dimensional subspace with high diameter rather than a high-dimensional subspace with low diameter. Here I think there are two possible answers., Suppose, for simplicity, that we are thinking about a high-dimensional version of Sperner’s theorem (but I think what I say generalizes easily to DHJ(k)). That is, we would like not just one wildcard set but several. For further simplicity let’s suppose that all we want is two wildcard sets. Then one proof is to use averaging arguments of the kind I was outlining in 581. This is fairly easy. Another proof is to establish DHJ(4) and observe that if you write the numbers 0 to 3 in binary then a combinatorial line in  when written out gives you a 2-dimensional combinatorial subspace in ., The obvious reaction to this is that the second proof is much harder. However, it also gives a much stronger result, because the two wildcard sets have the same cardinality. Furthermore, the stronger result can be seen to be more useful: if you look at unions of slices, then the first result gives you a quadruple , which it is easy to get from Cauchy-Schwarz, whereas the second gives you an arithmetic progression . , These simple observations raise obvious questions, which I think are close to the kinds of things Jozsef is wondering about. For example, it doesn’t seem to be possible to deduce Szemerédi’s theorem for progressions of length 4 from the existence of a 2D subspace with equal-sized wildcard sets, so does that mean that the true difficulty of that problem is roughly comparable to that of DHJ(3)? In particular, does it either imply or follow from DHJ(3)? I find this quite an interesting question (though questions often seem interesting when you haven’t yet thought about them).</t>
  </si>
  <si>
    <t>CTao_36102</t>
  </si>
  <si>
    <t>216, Michael.220</t>
  </si>
  <si>
    <t>758. Contains on .
Let , where , and let  be a (combinatorial-)line-free subset of , such that . Now we want to find the contains on . , It is possible to show that  (216). That is: The equal-slice measure of  is at most . I thought this inequality was sharp when none of A, B, and C are empty, but this was disproved in Michael.220 in the case . The following is a general counterexample except for the case where  where it is trivially true. Assume WLOG that , and let M be a proper non-empty subset of  (such a set M exist since , because ). Now let , let A be the set of elements  where the set of i’s such that  is an element in M, and let B be the set of elements  where the set of i’s such that  is _not_ an element in M. Now  contains 2 elements of every line, and thus ., Notice that the example in 220 is not a special case of the above example.</t>
  </si>
  <si>
    <t>CTao_36104</t>
  </si>
  <si>
    <t>759.  Moser(3), I found the  paper online at, ftp://reports.stanford.edu/pub/cstr/reports/cs/tr/72/286/CS-TR-72-286.pdf, I also reconstructed the  argument as follows.  For every , let  be the density of A inside the set of points with exactly m 2s.  Thus for instance when n=3 we have .  We also have the linear inequalities  for , as can be seen by double-counting those geometric lines with j-i wildcards and i fixed 2s.  There is also the refinement , formed by checking this inequality by hand in the two-dimensional case, which then implies the general case by an averaging argument.  In three dimensions, one can get  by a suitable linear combination of these inequalities., The same argument only seems to give  in four dimensions.  I haven’t yet digested the paper above to see how to do better.</t>
  </si>
  <si>
    <t>C2346</t>
  </si>
  <si>
    <t>slightly silly question of mine just now</t>
  </si>
  <si>
    <t>590. Dimensions, Just realized that the question above was possibly slightly silly. The proof that you can get two wildcard sets of the same size actually gives that one consists of odd numbers and the other of even numbers. So if you look at the number of 1s in odd places plus twice the number of 1s in even places then you get an arithmetic progression of length 4. In other words, what you deduce from DHJ(4) implies Szemerédi’s theorem for progressions of length 4, exactly as it should. Strictly speaking, it is just about conceivable that DHJ(3) implies the weaker statement, but I doubt it somehow.</t>
  </si>
  <si>
    <t>CTao_36105</t>
  </si>
  <si>
    <t>760. Moser(3), There is an additional inequality in 3 and higher dimensions, namely .  This can be proven by first verifying it inside the six-element set {333, 322, 311, 223, 113, 212} and then averaging over all the symmetries of the Moser cube.  This seems to lower the upper bound for  to 46 2/3 (and hence to 46, by integrality).</t>
  </si>
  <si>
    <t>CTao_36107</t>
  </si>
  <si>
    <t>761.  Moser(3), In 743 it was remarked that the  extremisers were distributed in the patterns (3,16,24,0,0), (4,15,24,0,0), (4,16,23,0,0), or (5,20,18,0,0), where (a,b,c,d,e) means that there are a numbers with 0 2s, b numbers with 1 2, etc.  (For comparison, the entire cube  has distribution (16,32,24,8,1)).  It is not so surprising that the d and e slots are empty (putting a point in there tends to be very expensive with regard to the higher slices), but it is interesting that there is such a huge bulge in the c position; as noted in 744, this already shows that one cannot have three parallel slices of 43-point sets, leading to the bound ., It should be straightforward to compute the distributions of the 42-point sets provided in 747.  If the bulge persists,then there should not be any parallel slices of three 42-point sets either, which would let us shave the upper bound from 128 to 127 and put significant constraints on any 126-point set., Eventually, one may want to work in (a,b,c,d,e) space.  Let  be the convex hull of all (a,b,c,d,e) that are attainable from Moser sets in , then the cardinality of a Moser set A in  is equal to , where  is the average of three points  in   (corresponding to the 3 slices of ) and thus also lies in .  On the other hand, by considering vertical lines (which can each intersect at most two of the three slices of A) we see that , in the sense that each component on the left is less than the corresponding component on the right.  Linear programming should then give us some bound on , but first we need to understand the shape of .  As a first approximation we might make the simplifying assumption that d=e=0 (so that  is some three-dimensional polyhedron), given that this is what happens in the 43-point extremisers.</t>
  </si>
  <si>
    <t>C2353</t>
  </si>
  <si>
    <t>C2338; 476; 567</t>
  </si>
  <si>
    <t>hitting issues</t>
  </si>
  <si>
    <t>591.  Re Oops/#578., Hmm, I too was pretty sold on #578, but then I seemed to founder when working out the exact details.  My plan was to look at the noise stability of  at some parameter .  If this quantity is even a smidgen greater than  then one can do a density increment.  , Otherwise,  is extremely noise-sensitive at .  (Or, “uniform at scale ” as Terry called it.)  This strongly feels like it should imply lots of Sperner pairs.  But I really ran into difficulties when trying to prove this via the Fourier methods of #476…#567….</t>
  </si>
  <si>
    <t>C2354</t>
  </si>
  <si>
    <t>592. Re Oops/#578., More precisely, it seemed hard to simultaneously control all of the quantities , even for  smallish.  (I managed to do it for , at least 🙂 .)</t>
  </si>
  <si>
    <t>C2355</t>
  </si>
  <si>
    <t>no threading</t>
  </si>
  <si>
    <t>To be honest, I kind of like no threading.  It forces me to read all the comments and keep everybody’s different angles in mind.</t>
  </si>
  <si>
    <t>C2397</t>
  </si>
  <si>
    <t>Gowers_11</t>
  </si>
  <si>
    <t>Sorry about that. After several missteps, I may have managed to correct it in full….</t>
  </si>
  <si>
    <t>CTao_36111</t>
  </si>
  <si>
    <t>762 Moser, in  dimension  2,3,4,5
We can assume that e=0 (in Terry’s notation in 761) for a very simple reason:
Suppose that e=1, meaning the central points is used, then there can be at most
 points  in the set, since for each non-central point there is a forbidden point by symmetry.
In dimension 2,3,4,5 the lower bounds are larger than the bound above, so that the central point is not used.</t>
  </si>
  <si>
    <t>CTao_36112</t>
  </si>
  <si>
    <t>763. Moser(3)
The statistics for the number of 2s in the point of the 42 point sets can be found here, Click to access Moser-42-stat.pdf, As you can see there is a small group of solutions with only 12 2s, but the rest have at least 17. There is also a group of solutions with 2 in the d slot., The solutions with 12 2s can be found here
http://abel.math.umu.se/~klasm/moser-n=4-42-12
and the solutions with non-zero d slot here
http://abel.math.umu.se/~klasm/moser-n=4-42-e=2, “e” corrected to “d” – T.</t>
  </si>
  <si>
    <t>C2359</t>
  </si>
  <si>
    <t>594. Sperner calculations., Re #567:   by the way (if I remember my calculation correctly).  In particular,  if .</t>
  </si>
  <si>
    <t>CTao_36114</t>
  </si>
  <si>
    <t>CTao_36112; CTao_36111</t>
  </si>
  <si>
    <t>764: Moser(3), Klas: thanks, this is very interesting!  It means in particular that the only 43+43+42 = 128 point solutions in  can come when the 42-point slice is one of the eight c=12 solutions, and one of the 42-point slices is one of the six c=18 point solutions.  This looks like enough reduction in the entropy to eliminate this case by computer search, and maybe even by hand if one is clever enough.  (It also suggests that we should understand the structure of these anomalously low-c solutions better.  Given how few they are, it is likely that there is just one solution up to isomorphism in both cases).  That should lower the upper bound for  to 127., Presumably the number of 41-point solutions is too enormous to list explicitly… but perhaps the number of low-c solutions is small, and could be worth searching for by an integer program.  Note for instance in a 42+42+41=125 type solution, if the 42-point solutions are not from the c=12 class, then they each have c &gt;= 17, and so the 41 point solution has c &lt;= 14.  So perhaps it is worth trying to enumerate the 41-point solutions with c &lt;=14?  From the 42-point and 43-point data one may hope that there are relatively few of these.  It would be good, though, to have some explanation of why c tends to be high.  Note that there is a 40-point solution with (a,b,c,d,e) = (8,32,0,0,0), so this phenomenon may well be very transient., Christian: It is true that if one has e=1 in a Moser set in  then the number of points is at most , which is less than .  But this does not yet rule out the possibility that one of the 3-slices of, say, a 125-point Moser set in  could have e=1, since the distribution could be (say) 42+42+41 or 43+43+39.  (The argument does tell us, though, that the middle slice has e=0).  But presumably we can improve on the upper bound, which leads to a subquestion: what’s the largest size of a Moser set in  that contains the centre 2222?  If we can improve the easy upper bound 41 to 38 then we can rule out this case completely, or failing that if we get a reasonable description of the 39+ point sets with the centre then we should be able to eliminate it by hand.  Also, if we know that every slice of a Moser set has e=0, this implies after rotation of the cube that the middle slice of the Moser set has d=0.  Similarly, if we learn that every slice of a Moser set has to have small d, then this should imply that at least one middle slice has small c, which by the previous discussion should be helpful in limiting the number of possibilities.</t>
  </si>
  <si>
    <t>CTao_36115</t>
  </si>
  <si>
    <t>765. Moser(3), In fact, I can now rule out 128-point sets as follows.  If one had a 128-point set, then the set must slice as 43+43+42 (or a permutation thereof) in every direction.  But all 43-point slices have d=0 and all 42-point slices have d &lt;= 2.  Thus, there are at most two points amongst the sixteen points x222y, x22y2, x2y22, xy222 with x,y = 1,3 that lie in the set.  Averaging this over all orientations we see that at most one eighth of all points with exactly 3 2s lie in the set.  Thus, by the pigeonhole principle and a double counting argument, there exists a middle slice of the set with this property, i.e. a slice with c &lt;= 24/8 = 3, but we know from the 43-point and 42-point distribution data that this is impossible., To push this argument further, it would be helpful to classify the large-d 41-point solutions (as well as the large-e and low-c); presumably there are not very many of these.</t>
  </si>
  <si>
    <t xml:space="preserve">I don’t have much to say mathematically, or rather I do but now that there is a wiki associated with polymath1, that seems to be the obvious place to summarize the mathematical understanding that arises in the comments on the various blog posts here and over on Terence Tao’s blog (see blogroll). The reason I am writing a new post now is simply that the 500s thread is about to run out.So let me quickly make a few comments on how things seem to be going. (At some point in the future I will do so at much greater length.) Not surprisingly, it seems that we have reached a stage that is noticeably different from how things were right at the beginning. Certain ideas that emerged then have become digested by all the participants and have turned into something like background knowledge. Meanwhile, the discussion itself has become somewhat fragmented, in the sense that various people, or smaller groups of people, are pursuing different approaches and commenting only briefly if at all on other people’s approaches. In other words, at the moment the advantage of collaboration is that it is allowing us to do things in parallel, and efficiently because people are likely to be better at thinking about the aspects of the problem that particularly appeal to them.Whether there will be a problem with lack of communication I don’t know. But perhaps there are enough of us that it won’t matter. At the moment I feel rather optimistic that we will end up with a new proof of DHJ(3) (but that is partly because I have a sketch that I have not subjected to appropriately stringent testing, which always makes me feel stupidly optimistic). In fact, what I’d really like to see is several related new proofs emerging, each drawing on different but overlapping subsets of the ideas that have emerged during the discussion. That would reflect in a nice way the difference between polymath and more usual papers written by monomath or oligomath.Finally, a quick word on threading. The largest number of votes (at the time of writing) have gone to allowing full threading, but it is not an absolute majority: those who want unrestricted threading are outnumbered by those who have voted either for limited threading or for no threading at all. I think that points to limited threading. I’ve allowed the minimum non-zero amount. I can’t force you to abide by any rules here, but I can at least give my recommendation, which is this. For polymath comments, I’d like to stick as closely as possible to what we’ve got already. So if you have a genuinely new point to make, then it should come with a new number. However, if you want to give a quick reaction to another comment, then a reply to it is appropriate. If you have a longish reply, then it should appear as a new comment, but here there is another use of threading that could be very helpful, which is to add replies such as, “I have a counterexample to this conjecture — see comment 845 below.” In other words, it will allow forward referencing as well as backward referencing. Comments on this post will start at 800, and if yours is the nth reply to comment 8**, then you should number it 8**.n. Going back to the question of when to reply to a comment, a good rule of thumb is that you should do so only if your reply very much has the feel of a reaction and not of a full comment in itself.  Also, it isn’t possible to have threading on some posts and not on others, but I’d be quite grateful if we didn’t have threaded comments on any posts earlier than this one. And a quick question: does anyone know what happens to the threaded comments if you turn the threading feature off again, which is something I might find myself wanting to do?												This entry was posted on February 23, 2009 at 10:57 am and is filed under polymath1.						You can follow any responses to this entry through the RSS 2.0 feed.													You can leave a response, or trackback from your own site.											</t>
  </si>
  <si>
    <t>C2365</t>
  </si>
  <si>
    <t xml:space="preserve">EASIER TO ASSESS WHAT IT TEACHES US; as soon as you restrict ... you get x ... what if you restrict elsewhere??? </t>
  </si>
  <si>
    <t>595.  Sperner calculations, Ryan, thanks for doing that calculation! At some point soon I think I’ll write up the whole thing fairly completely and put it on the wiki, which would make it easier to assess what it teaches us, if anything., I’m also working on step 1 of 582, as I feel that I can get something rigorously proved here too. Again, anything I manage to do properly will go on the wiki. But for now I want to report on the failure of my first attempt to write it up, because it says something interesting (though in retrospect pretty obvious) about equal-slices measure., I had previously come to the conclusion that a defect of equal-slices measure was that it didn’t restrict nicely to equal-slices measure. The mini-realization I have come to is to understand what does happen when you restrict it. Suppose a sequence x is generated Ryan-style: that is, you randomly choose p+q+r=1 and pick each coordinate independently to be 1,2,3 with probability p,q,r. And now suppose that you restrict to the set of all x that take certain values on a subset  You then find yourself with a classic problem of Bayesian statistics: given the values of  with , what is the new probability distribution on the triples p+q+r=1? And qualitatively the answer is clear: if E is at all large, then with immensely high probability the triple (p,q,r) is approximately proportional to the triple (number of 1s in E, number of 2s in E, number of 3s in E). , In other words, as soon as you restrict a few coordinates, you end up with something pretty close to a weighted uniform measure (by which I mean that each coordinate is chosen independently with fixed probabilities that are not necessarily equal to 1/3)., So it seems that equal-slices measure is useful for truly global arguments, but that it collapses to more obvious measures once one starts to restrict., What about if we restrict to other sorts of subspaces? For example, suppose we partition n into s wildcard sets of size t. If you are given that a sequence is constant on some large wildcard set, then by far the most likely way that that could have come about is if one of p,q and r is approximately equal to 1. So the measure is concentrated around sequences that are approximately constant., Going back to step 1 of 582, I still think it should be possible to do it with localization. If I manage, it will go straight up on the wiki and I will report on it here.</t>
  </si>
  <si>
    <t>C2366</t>
  </si>
  <si>
    <t>move to 800 when we run out of room</t>
  </si>
  <si>
    <t>Metacomment.  This 500s thread has nearly run out. I’ve created a new post for an 800s thread, so new comments should go there unless they are quite clearly more appropriate here. But once we get to 599 that’s it!</t>
  </si>
  <si>
    <t>CTao_36126</t>
  </si>
  <si>
    <t>766  Moser(3), From 762, there are at most 2^13=8192 subsets of size 14 in 3^3 containing  (222) which may be line free. This can be checked and they all contain at least 2 lines. So all such set has size &lt;=13. Doing the n=4 case this way requires checking 2^41.</t>
  </si>
  <si>
    <t>CTao_36127</t>
  </si>
  <si>
    <t>767 Moser(3), Dear KS:  Thanks!  Actually, knowing that 3-dimensional Moser sets with 222 have at most 13 points automatically implies that 4-dimensional Moser sets with 2222 have at most 40 points, because if they had 41 points, then every pair of antipodal points in the cube have exactly one representative in the set, which implies that every middle slice of the set has 14 points, which you have just ruled out., In fact, if a 4D Moser set contains 2222, we now know that every middle slice must be missing at least one antipodal pair of points.  There are four middle slices, and every antipodal pair belongs to at most three of them, so we must miss at least two antipodal pairs and so Moser sets with 2222 can have at most 39 points.  This is right on the edge of what we need to rule them out for 125 = 43 + 43 + 39-point 5D Moser sets; perhaps a slightly more sophisticated analysis can eliminate them completely.  If so, this would imply that a 125-point 5D Moser set cannot contain any point with 4 or 5 2s.  In any event, we have already established this for 126-point sets.</t>
  </si>
  <si>
    <t>C2370</t>
  </si>
  <si>
    <t xml:space="preserve">love that it is now "Re Oops/Sperner" ;) </t>
  </si>
  <si>
    <t>596.  Re Oops/Sperner., I think I can correct Terry’s #578 and put it together with our Fourier-based calculations. The writeup is a bit long.  I’m going to try to post it here in WordPress using Luca’s LaTeX converter.  It’s my fault if this goes horribly awry; if it does, I’ll just post a link to the pdf…., The following alternate argument for Sperner still feels “wrong” to me (I will say why at the end), but I can’t see the “right” one yet so I’ll write this one up for now., Let  be chosen jointly from  as follows (I use boldface to denote random variables): The bit  is  or  with probability  each. If  then . If  then  with probability  and  with probability . Finally, let  be chosen jointly from  by using the single-bit distribution  times independently. Note that  always. This distribution is precisely the one Tim uses, with , ., Let  and let’s consider . (We are eventually interested in ‘s with range  and mean , but let’s leave it slightly more general for now.) As per Tim’s calculations, 
 where  denotes Fourier coefficients with respect to the -biased measure and  is defined by  (AKA ). Separate out the  term here and use Cauchy-Schwarz on the rest to conclude 
 Let’s compare  to . Write  and  for the density functions of ,  respectively. Then 
 By Cauchy-Schwarz, the absolute value of this is upper-bounded by 
 where  denotes . One easily checks that 
 and since  and  are product distributions the RHS of (2) is easy to compute. One can check explicitly that 
 and therefore (2) is . Naturally we will be considering , and in this regime the quantity is bounded by, say, . Hence we have shown 
 and in particular if  has range  and mean  (AKA ) then 
 This is not very interesting unless , so let’s indeed assume  and then we can also use ., We now these deductions in (1). Note that the second factor on the RHS in (1) is at most the square-root of 
 Also, using (3) for the LHS in (1) we conclude 
 where 
 Let’s simply fix  at this point. Doing some arithmetic, it follows that if we can bound 
 (AKA  is “uniform at scale ” as Terry might say) then (4) implies 
 So long as  we’ve established existence of a Sperner pair (AKA non-degenerate combinatorial line). Since this probability is , we’re done assuming 
, Thus things come down to showing (5). Now in general, there is absolutely no reason why this should be true. The idea, though, is that if it’s not true then we can do a density increment. More precisely, it is very easy to show (one might credit this to an old result of Linial-Mansour-Nisan) that  is precisely , where  is a “random restriction with wildcard probability ” (and the inner  is with respect to the uniform distribution). In other words,  is a combinatorial subspace formed by fixing each coordinate randomly with probability  and leaving it “free” with probability . Hence if (5) fails then we have 
 In particular, since  is bounded it follows that  with probability at least  over the choice of . It’s also very unlikely that  will have fewer than, say,  wildcards; a large-deviation bound shows this probability is at most . Since , by choosing the constant in (6) suitably large we can make this large-deviation bound strictly less than . Thus we conclude that there is a positive probability of choosing some  which both has at least  free coordinates and also has 
 I.e., we can achieve a density increment., If I’m not mistaken, this kind of density increment (gaining  at the expense of going down to  coordinates, with (6) as the base case) will ultimately show that we need the initial density to be at least  (up to  factors?) in order to win. Only a couple of exponentials off the truth 🙂, The incorrect quantitative aspect here isn’t quite the reason I feel this argument is “wrong”. Rather, I believe that no density increment should be necessary. (Actually, we probably know this is the case, by Sperner’s proof of Sperner.) In other words, I believe that  for any , assuming .</t>
  </si>
  <si>
    <t>C2371</t>
  </si>
  <si>
    <t>didn't work</t>
  </si>
  <si>
    <t>should have studied before posting (shouldn't though because then I wouldn't have it!); pdf will be posted in new thread (look for pdf from Ryan in 800 thread)</t>
  </si>
  <si>
    <t>597.  Wow, indeed that didn’t go so great.  I should have studied the output more carefully before posting.  Sorry about that.  I’ll post the pdf in Tim’s new thread…</t>
  </si>
  <si>
    <t>C2372</t>
  </si>
  <si>
    <t>Terry.578</t>
  </si>
  <si>
    <t>800. Here is a writeup of a Fourier/density-increment argument for Sperner, implementing Terry’s #578 using some of the Fourier calculations Tim and I were doing:, http://www.cs.cmu.edu/~odonnell/wrong-sperner.pdf, Hope it’s mostly bug-free!</t>
  </si>
  <si>
    <t>C2373</t>
  </si>
  <si>
    <t>barrier to entry - how do I join the discussion when I'm not an expert</t>
  </si>
  <si>
    <t>Tim – First of all I have to say that I did enjoy to read the blog and to contribute a bit. On the other hand it became less and less comfortable to me posting any comments. You wrote that
“Meanwhile, the discussion itself has become somewhat fragmented, in the sense that various people, or smaller groups of people, are pursuing different approaches and commenting only briefly if at all on other people’s approaches.”
Let me tell you what is my experience. I’m reading posts using notations from to ergodic theory or Fourier analysis with great interest, but I will rarely make any comment as I’m not expert on that field. Some post are still accessible to me and some others aren’t. There is no way that I will understand posts referring to noise stability unless I learn something more about it, which I’m not planning to do in the near future unless it turns out to be crucial for the project. Maybe the blog is still accessible for the majority of readers but I’m finding it more and more difficult to follow. For the same reasons I feel a bit awkward about posting notes. It’s tempting to work on the problems alone without sharing it with the others but this is clearly against the soul of the project.</t>
  </si>
  <si>
    <t>C2374</t>
  </si>
  <si>
    <t>can't fix</t>
  </si>
  <si>
    <t>avoiding numbering the comment</t>
  </si>
  <si>
    <t>Metacomment (so as not to use precious numbers): Ryan, I’ve had a look at what you wrote and I’m afraid it’s beyond my competence to fix — it’s full of strange html-ish stuff that I don’t understand.</t>
  </si>
  <si>
    <t>C2375</t>
  </si>
  <si>
    <t>different uncharted territory</t>
  </si>
  <si>
    <t>Metacomment. Jozsef, in the light of what you say, I invite others to give their reactions to how things are going for them. My feeling, as I said in the post, is that we are entering uncharted territory (or rather, a different uncharted territory from the initial one) and it is not clear that the same rules should still apply. What we have done so far has, in my view, been a wonderful way of doing very quickly and thoroughly the initial exploration of the problem, and it feels as though the best way of making further progress will be if we start dealing with technicalities and actually write up some statements formally. I am hoping to do that in the near future, Ryan is doing something along those lines, Terry recently put a Hilbert-spaces lemma on the wiki, etc. , The obvious hazard with this is that people may end up writing things that others do not understand, or can understand only if they are prepared to invest a lot of time and effort. So if we want to continue to operate as a collective unit, so to speak, it is extremely important for people who write formal proofs to give generous introductions explaining what they are doing, roughly how the proof goes, why they think it could be useful for DHJ(3) (or something related to DHJ(3)), and so on. This is perhaps an area where people who have been following the discussion without actually posting comments could be helpful—just by letting us know which bits you find hard to understand. For example, if you see something on the wiki that is clearly meant to be easily comprehensible but it in fact isn’t, then it would be helpful to know. (However, some of the wiki articles are over-concise simply because we haven’t had time to expand them yet.), Do others have any thoughts about where we should go from here?</t>
  </si>
  <si>
    <t>C2376</t>
  </si>
  <si>
    <t>801. Fourier/Sperner, Ryan, re the remark at the end of the thing you wrote up, if we do indeed have an expression of the form  for the total weight  for  when everything is according to equal-slices density, then it seems to me not completely obvious that one couldn’t prove some kind of positivity result for the contribution from each , especially given your calculation that  splits up as a product. But probably you’ve thought about that—I can see that it’s a problem that  is not symmetric in p and q, but can one not make it symmetric by talking instead about pairs of disjoint sets? , Or perhaps it’s false that you have positivity and the disjoint-pairs formulation is what you need to get a similar result where it becomes true. I hope this vague comment makes some sense to you. I’ll see if I can think of a counterexample. In fact, isn’t this a counterexample: let n=1, and let f(0)=-1, f(1)=1. Then the expectation of f(x)f(y) over combinatorial lines (x,y) is -1 and the expectation of f is 0., 801.1 Please ignore the last paragraph of this comment — for analytic purposes we need to consider degenerate lines, and as you say the usual proof of Sperner proves positivity. Hmm — not sure that the threading adds much here., 801.2:  Yes, it’s not clear to me why  needs to be nonnegative.  This is a shame, because: a) we’d be extremely done if we could show this; b) as  the quantity approaches , which is of course nonnegative.  Unfortunately, if you make  extremely close to  so as to force it nonnegativity, you’ll probably be swamped with degenerate lines.</t>
  </si>
  <si>
    <t>C2377</t>
  </si>
  <si>
    <t>duplicate</t>
  </si>
  <si>
    <t>threaded comment</t>
  </si>
  <si>
    <t>801.1 Please ignore the last paragraph of this comment — for analytic purposes we need to consider degenerate lines, and as you say the usual proof of Sperner proves positivity. Hmm — not sure that the threading adds much here.</t>
  </si>
  <si>
    <t>C2379</t>
  </si>
  <si>
    <t>801.2:  Yes, it’s not clear to me why  needs to be nonnegative.  This is a shame, because: a) we’d be extremely done if we could show this; b) as  the quantity approaches , which is of course nonnegative.  Unfortunately, if you make  extremely close to  so as to force it nonnegativity, you’ll probably be swamped with degenerate lines.</t>
  </si>
  <si>
    <t>C2380</t>
  </si>
  <si>
    <t>even where there is some expertise it is hard to keep up with the HiPPOs - feel like spamming with wrong turns &amp; crazy mistakes</t>
  </si>
  <si>
    <t>Metacomment:  I sympathise with Jozsef’s position.  Luckily, some of the directions we’re working on are in areas I’m familiar with, so I can comment there.  But to be honest, I know nothing about ergodic methods, am extremely shaky on what triangle-removal is, and am only kind of on top of Szemeredi’s regularity lemma.  So indeed it takes me quite a while just to read comments on these topics.  That’s fine with me though., Thing is, even in the areas I’m familiar with it’s awfully tough to keep up with a certain pair of powerhouses who post regularly to the project 🙂  In a perfect world I’d post more definitions, add more intuition to my comments, update the wiki with stuff about noise sensitivity and so forth — but it already takes me many hours just to quasi-keep up with Tim and Terry and generate non-nonsensical comments.  I’m fine with this too, though., Finally, I agree that it’s also gotten to the point where it’s sort of impossible to explore certain directions — especially ones with calculations — “online”.  You probably won’t be surprised to learn I spent a fair bit of time working out the pdf document in #800 by myself on paper.  I hope this isn’t too much against the spirit of the project, but I couldn’t find any way to do it otherwise. I would feel like I were massively spamming people if I tried to compute like this online, with all the associated wrong turns, miscalculations, and crazy mistakes I make.</t>
  </si>
  <si>
    <t>C2381</t>
  </si>
  <si>
    <t>I think we can do this</t>
  </si>
  <si>
    <t>might sound ridiculous</t>
  </si>
  <si>
    <t>802. Sperner/Fourier., By the way, I’m pretty sure one can also do Roth’s Theorem (or at least, finding “Schur triples” in ) in this way.  It might sound ridiculous to say so, since Roth/Meshulam already gave a highly elegant density-increment/Fourier-analysis proof.  , But the point is that:
. it works in a non-“arithmetic”/”algebraic” way
. it works by doing density increments that restrict just to *combinatorial* subpaces
. it demonstrates that the method can sometimes work in cases where one needs to find *three* points in the set satisfying some relation., I can supply more details later but right now I have to go to a meeting…</t>
  </si>
  <si>
    <t>C2382</t>
  </si>
  <si>
    <t xml:space="preserve">half baked is encouraged; </t>
  </si>
  <si>
    <t>Metacomment.1 , (If this .1 will automatically creat a threading I will consider it a miracle.) , I think the nature of this collaboration via different people writing blog remarks is somewhat similar to the massive collaboration in ordinary math where people are writing papers partially based on earlier papers. , Here the time scale is quicker and the nature of contributions is more tentative. Half baked ideas are encourged. , It is not possible to follow everything or even most of the things or even a large fraction of them. (Not to speak about understanding and digesting and remembering). I think it can be useful that people will not assume that other people read earlier things and from time to time repeat and summarize and overall be clear as possible. (I think comments of the form: “please clarify” can be useful.) One the other hand, like in usual collaborations people often write things mainly for themselves (e.g. the Hardy-Littlewood rules) and this is very fine. , (A question: is Ryan’s write-up a correct new proof of (weak) Sperner using density incement and Fourier? (The file is called wrong-Sperner but reading it I realize that this means the proof is right but not yet the “Fourier/Sperner proof from the book” or something like that. Please clarify.) , There are various avenues which I find very interesting even if not directly related to the most promising avenues towards DHJ proof and even some ideas I’d like to share and explore. (One of these is a non-density-decreasing Fourier strategy.), One general avenue is various reductions (ususally based on simple combinatorial reasonings) : Joszef mentioned Moser(k=6)-&gt; DHK(k=3) and some reductions to Szemeredi (k=4) were considered. Summarizing those and pushing for further reductions can be fruitfull., Also the equivalence of DHJ for various measures (I supose this is also a reduction business) is an interesting aspect worth further study. When there is group acting such equivalences are easy and of general nature. But for DHJ I am not sure how general they are., Gil wrote: “(The file is called wrong-Sperner but reading it I realize that this means the proof is right but not yet the “Fourier/Sperner proof from the book” or something like that. Please clarify.)”, Yes — I forgot to mention that.  I think/hope the writeup’s correct, but I called it “wrong-Sperner” because I still feel there’s something not-from-the-Book about it.</t>
  </si>
  <si>
    <t>C2383</t>
  </si>
  <si>
    <t>project resembles a subfield rather than a single collaboration.  ****Different time scales than traditional activity</t>
  </si>
  <si>
    <t>Metacomment.2, It certainly does feel that the project is developing into a more mature phase, where it resembles the activity of a highly specialised mathematical subfield, rather than a single large collaboration, albeit at very different time scales than traditional activity.  (The wiki is somewhat analogous to a “Journal of Attempts to Prove Density Hales Jewett”, and the threads are analogous to things like “4th weekly conference on Density Hales Jewett” 🙂 .)  Also we are hitting the barrier that the number of promising avenues of research seems to exceed the number of people actively working on the project.  , But I think things will focus a bit more (and become more “polymathy”) once we identify a particularly promising approach to the problem (I think we already have a partially assembled skeleton of such, and a significant fraction of the tools needed have already been sensed).  This is what is going on in the 700 thread, by the way; we are focusing largely on one subproblem at a time (right now, it’s getting a good Moser(3) bound for n=5) and we seem to be using the collaborative environment quite efficiently., My near-term plan is to digest enough of the ergodic theory proofs that I can communicate in finitary combinatorial language a formal proof of DHJ(2) that follows the ergodic approach, and a very handwavy proof of DHJ(3).  (The Hilbert space lemma I’m working on is a component of the DHJ(2) analysis.)  The finitisation of DHJ(2) looks doable, but is already quite messy (more “wrong” than Ryan’s “wrong” proof of DHJ(2)), and it seems to me that formally finitising the ergodic proof of DHJ(3), while technically possible, is not the most desirable objective here.  But there does seem to be some useful ideas that we should be able to salvage from the ergodic proof that I would like to toss out here once I understand them properly.  (For instance, there seems to be an “IP van der Corput lemma” that lets one “win” when one has 01-pseudorandomness (which roughly means that if one takes a medium dimensional slice of A and then flips one of the fixed digits from 0 to 1, then the pattern of A on the shifted slice is independent of the pattern of A on the original slice).  I would like to understand this lemma better.  The other extreme, that of 01-insensitivity, is tractable by Shelah’s trick of identifying 0 and 1 into a single letter of the alphabet, and the remaining task is to apply a suitable structure theorem to partition arbitrary sets into 01-structured and 01-pseudorandom components, analogously to how one would apply the regularity lemma to one part of the tripartite graph needed to locate triangles.)</t>
  </si>
  <si>
    <t>C2384</t>
  </si>
  <si>
    <t>implement this 'Ryan style' ; continued in 812 post-lecture</t>
  </si>
  <si>
    <t>803.  Sperner/Fourier, Re the discussion in 801, this is a proposal for getting positivity. I haven’t checked it, and it could just obviously not work. , The reason I make it is that I just can’t believe the evidence in front of me: the trivial positivity in “physical space” just must be reflected by equally trivial positivity in “frequency space”. I wonder if the problem, looked at from the random-permutation point of view, is that to count pairs of initial segments it is not completely sensible to count them with the smaller one always first — after all, the proof of positivity goes by saying that that is actually half the set of pairs of initial segments. So maybe we should look at a sum of the form , where  is a hastily invented notation for “ or .”, How could we implement this Ryan style? Well, obviously we would average over all pairs of probabilities (p,q). And if we choose a particular pair, then the obvious thing to do would be to choose independent random variables  and  in such a way that the resulting set will give you a probability p of being in A, a probability q of being in B, and a certainty that A:B. To achieve that in a unified way, for each  we choose a random  and set  if and only if  and  if and only if ., I haven’t even begun to try any calculations here, but I would find it very strange if one didn’t get some kind of positivity over on the Fourier side., Having said that, the fact that one expands f in a different way for each p does make me not quite as sure of this positivity as I’m pretending to be., 803.1 Positivity:  , In my experience, obvious positivity on the physical side doesn’t always imply obvious positivity on the Fourier side.  Here is an example (although it goes in the reverse direction).  , Let  be arbitrary and consider , where  is uniform random and  is formed by flipping each bit of  with probability .  (Note that  has the same distribution as , so there’s no asymmetry here.), Now  and  are typically quite far apart in Hamming distance, and since  can have positive and negative values, big and small, it seems far from obvious that  should be nonnegative., But this is obvious on the Fourier side:  it’s precisely ., 803.2 Positivity, That’s interesting. The non-obvious assertion is that a certain matrix (where the value at (x,y) is the probability that you get y when you start from x and flip) is positive definite. And the Fourier transform diagonalizes it. And that helps to see why it’s genuinely easier on the Fourier side: given a quadratic form, there is no reason to expect it to be easy to see that it is positive definite without diagonalizing it. (However, I am tempted to try with your example …), 803.3  Positivity, Got it! Details below in an hour’s time (after my lecture). It will be comment 812 if nobody else has commented by then.</t>
  </si>
  <si>
    <t>C2385</t>
  </si>
  <si>
    <t>Randall.593</t>
  </si>
  <si>
    <t>correction requested</t>
  </si>
  <si>
    <t>wiki attempt</t>
  </si>
  <si>
    <t>804.  DHJ(2.7), Randall: I tried to wikify your notes from 593 at, http://michaelnielsen.org/polymath1/index.php?title=DHJ(2.7), Unfortunately due to a wordpress error, an important portion of your Tex (in particular, part of the statement of DHJ(2.7)) was missing (the portion between a less than sign and a greater than sign – unfortunately this was interpreted as HTML and thus eaten).  So I unfortunately don’t understand the proof.  Could you possibly take a look at the page and try to restore the missing portion?  Thanks!, Sorry about that. After several missteps, I may have managed to correct it in full….</t>
  </si>
  <si>
    <t>C2386</t>
  </si>
  <si>
    <t xml:space="preserve">578; Ryan's notes; </t>
  </si>
  <si>
    <t>ignore oversimplification and error terms for now</t>
  </si>
  <si>
    <t>805.  Sperner, (Previous comment should be 804.), Ryan’s notes (which, incidentally, might also be migrated to the wiki at some point) seem to imply something close to my Lemma in 578 that had a bogus proof, namely that if f is non-uniform in the sense that  or  is large for some g, then f has significant Fourier concentration at low modes (i.e. the energy  is large), and hence f correlates with a function of low influence (e.g. f correlates with , where  is the Fourier multiplier that multiplies the S fourier coefficient by )., If this is the case, then (because polynomial combinations of low influence functions are still low influence) one can iterate this in the usual energy-increment manner (or as in the proof of the regularity lemma) to obtain a decomposition , where  is uniform and  has low influence, is non-negative and has the same density as .  (This is an oversimplification; there are error terms, and one has to specify the scales at which uniformity or low influence occurs, but ignore these issues for now.)  , If this is the case, then the Sperner count  should be approximately equal to .  But if  is low influence, this should be approximately .  Meanwhile, we have , so by Cauchy-Schwartz we get at least , as desired., 805.1 , p.s.  Something very similar goes on in the ergodic proof of DHJ(2).  What I call  here will be called , where P is a certain “weak limit” of shift operators.  The key point is that P is going to be an orthogonal projection in L^2 (this is the upshot of a Hilbert space lemma that I am working on on the wiki.)</t>
  </si>
  <si>
    <t>C2387</t>
  </si>
  <si>
    <t>something very similar goes on over there</t>
  </si>
  <si>
    <t>805.1 , p.s.  Something very similar goes on in the ergodic proof of DHJ(2).  What I call  here will be called , where P is a certain “weak limit” of shift operators.  The key point is that P is going to be an orthogonal projection in L^2 (this is the upshot of a Hilbert space lemma that I am working on on the wiki.)</t>
  </si>
  <si>
    <t>C2388</t>
  </si>
  <si>
    <t>Gil wrote: “(The file is called wrong-Sperner but reading it I realize that this means the proof is right but not yet the “Fourier/Sperner proof from the book” or something like that. Please clarify.)”, Yes — I forgot to mention that.  I think/hope the writeup’s correct, but I called it “wrong-Sperner” because I still feel there’s something not-from-the-Book about it.</t>
  </si>
  <si>
    <t>C2389</t>
  </si>
  <si>
    <t>x doesn't necessarily lead to y</t>
  </si>
  <si>
    <t>803.1 Positivity:  , In my experience, obvious positivity on the physical side doesn’t always imply obvious positivity on the Fourier side.  Here is an example (although it goes in the reverse direction).  , Let  be arbitrary and consider , where  is uniform random and  is formed by flipping each bit of  with probability .  (Note that  has the same distribution as , so there’s no asymmetry here.), Now  and  are typically quite far apart in Hamming distance, and since  can have positive and negative values, big and small, it seems far from obvious that  should be nonnegative., But this is obvious on the Fourier side:  it’s precisely .</t>
  </si>
  <si>
    <t>C2390</t>
  </si>
  <si>
    <t>806. Sperner., Re #805, Terry, one thing I had trouble with was — roughly speaking — showing that indeed  is close to .  , It seemed logical that this would be true but I had technical difficulties actually making the switch from  to .  In some sense that’s why I wrote the notes, to really convince myself that one could do something.  Unfortunately, that something was to define  all the way down to just the lowest mode; i.e., to look at density rather than energy.  , Perhaps we could try to think about, at a technical level, how to really pass from  to  for low-influence functions…, 806.2 Sperner, Well, I would imagine that  would have Fourier transform concentrated in sets S of size , and this should mean that the average influence of , i.e. {\Bbb E} |f_{U^\perp}(x) – f_{U^\perp}(y)|^2, where x and y differ by just one bit, should be small (something like ).  This should then be able to be iterated to extend to x and y being several bits apart rather than just one bit.  (In order to do this properly, one will probably need to have a whole bunch of different scales in play, not just a single scale .  There are various pigeonhole tricks that let one find a whole range of scales at which all statistics are the same I call this the “finite convergence principle” in my blog, so as a first approximation let’s pretend that concentration at one scale  is the same as concentration at other small scales such as .  The point is that while the L^2 energy of f could be significant in the range  for a single , the pigeonhole principle prevents it from being significant for all such choices of )</t>
  </si>
  <si>
    <t>C2391</t>
  </si>
  <si>
    <t>that's interesting</t>
  </si>
  <si>
    <t>803.2 Positivity, That’s interesting. The non-obvious assertion is that a certain matrix (where the value at (x,y) is the probability that you get y when you start from x and flip) is positive definite. And the Fourier transform diagonalizes it. And that helps to see why it’s genuinely easier on the Fourier side: given a quadratic form, there is no reason to expect it to be easy to see that it is positive definite without diagonalizing it. (However, I am tempted to try with your example …)</t>
  </si>
  <si>
    <t>C2392</t>
  </si>
  <si>
    <t>another method</t>
  </si>
  <si>
    <t>"Not-Two" problem</t>
  </si>
  <si>
    <t>807. Fourier/density-increment., In #802, I guess I’m getting the terminology all wrong.  I should say that another problem I think the same method will work for is the problem in  where you’re looking for “lines” of length 3 where in the wildcard coordinates you’re allowed either (0,1,1), (1,0,1), or (1,1,0).  , I don’t know if this problem has a name.  It’s not quite a Schur triple.  I personally would call it the “Not-Two” problem because in every coordinate you’re allowed (0,0,0), (1,1,1), (0,1,1), (1,0,1), or (1,1,0): anything where the number of 0’s is “Not Two”., 807.1, A question and 3 remarks:
Q: I remember when we first talked about it there were obvious difficulties for why fourier+increasing density strategy wont work. At the end what is the basic change that make it works is it changing the measure? , R1: sometimes is is equally convenient (and even more) not to work with  measures and their associated Fourier transform but to consider functions on 0,1 and use the Walsh orthonormal basis even for every 0,1. So given p we represent our set by a subset of the solid cube and use the “fine” Walsh transform all the time., R2: If changing the measure can help when small Fourier coefficients do not suffice for quasirandomness, is there hope it will help for case k=4 of Szemeredi? , R3: there are some problems regarding influences threshold phenomena where better understanding of the relation between equal sliced density and specific  densities are needed. Maybe some of the tools from here can help.</t>
  </si>
  <si>
    <t>C2393</t>
  </si>
  <si>
    <t>807.1, A question and 3 remarks:
Q: I remember when we first talked about it there were obvious difficulties for why fourier+increasing density strategy wont work. At the end what is the basic change that make it works is it changing the measure? , R1: sometimes is is equally convenient (and even more) not to work with  measures and their associated Fourier transform but to consider functions on 0,1 and use the Walsh orthonormal basis even for every 0,1. So given p we represent our set by a subset of the solid cube and use the “fine” Walsh transform all the time., R2: If changing the measure can help when small Fourier coefficients do not suffice for quasirandomness, is there hope it will help for case k=4 of Szemeredi? , R3: there are some problems regarding influences threshold phenomena where better understanding of the relation between equal sliced density and specific  densities are needed. Maybe some of the tools from here can help.</t>
  </si>
  <si>
    <t>C2394</t>
  </si>
  <si>
    <t>circular but might allow bootstrapping?</t>
  </si>
  <si>
    <t>808. Another Fourier/Sperner approach, Let me mention briefly a non density-increasing approach to Sperner. You first note that not having lines with 1 wild card implies that . If you can show that the non empty fourier coefficients are concentrated (in terms of |S|) then I think you can conclude that the density is small. , You want to control expression of the from . Those are related to the number of elements in the set when we fixed  the value of n-k variables and look over all the rest. These numbers are controlled by the density of Sperner families for subsets of {1,2,…,k}. So this looks like circular thing but maybe it allows some bootstrapping.</t>
  </si>
  <si>
    <t>C2395</t>
  </si>
  <si>
    <t>806.2 Sperner, Well, I would imagine that  would have Fourier transform concentrated in sets S of size , and this should mean that the average influence of , i.e. {\Bbb E} |f_{U^\perp}(x) – f_{U^\perp}(y)|^2, where x and y differ by just one bit, should be small (something like ).  This should then be able to be iterated to extend to x and y being several bits apart rather than just one bit.  (In order to do this properly, one will probably need to have a whole bunch of different scales in play, not just a single scale .  There are various pigeonhole tricks that let one find a whole range of scales at which all statistics are the same I call this the “finite convergence principle” in my blog, so as a first approximation let’s pretend that concentration at one scale  is the same as concentration at other small scales such as .  The point is that while the L^2 energy of f could be significant in the range  for a single , the pigeonhole principle prevents it from being significant for all such choices of )</t>
  </si>
  <si>
    <t>C2396</t>
  </si>
  <si>
    <t>Richard</t>
  </si>
  <si>
    <t>no threading - view chronologically is better</t>
  </si>
  <si>
    <t>If I had to choose between threading and no-threading, I would also choose no-threading. I find threaded comments at n-Category frustrating to read if the threads become many and deep because temporal order is lost, and that alone is a turn off for me. Most recent comments tend to be scattered all over the page, and clicking on the most recent comment in the sidebar often positions the browser display incorrectly so that the desired comment is sometimes actually completely off the page. When threads become deep, text is squished on the right side of the page. I find myself hitting the “View Chronologically” button far more often than not. I wish that there were a way to specify a display preference so that in my case “View Chronologically” would be a the default.</t>
  </si>
  <si>
    <t>C2430</t>
  </si>
  <si>
    <t>C2427</t>
  </si>
  <si>
    <t>***IMPORTANT - this is duplicated in a post with a different author - keep this version!!</t>
  </si>
  <si>
    <t>818.1 , I haven’t read this closely enough to have even an initial impression, however, much of it looks (somewhat) familiar.
First, I notice you removed your discussion of stationarity…instead (tell me if I misread), and in multiple settings, you seem to do a Cesaro average, over lines, rather than employing something like Graham-Rothschild to get near-convergence along lines restricted to a subspace. Most striking of these are instances of using the so-called IP van der Corput lemma. Looking at its proof, this does indeed look kosher, but it’s rather surprising to me all the same; assuming I’m understanding this at least somewhat correctly, did you give any thought to whether the ergodic proof itself could be tidily rewritten to accommodate this averaging method? , Modulo the above, the main part of the argument I still don’t (in principle) understand is how you bound h, the number of functions used to approximate the almost periodic component of f, independently of n. (This is the part of the argument I got stuck on in my own thoughts.) I see now that you solved this issue in your quantitative ergodic proof of Szemeredi, which I printed last night as well, though I haven’t read deeply enough yet to see how. Am I to assume that something similar happens here, or is the answer different in the two cases?</t>
  </si>
  <si>
    <t>C2399</t>
  </si>
  <si>
    <t>809.  Response to 806.2 (Sperner)., Terry wrote, “This should then be able to be iterated to extend to x and y being several bits apart rather than just one bit.”, Hmm, but one source of annoyance is that y is not just x with  or so bits flipped — it’s x with  or so 0’s flipped to 1’s.  As you get more and more 1’s in there, the intermediate strings are less and less distributed as uniformly random strings. So it’s not 100% clear to me that you can keep appealing to average influence, since influence as defined is a uniform-distribution concept., Overall I agree that this is probably more of a nuisance then a genuine problem, but it was stymieing me a bit so I thought I’d ask., 809.2 Sperner and influence, Ryan, I think the trusty old triangle inequality should deal with things nicely.  (I would need a binomial model of bit-flipping rather than a Poisson model, but I’m sure this makes very little difference.), Suppose  has average influence ; thus flipping a bit from a 0 to 1 or vice versa would only affect things by  on the average.  Conditioning, we conclude that if we flip just one bit from a 0 to 1, we expect  to change by at most  on the average.  Now we iterate this process  times.  As long as  is much less than  (as in your notes), there is no significant distortion of the underlying probability distribution and we see that if y differs by  0-&gt;1 bits from x, then  and  will differ by  on the average., This will be enough for our purposes as long as the influence  is a really small multiple of .  One can’t quite get this by working at a single scale – one gets  instead – but one can do so if one works with a whole range of scales and uses the energy increment argument.  I’ve sketched out the details on the wiki at, http://michaelnielsen.org/polymath1/index.php?title=Fourier-analytic_proof_of_Sperner</t>
  </si>
  <si>
    <t>C2400</t>
  </si>
  <si>
    <t>809.2 Sperner and influence, Ryan, I think the trusty old triangle inequality should deal with things nicely.  (I would need a binomial model of bit-flipping rather than a Poisson model, but I’m sure this makes very little difference.), Suppose  has average influence ; thus flipping a bit from a 0 to 1 or vice versa would only affect things by  on the average.  Conditioning, we conclude that if we flip just one bit from a 0 to 1, we expect  to change by at most  on the average.  Now we iterate this process  times.  As long as  is much less than  (as in your notes), there is no significant distortion of the underlying probability distribution and we see that if y differs by  0-&gt;1 bits from x, then  and  will differ by  on the average., This will be enough for our purposes as long as the influence  is a really small multiple of .  One can’t quite get this by working at a single scale – one gets  instead – but one can do so if one works with a whole range of scales and uses the energy increment argument.  I’ve sketched out the details on the wiki at, http://michaelnielsen.org/polymath1/index.php?title=Fourier-analytic_proof_of_Sperner</t>
  </si>
  <si>
    <t>C2401</t>
  </si>
  <si>
    <t>describe in own words</t>
  </si>
  <si>
    <t>810.  DHJ(2.7), Randall, thanks for cleaning up the file!  It is a very nice proof, and I’d like to try to describe it in my own words here.  , DHJ(2.7) is the strengthening of DHJ(2.6) that gives us three parallel combinatorial lines (i.e. they have the same wildcard set), the first of which hits the dense set A in the 0 and 1 position, the second hits it in the 1 and 2 position, and the third in the 2 and 0 position., To describe Randall’s argument, I’d first like to describe how Randall’s argument gives yet another proof of DHJ(2) which is quite simple (and gives civilised bounds).  It uses the density increment argument: we want to prove DHJ(2) at some density  and we assume that we’ve already proven it at any significantly bigger density., Now let A be a subset of  of density  for some n.  We split n into a smallish r and a biggish n-r, thus viewing  as a whole bunch of (n-r)-dimensional slices, each indexed by a word in ., If any of the big slices has density significantly bigger than , we are done; so we can assume that all the big slices have density not much larger than  (e.g. at most ).  Because the total density is , we can subtract and conclude that all the big slices have density close to ., Now we look at the r+1 slices indexed by the words .  Each of these slices intersects the set A with density about .  Thus by the pigeonhole principle, if r is much bigger than , then two of the A-slices must share a point in common, i.e. there exists  and i,j such that  both lie in A.  Voila, a two-dimensional line., The same argument gives DHJ(2.7).  Now there are three different graphs on r+1 vertices, the 01 graph, the 12 graph, and the 20 graph.  i and j are connected on the 01 graph if the -slice and -slice of A have a point in common; similarly define the 12 graph and the 20 graph.  Together, this forms an 8-coloured graph on r+1 vertices.  By Ramsey’s theorem, if r is big enough there is a monochromatic subgraph of size .  But by the preceding pigeonhole argument, we see that none of the 01 graph, the 12 graph, or the 20 graph can vanish completely here, so they must instead all be complete, and we get three parallel combinatorial lines, each intersecting A in two of the three positions.</t>
  </si>
  <si>
    <t>C2402</t>
  </si>
  <si>
    <t>ryanworldwide</t>
  </si>
  <si>
    <t>background info</t>
  </si>
  <si>
    <t>811.  Prelude to some more density-increment arguments., I was hoping to give an illustration of the #578 technique for a problem in . But it got too late for me to finish writing it, so I’ll just give the “background info” I managed to write. This probably ought to go in the wiki rather than in a post, but having spent a bit of time to get Luca’s converter working for me, I didn’t have the energy to also convert to the third, wiki format. More on the #578 method tomorrow., Here, then, some basics on noise and correlated product spaces; for more, see e.g. this paper of Mossel., Let  be a small finite set; for example, . Let  be a probability distribution on . Abusing notation, write also  for the corresponding product distribution on . For , define the noise operator , which acts on functions , as follows: 
 where  denotes that  is formed from  by doing the following, independently for each : with probability , set ; with probability , draw  from  (i.e., “rerandomize the coordinate”). (I use boldface for random variables.), Here are some simple facts about the noise operator:, Fact 1: ., Fact 2: For  we have , where  denotes . , Fact 3: The ‘s form a semigroup, in the sense that ., Fact 4: . We use the notation  for this quantity., Fact 5: , where: a)  is a randomly chosen combinatorial subspace, with each coordinate being fixed (from ) with probability  and left “free” with probability , independently; b)  denotes the restriction of  to this subspace, and  denotes the mean of this restricted function, under  (the product distribution on the free coordinates of ).</t>
  </si>
  <si>
    <t>C2403</t>
  </si>
  <si>
    <t>803.3  Positivity, Got it! Details below in an hour’s time (after my lecture). It will be comment 812 if nobody else has commented by then.</t>
  </si>
  <si>
    <t>C2404</t>
  </si>
  <si>
    <t>803.1; 811; 572</t>
  </si>
  <si>
    <t xml:space="preserve">drat ... </t>
  </si>
  <si>
    <t>812. Positivity, This concerns Ryan’s example of a quantity that is easily seen to be non-negative on the Fourier side, and not so easily seen to be non-negative in physical space. Except that I now have an easy argument in physical space. I don’t know how relevant this is, but there is some potential motivation for it, which is that perhaps the simple idea behind the proof could help in Ryan’s quest for a “non-wrong” proof of Sperner., The problem, laid out in 803.1, was this. Let  be a function defined on . Now choose two random points  in  as follows:  is uniform, and  is obtained from  by changing each bit of  independently with probability 1/5. Now show that  is non-negative for all real functions . , There are various ways of describing a proof of this. Here is the one I first thought of, and after that I’ll give a slicker version. I’m going to do a different calculation. Again I’ll pick a random , but this time I’ll create two new vectors  and  out of , which will be independent of each other (given ) and obtained from  by flipping coordinates with probability . And I’ll choose  so that , which guarantees that the probability that the th coordinates of  and  are equal is . Then I’ll work out . It’s obviously positive because it is equal to . But also, the joint distribution of  and  is equal to the joint distribution of  and , since  is uniform and the digits of  are obtained from  by flipping independently with probability . (Proof: the events  are independent and have probability 4/5.), Now for the second way of seeing it. This time I’ll generate  from  in two stages. First I’ll flip each digit with probability . And then I’ll do that again. Now each time you flip with probability  you are multiplying  by the symmetric matrix  defined by  (which is the same as convolving  by the function  So we end up with , which, since  is symmetric, is , Note that this proof fails if you flip with probability p greater than 1/2, because then you can’t solve the equation . But that’s all to the good, because the result is false when . When  it is “only just true” since flipping with probability 1/2 gives you the uniform distribution for y, so if  averages zero then  is zero too. , I’m sure there’s yet another way of looking at it (and in fact these thoughts led to the above proof) which is to think of the random flipping operation as the exponential of an operation where you flip with a different probability. (To define that, I would flip N times, each time with probability , and take limits.) I would then expect some general nonsense about exponentials to give the positivity. In the end I have taken a square root instead., 812.1.  Thanks Tim!  I believe this proof is in fact Fact 4 from #811 (with its )., 812.2.  I was pleased with myself for figuring out the analogous trick in our equal-slices setting… until I realized it was exactly what you said way back in #572, first paragraph.  Drat.</t>
  </si>
  <si>
    <t>C2405</t>
  </si>
  <si>
    <t>propose</t>
  </si>
  <si>
    <t>813. An optimistic conjecture., The hyper-optimistic conjecture says that . Here I would like to suggest an “optimistic conjecture”:
There exist a number  such that  for all . , The hyper-optimistic conjecture implies the optimistic conjecture and the optimistic conjecture implies DHJ. , Let  be the set of elements x in A, such that A has measure at least  in the slice x belong to.
We know that if A is a line-free set, the sum of the measure of A in the slices  is at most 2. In particular A cannot contain more than 2/3 of each of three slices in an equilateral triangle. Thus, the slices where A has a density greater than 2/3 forms a triangle-free subset of . So, if the optimistic conjecture is false, we know that for biggest line-free set A, the density of  in A go to 0 as $n\to \infty$. , I think the following would imply DHJ:
 For every  there exist a C such that for every set A with  (no element in A is “epsilon-lonesome” in its slice) there exist a equilateral triangle-free set  with more than  elements.</t>
  </si>
  <si>
    <t>C2406</t>
  </si>
  <si>
    <t>812.1.  Thanks Tim!  I believe this proof is in fact Fact 4 from #811 (with its ).</t>
  </si>
  <si>
    <t>C2408</t>
  </si>
  <si>
    <t>dumb question self-corrected in followup post</t>
  </si>
  <si>
    <t>814. Re Sperner &amp; Influences &amp; 809.2., Hi Terry, not to be ridiculously nitpicky, but could I ask one more question?  , It seems to me that:
a)  might end up having range  rather than ;
b) average influence is defined in terms of the *squared* change in ;
c) we don’t have a triangle inequality for .  (It wouldn’t be a problem if  had range  since  is a metric on $\{0,1\}$.), 814.1.  Maybe one gets around it by playing with the scales &amp; using triangle inequality for ; I’m thinking about it…, 814.2.  Oops., That was a dumb question, as it turns out.  Assuming  is bounded, squared-differences are bounded by 4 times absolute-value-differences, and then use the triangle inequality.  Got it.</t>
  </si>
  <si>
    <t>C2409</t>
  </si>
  <si>
    <t xml:space="preserve">drat ;) </t>
  </si>
  <si>
    <t>812.2.  I was pleased with myself for figuring out the analogous trick in our equal-slices setting… until I realized it was exactly what you said way back in #572, first paragraph.  Drat.</t>
  </si>
  <si>
    <t>C2410</t>
  </si>
  <si>
    <t>814.1.  Maybe one gets around it by playing with the scales &amp; using triangle inequality for ; I’m thinking about it…</t>
  </si>
  <si>
    <t>C2411</t>
  </si>
  <si>
    <t>dumb question undone</t>
  </si>
  <si>
    <t>814.2.  Oops., That was a dumb question, as it turns out.  Assuming  is bounded, squared-differences are bounded by 4 times absolute-value-differences, and then use the triangle inequality.  Got it.</t>
  </si>
  <si>
    <t>C2413</t>
  </si>
  <si>
    <t>C2408, 809.2</t>
  </si>
  <si>
    <t xml:space="preserve">check understanding; trying to answer/reword </t>
  </si>
  <si>
    <t>815.  Re Sperner., I think I can answer my own question from #814. I’ll say what Terry was saying in #809.2, being a little bit imprecise. Let  be an integer. Define random variables  as follows:  is a uniformly random string;  is formed from  by picking a random coordinate and, if that coordinate is  in , changing it to a . Now the distribution on  is pretty much like the distribution on  from before, with . Probably, as Terry says, one should ultimately wrap a Poisson choice of  around this entire process., Anyway, for fixed , by telescoping we have 
 To bound the “error term” here, use Cauchy-Schwarz on each summand. For a given  we have 
 Let  be the function defined by , where  is formed from  by taking one step in the Markov chain we used in defining the ‘s. Hence the expression inside the square-root in (2) is . We would like to say that this expectation is close to  because the distributions on  and  are very similar. We can use the argument in my “wrong-Sperner” notes for this. Using , I think that’ll give something like 
 where on the right I’ve now assumed that  is bounded, hence  is bounded, hence  pointwise. , But  is precisely (well, maybe up to a factor of  or something) the “energy” or “average influence” of ; write it as . So we get 
 Let’s assume now that in fact . Then the error in the above is essentially negligible. Now plugging this into (2) we get that each of the  error terms in (1) is at most . So overall, we conclude 
 Just to repeat, the assumptions needed to deduce (3) were that  is bounded and that ., 815.1 Sperner, Ryan, thanks for fleshing in the details and sorting out the l^1 vs l^2 issue.  I just wanted to point out that we may have located the “DHJ(0,2)” problem that Boris brought up a while back – namely, DHJ(0,2) should be DHJ(2) for “low influence” sets.  I think we now have a satisfactory understanding of the DHJ(2) problem from an obstructions-to-uniformity perspective, namely that arbitrary sets can be viewed as the superposition of a low influence set (or more precisely, a function ) plus a DHJ(2)-uniform error., DHJ(1,3) may now need to be tweaked to generalise to functions f which are polynomial combinations of 01-low influence, 12-low influence, and 20-low influence functions, where 01-low influence means that f(x) and f(y) are close whenever y is formed from x by flipping a random 0 bit to a 1 or vice versa, etc.  (With our current definition of DHJ(1,3), we are considering products of indicator functions which have zero 01-influence, zero 12-influence, and zero 20-influence respectively.)</t>
  </si>
  <si>
    <t>C2414</t>
  </si>
  <si>
    <t>outline offline work</t>
  </si>
  <si>
    <t>doing some calculations - public as soon as they work - thiis provides an outline of what he will be trying to do</t>
  </si>
  <si>
    <t>816.  Obstructions., I hope I’m going to have time to do some serious averaging arguments this evening. They will be private calculations (though made public as soon as they work), but let me give an outline of what I am hoping to make rigorous. The broad aim is to prove that a set with no combinatorial lines has a significant local correlation with a set of complexity 1. This is a statement that has been sort of sketched in various comments already (by Terry and by me and possibly by others too), but I now think that writing it out in a serious way will be a very useful thing to do and should get us substantially closer to a density-increment proof of DHJ(3). Here is a rough description of the steps., 1. A rather general argument to prove that whenever we feel like restricting to a combinatorial subspace, we can always assume that it has density at most , where  is an arbitrary function of . This kind of argument is standard, and has already been mentioned by Terry: basically if you can find a subspace with increased density then you happily pass to that subspace and you’ve already completed your iteration. If you can’t do that, then the proportion of subspaces (according to any reasonable distribution of your convenience) with substantially smaller density is tiny. The minor (I hope) technical challenge is to get a version of this principle that is sufficiently general that it can be used easily whenever it is needed., 2. Representing combinatorial lines as (U,V,W), we know that for an average W (each element chosen with probability 1/3 — I’m going for uniform measure here) the density of (U,V) such that (U,V,W) is in  is . , 3. Also, by 1, for almost all W we find that the set of points  where  (for some  with ) has density almost ., 4. Combining 2 and 3, we obtain a W such that the density of (U,V) with (U,V,W) in  is at least , say, and the density of  is almost as large as  (at least)., 5. But the points of the latter kind have to avoid those  and  for which the point , which is a dense complexity-1 obstruction in the “unbalanced” set of  that have union  and have  of size at most . , 6. Randomly restricting, we can get a similar statement, but this time for a “balanced” set—that is, one where  have comparable sizes., 7. From that it is straightforward to get a (local) density increment on a special set of complexity 1 (as defined here)., Now I think I’ve basically shown that a special set of complexity 1 contains large combinatorial subspaces, though I need to check this. But what we actually need is a bit stronger than that: we need to cover sets of complexity 1 uniformly by large combinatorial subspaces, or perhaps do something else of a similar nature. (This is where the Ajtai-Szemerédi proof could come in very handy.) But if everything from 1 to 7 works out—I’m not sure how realistic a hope that is but even a failure would be instructive—then we’ll be left with a much smaller-looking problem to solve. I’ll report back when I either get something working or see where some unexpected difficulty lies.</t>
  </si>
  <si>
    <t>C2415</t>
  </si>
  <si>
    <t>815.1 Sperner, Ryan, thanks for fleshing in the details and sorting out the l^1 vs l^2 issue.  I just wanted to point out that we may have located the “DHJ(0,2)” problem that Boris brought up a while back – namely, DHJ(0,2) should be DHJ(2) for “low influence” sets.  I think we now have a satisfactory understanding of the DHJ(2) problem from an obstructions-to-uniformity perspective, namely that arbitrary sets can be viewed as the superposition of a low influence set (or more precisely, a function ) plus a DHJ(2)-uniform error., DHJ(1,3) may now need to be tweaked to generalise to functions f which are polynomial combinations of 01-low influence, 12-low influence, and 20-low influence functions, where 01-low influence means that f(x) and f(y) are close whenever y is formed from x by flipping a random 0 bit to a 1 or vice versa, etc.  (With our current definition of DHJ(1,3), we are considering products of indicator functions which have zero 01-influence, zero 12-influence, and zero 20-influence respectively.)</t>
  </si>
  <si>
    <t>C2416</t>
  </si>
  <si>
    <t>817. Sperner., Just to clarify, the thing I wrote in #800 says that if you don’t mind restricting to combinatorial subspaces (which we usually don’t, unless we’re really trying to get outstanding quantitatives), then the decomposition  we seek can be achieved trivially: you just take .</t>
  </si>
  <si>
    <t>check understanding; digesting lecture notes &amp; suggested reading</t>
  </si>
  <si>
    <t>818.  Ergodic proof of DHJ(3), I managed to digest Randall’s lecture notes on the completion of the Furstenberg-Katznelson proof of DHJ(3) (the focus of the 600 thread) to the point where I now have an informal combinatorial translation of the argument at, http://michaelnielsen.org/polymath1/index.php?title=Furstenberg-Katznelson_argument, that avoids any reference to infinitary concepts, at the expense of rigour and precision.  Interestingly, the argument is morally based on a reduction to something resembling DHJ(1,3), but more complicated to state.  We are trying to get a lower bound for,  (1), where f is non-negative, bounded, and has positive density, and  ranges over all lines with “few” wildcards (and I want to be vague about what “few” means).  The first reduction is to eliminate “uniform” or “mixing” components from the second two factors and reduce to,   (2), where ,  are certain “structured” components of f, analogous to  from the Sperner theory.  They have positive correlation with f, and in fact are positive just about everywhere that f is positive., What other properties do  have?  In a perfect world, they would be “complexity 1” sets, and in particular one would expect  to be describable as some simple combination of 01-low influence sets and 12-low influence sets (and similarly  should be some simple combination of 20-low influence sets and 12-low influence sets).  Here, ij-low influence means that the function does not change much if an i is flipped to a j or vice versa., Unfortunately, it seems (at least from the ergodic approach) that this is not easily attainable.  Instead,  obeys a more complicated (and weaker) property, which I call “01-almost periodicity relative to 12-low influence”, with  obeying a similar property.  Very roughly speaking, this is a “relative” version of 01-low influence: flipping digits from 0 to 1 makes  change, but the way in which it changes is controlled entirely by functions that have low 12-influence.  (This is related to the notion of “uniform almost periodicity” which comes up in my paper on the quantitative ergodic theory proof of Szemeredi’s theorem.), It is relatively painless (using Cauchy-Schwarz and energy-increment methods) to pass from (1) to (2).  To deal with (2) we need some periodicity properties of  on small “monochromatic” spaces (the existence of which is ultimately guaranteed by Graham-Rothschild) which effectively let us replace  with  and  with  on a large family of lines  (and more importantly, a large 12-low influence family of lines).  From this fact, and the previously mentioned fact that  are large on f, we can get DHJ(3)., The argument as described on the wiki is far from rigorous at present, but I am hopeful that it can be translated into a rigorous finitary proof (though it is not going to be pleasant – I would have to deploy a lot of machinery from my quantitative ergodic theory paper).  Perhaps a better approach would be to try to export some of the ideas here to the Fourier-type approaches where there is a better chance of a shorter and more quantitatively effective argument., 818.1 , I haven’t read this closely enough to have even an initial impression, however, much of it looks (somewhat) familiar.
First, I notice you removed your discussion of stationarity…instead (tell me if I misread), and in multiple settings, you seem to do a Cesaro average, over lines, rather than employing something like Graham-Rothschild to get near-convergence along lines restricted to a subspace. Most striking of these are instances of using the so-called IP van der Corput lemma. Looking at its proof, this does indeed look kosher, but it’s rather surprising to me all the same; assuming I’m understanding this at least somewhat correctly, did you give any thought to whether the ergodic proof itself could be tidily rewritten to accommodate this averaging method? , Modulo the above, the main part of the argument I still don’t (in principle) understand is how you bound h, the number of functions used to approximate the almost periodic component of f, independently of n. (This is the part of the argument I got stuck on in my own thoughts.) I see now that you solved this issue in your quantitative ergodic proof of Szemeredi, which I printed last night as well, though I haven’t read deeply enough yet to see how. Am I to assume that something similar happens here, or is the answer different in the two cases?, 818.2, Yes, the argument is distilled from your notes, though as you see I messed around with the notation quite a bit., The stationarity is sort of automatic if you work with random subspaces of a big space , and I am implicitly using it all over the place when rewriting one sort of average by another., I am indeed hoping that Cesaro averaging may be simpler to implement than IP averaging, and may save me from having to use Graham-Rothschild repeatedly.  There are a lot of things hidden in the sketch that may cause this to bubble up.  For instance, I am implicitly using the fact that certain shift operators  converge (in some Cesaro or IP sense) to an orthogonal projection, and this may require a certain amount of Graham-Rothschild type trickery (I started writing some separate notes on a finitary Hilbert space IP Khintchine recurrence theorem which will be relevant here.), I admit I’m a bit sketchy on how to deal with h not blowing up.  A key observation here is that of statistical sampling: if one wants to understand an average  of bounded quantities over a very large set H, one can get quite a good approximation to this expression by picking a relatively small number  of representatives of H at random and looking at the local average  instead.  (This fact substitutes for the fact used in the Furstenberg approach that Volterra integral operators are compact and hence approximable by finite rank operators; or more precisely, the Furstenberg approach needs the relative version of this over some factor Y.)  I haven’t worked out completely how this trick will mesh with the IP-systems involved, but I’m hoping that I can throw enough Ramsey theorems at the problem to make it work out., Perhaps one thing that helps out in the finitary setting that is not immediately available in the ergodic setting is that there are more symmetries available; in particular, the non-commutativity of the IP systems that makes the ergodic setup so hard seems to be less of an issue in the finitary world (the operations of flipping a random 0 to a 1 and flipping a random 0 to a 2 essentially commute since there are so many 0s to choose from).  There is a price to pay for this, which is that certain Ramsey theorems may break the symmetry and so one may have to choose to forego either the Ramsey theorem or the symmetry.  This could potentially cause a problem in my sketch; as I said, I have not worked out the details (given the progress on the Fourier side of things, I had the vague hope that maybe just the concepts in the sketch, most notably the concept of almost periodicity relative to a low influence factor, could be useful to assist the other main approach to the problem, as I am not particularly looking forward to rewriting my quantitative ergodic theory paper again.)</t>
  </si>
  <si>
    <t>C2428</t>
  </si>
  <si>
    <t>816; 818; 811;  800; 528</t>
  </si>
  <si>
    <t>comments</t>
  </si>
  <si>
    <t>819. #816 and #818 look quite exciting; I plan to try to digest them soon. Meanwhile, here is a Moser-esque problem I invented for the express purpose of being solvable. I hope it might give a few tricks we can use (but it might not be of major help due to the PS of #528). , Let’s define a combinatorial bridge in  to be a triple of points  formed by taking a string with zero or more wildcards and filling in the wildcards with either  or . If there are zero wildcards we call the bridge degenerate. I think I can show, using the ideas from #800, that if  has mean  and  is sufficiently large as function of , then there is a nondegenerate bridge  with . , Roughly, we first use a density-increment argument to reduce to the case when  is extremely noise sensitive; i.e.,  is only a teeny bit bigger than . Here  is something very small to be chosen later. Next, we pick a suitable distribution on combinatorial bridges ; basically, choose a random one where the wildcard probability is . Now the key is that under this distribution, there is “imperfect correlation” between the random variable  and the random variable  — and similarly, between  and . Here I use the term in the sense of the Mossel paper in #811. Because of this (see Mossel’s Lemma 6.2),  is practically the same as , when . But this is extremely close to  because  and because the error can be controlled with H\”{o}lder in terms of , which is teeny by the density-increment reduction., More details here: http://www.cs.cmu.edu/~odonnell/bridges.pdf. I can try to port this to the wiki soon., Ryan, I’m not sure what you mean by “fill the wildcards by either (0,-1,0) or (0,+1,0)”.  Wouldn’t this always make x and z equal in a bridge?  Perhaps an example would clarify what you mean here., 819.2:  Er, whoops.  You’re right.  Even easier then I thought 🙂  To make this problem more interesting, I think it will work if the triples allowed on wildcards are, say:  (-,0,-), (-,0,0), (+,0,0), (+,0,+)., But: a) this is not as nice-looking, and b) I think it’ll actually take slightly more work.  , So, um, never mind for now.</t>
  </si>
  <si>
    <t>CTao_36150</t>
  </si>
  <si>
    <t>768 Moser(3), I can almost eliminate points with four 2s completely from the 5D Moser problem., By 767, we know that any 4D Moser set with 2222 has at most 39 points.  Hence, the only way a 5D Moser can have a point (say 12222) with four 2s is if the 1****, 2****, 3**** slices have 39+43+43=125 points between them.  But by 743, the 43-point slices have c = 24, 23, or 18.  Meanwhile, the 39-point slice must have c at least 10, because it is allowed to miss at most two of the 12 antipodal pairs in c (and all antipodal pairs have at most one point in the set).  Looking at vertical lines, we see that the total of the three c’s from the three slices is at most 2*24.  This is only possible if the two 43-point slices have c=18., So we are now in a position where the 2**** and 3**** slices are one of the 16 solutions with (a,b,c,d,e) = (5,20,18,0,0).  This looks like a lot of information available, but to proceed further we would need to understand the structure of these 16 exceptional solutions (presumably they are all isomorphic to each other).</t>
  </si>
  <si>
    <t>CTao_36152</t>
  </si>
  <si>
    <t>might be a solution 600 posts ago</t>
  </si>
  <si>
    <t>768. Counting problems, There are  sets of 3 distinct points x, y, z in  such that they form a combinatorial line. , Therefore there are  sets that do not form a combinatorial line. Take those sets, and consider the pairs x and y, y and z, and x and z., Counting Problem A: How many of those sets have all three pairs form partial combinatorial lines? (I’m using “partial combinatorial line” to mean given a pair there’s a third point in  that will make it a combinatorial line.), Counting Problem B: How many of those sets have exactly two pairs form partial combinatorial lines?, Counting Problem C: How many of those sets have exactly one pair form a partial combinatorial line?, Counting Problem D: How many of those sets have no pairs form a partial combinatorial line?, I have made progress on B by making a “fake wildcard” (using the symbol #). For example, take a sequence like *#212. Given x = both wildcards set at 1 (11212) then y = 21312 or 31312 and z = 12312 or 13312. Repeat this for all possible wildcard settings, remove all duplicates, and all sequences ..212 are accounted for., Then it just is a matter of counting how many possible settings it is with both * and # wildcards and removing duplicates from there (*#212 will yield the same results as #*212), and problem B is solved. But that’s a messy calculation so I wanted to share here my current progress before I went any farther. (Also someone might point out where we have the solution to this already 600 posts back.)</t>
  </si>
  <si>
    <t>CTao_36156</t>
  </si>
  <si>
    <t>wiki update; now on thread 800</t>
  </si>
  <si>
    <t>633. Thread moving, I have now got an informal combinatorial translation of Paper #2 on the wiki at, http://michaelnielsen.org/polymath1/index.php?title=Furstenberg-Katznelson_argument, and it is now being discussed on the 800 thread at, http://gowers.wordpress.com/2009/02/23/brief-review-of-polymath1/, so I am now moving discussion of this paper over to that thread.</t>
  </si>
  <si>
    <t>CTao_36157</t>
  </si>
  <si>
    <t>769. The 18 points with 2 2’s in the 2**** slot will produce 18 points
with 3 2’s in the total configuration moreover they will all have
2’s in one coordinate x(the one in which the point with 4 2’s has
a coordinate not equal to 2. These 18 points will have 36
coordinates not equal to 2 among the four coordinates not equal
to x but that means there must be at least 9 coordinates
not equal to 2 at one of these coordinates. A majority of these coordinates
must be equal to a value not equal to 2 without loss of generality say 1
then at most six of these points can be equal to 1 since the ramaining
coordinate not equal to 2 can take one of two values at the remaining
3 coordinates giving a total of 6. thus we have one coordinate with
three 1’s and three 3’s among the 18 triples. Then we slice at this coordinate
the 3 triples of two in the one and three block makes these slices have
size 41 the point with four twos becomes a point with three twos in
the 2 slice thus forcing it to have value 42 or less so the sum is 124.
Thus if there is one point with four 2’s the value is 124 or less.</t>
  </si>
  <si>
    <t>CTao_36158</t>
  </si>
  <si>
    <t>770.  Moser(3), Kristal: thanks!  I wrote up your argument on the wiki page.  In fact the argument shows that any 125-point Moser set cannot have 43 points in its 2**** slice, and in fact cannot have 42 points either unless it is one of the eight anomalous (a,b,c,d,e) = (6,24,12,0,0) solutions at that level., If we can eliminate those anomalous solutions, it implies that 125-point Moser sets must always have their thin slice in the middle, i.e. they must slice as 43+39+43, 43+40+42, 42+40+43, or 42+41+42.</t>
  </si>
  <si>
    <t>C2465</t>
  </si>
  <si>
    <t>check understanding; new perspective - in my own words</t>
  </si>
  <si>
    <t>832. 1-sets, I was trying to think about Tim’s question from the ergodic perspective; if I am translating correctly the outlook is not encouraging. Perhaps though I am overgeneralizing., A 1-set is just a set, membership in which is impervious to switchings of 0s with 2s, right? Okay, so, if I understand Terry’s translations from the ergodic world and back again, the functions that are measurable with respect to 1-sets would be in some sense analogous to the $\tau\rho^{-1}$ rigid factor…if that’s right, then in order to think about the question ergodically, one should think whether it would help at all to know that 1_A had non-zero projection onto this factor. And I don’t see how it would. In particular, it isn’t the case that things orthogonal to this factor don’t contribute to the averages you’re interested in, so I don’t see how decomposing would help. Yes, it is easy to see from DHJ (2) what the positive contribution would be restricted to this rigid factor, but you lose positivity of the relative AP components; it would not seem an easy task to show that they have non-negative contribution without positivity, especially given that the argument as it now stands uses positively very heavily (it throws a lot away because it can)., On the other hand, a non-zero projection onto this factor is sufficient to get (what Terry would call, I think) both 01 over 02 and 12 over 02 almost periodic components, and in a special way, so it might in theory be easier to get a density increment for these guys in the combinatorial world, but at least from an ergodic perspective, I can’t see any strategy that might simplify the proof from what it already is. Short, that is, of a detailed analysis of what is going on in terms of finite-dimensional modules instead of “almost periodicity”, but that is potentially a step in the direction of harder, not easier., Of course, all I say depends on this analogy between 1-sets and the 02-rigid factor being what I suggest it is, and I don’t really see that part well at all (I’m mostly just guessing because I don’t understand the picture very well from the combinatorial side). (Also of course someone may be posting a proof simultaneously with my posting my doubts.), 832.1, Yeah, a 1-set is what I would call a 02-low influence (in fact, a 02-zero influence) set, and it would correspond to a tau rho^{-1} invariant set in the ergodic theory language.  Tim’s approach actually deals with intersections of 1-sets and 2-sets (which we have been calling “complexity 1 sets”), which would be a combination of a 02-low influence and 01-low influence set, or a set in the factor generated by both the tau rho^{-1}-invariants and the sigma rho^{-1}-invariants.  (One may also want to throw in the 12-invariant sets for good measure.)  But never mind this distinction for now., Perhaps the place where Tim’s approach and the ergodic approach differ, though, is that Tim can always stop the argument as soon as a density increment is found on a large subspace, whereas this trick is not available in the ergodic world.  So I don’t think Tim needs the strong (and presumably false) claim that “functions orthogonal to complexity 1 sets have negligible impact on the combinatorial line count”.  He only needs the weaker claim that “if a set has no combinatorial lines, then it must have non-trivial correlation with a complexity 1 set”, combined with the (as yet not fully established) claim that “a set with non-trivial correlation with a complexity 1 set has a density increment on a large combinatorial subspace”.    , Hmm.  Maybe one thing to put on my “to do” list is to find an ergodic translation of Tim’s argument on the wiki that line-free sets correlate with complexity 1 sets.  (If you haven’t already noticed, I’m a big fan of translating back and forth between these two languages.), 832.2 , Actually I just got on here again to retract everything I said (I should think more carefully before posting). I now think, from the ergodic perspective, you trivially get a “measure increment” if 1_A correlates projects non-trivially onto the 02-rigid factor, for the reason that on fibers, the measure is not constant. Just pick a bunch of fibers on which the measure is too big and then a subspace on which you have intersection of those fibers (DJH (2))., 832.2, Hmm, I tried my hand at translating Tim’s argument to ergodic theory, and it came out weird… in order to describe it, I have to leave the measure space X and work in a certain extension of it, vaguely analogous to the Host-Kra parallelopiped spaces  (or the Furstenberg self-joinings used in Tim Austin’s proof of convergence for multiple commuting shifts).  , It’s something like this: consider the space of all quadruples  in , where  is a word to the left of  (or maybe to the right; I may have the signs messed up).  There should somehow be a natural measure  associated to these quadruples, which I currently do not know how to define properly; each of the four projections of this measure to X should be the original measure .  , The last three points of this quadruple form a combinatorial line (I may have messed up the order of operations a bit).  So if A is line-free, the function  on  will have strong negative correlation with .  But the function  has a “02-invariance property” in the sense that it is insensitive to changes to , while the function  has a certain “01-invariance property” in the sense that it is insensitive to interchanges between  and .  So A is correlating with a combination of a 02-invariant set and a 01-invariant set, but the correlation only takes place in the extension  of  and the invariance seems to be a bit fancier than just -invariance or -invariance.</t>
  </si>
  <si>
    <t>C2431</t>
  </si>
  <si>
    <t>820. Density increment., I’ve now finished a wiki write-up that is supposed to establish (and does unless I’ve made a mistake, which is possible) that if  is a line-free set of uniform density  then you can pass to a combinatorial subspace of dimension , as long as , and find a special subset of complexity 1 in that subspace of density at least , such that the equal-slices density of  inside that special subset is at least . , To be less precise about it, I think I’ve shown that if  contains no combinatorial line, then you get a density increase on a nice set. I start with uniform density and switch to equal-slices density, but that is deliberate, and explained in the write-up, which, by the way, is here So my attention is now going to turn to trying to copy either the Ajtai-Szemerédi proof, or Shkredov’s proof, of the corners theorem. I feel optimistic that this can be done, given that special sets of complexity 1 can be shown to contain combinatorial subspaces—though that on its own is not enough., 820.1.  Hi Tim — nice.  I read through the wiki proof and agree that it should be correct.  It is quite interesting how the passage between uniform and equal-slices seems necessary.  On one hand I worry a bit that the different measures might get out of control; on the other hand, the optimistic way to look at it is that we may eventually get so proficient at passing between measures that it’ll be a very useful tool., 820.2, One observation that makes me feel slightly less worried about passing from one measure to another is that you can start with equal-slices measure instead. Then as a first step you pass to uniform measure on a subspace. Then you carry out the argument as given (passing to a subspace of that subspace). And now you’ve ended up with the same measure that you started with.</t>
  </si>
  <si>
    <t>CTao_36165</t>
  </si>
  <si>
    <t xml:space="preserve">771. Moser(3), One solution of the (6,24,12,0,0) set is made of the following slices.
the other solutions would be reflections in one or more axes, </t>
  </si>
  <si>
    <t>C2432</t>
  </si>
  <si>
    <t>Ryan?</t>
  </si>
  <si>
    <t>Ryan, I’m not sure what you mean by “fill the wildcards by either (0,-1,0) or (0,+1,0)”.  Wouldn’t this always make x and z equal in a bridge?  Perhaps an example would clarify what you mean here.</t>
  </si>
  <si>
    <t>C2433</t>
  </si>
  <si>
    <t>818.2, Yes, the argument is distilled from your notes, though as you see I messed around with the notation quite a bit., The stationarity is sort of automatic if you work with random subspaces of a big space , and I am implicitly using it all over the place when rewriting one sort of average by another., I am indeed hoping that Cesaro averaging may be simpler to implement than IP averaging, and may save me from having to use Graham-Rothschild repeatedly.  There are a lot of things hidden in the sketch that may cause this to bubble up.  For instance, I am implicitly using the fact that certain shift operators  converge (in some Cesaro or IP sense) to an orthogonal projection, and this may require a certain amount of Graham-Rothschild type trickery (I started writing some separate notes on a finitary Hilbert space IP Khintchine recurrence theorem which will be relevant here.), I admit I’m a bit sketchy on how to deal with h not blowing up.  A key observation here is that of statistical sampling: if one wants to understand an average  of bounded quantities over a very large set H, one can get quite a good approximation to this expression by picking a relatively small number  of representatives of H at random and looking at the local average  instead.  (This fact substitutes for the fact used in the Furstenberg approach that Volterra integral operators are compact and hence approximable by finite rank operators; or more precisely, the Furstenberg approach needs the relative version of this over some factor Y.)  I haven’t worked out completely how this trick will mesh with the IP-systems involved, but I’m hoping that I can throw enough Ramsey theorems at the problem to make it work out., Perhaps one thing that helps out in the finitary setting that is not immediately available in the ergodic setting is that there are more symmetries available; in particular, the non-commutativity of the IP systems that makes the ergodic setup so hard seems to be less of an issue in the finitary world (the operations of flipping a random 0 to a 1 and flipping a random 0 to a 2 essentially commute since there are so many 0s to choose from).  There is a price to pay for this, which is that certain Ramsey theorems may break the symmetry and so one may have to choose to forego either the Ramsey theorem or the symmetry.  This could potentially cause a problem in my sketch; as I said, I have not worked out the details (given the progress on the Fourier side of things, I had the vague hope that maybe just the concepts in the sketch, most notably the concept of almost periodicity relative to a low influence factor, could be useful to assist the other main approach to the problem, as I am not particularly looking forward to rewriting my quantitative ergodic theory paper again.)</t>
  </si>
  <si>
    <t>C2434</t>
  </si>
  <si>
    <t>819.2:  Er, whoops.  You’re right.  Even easier then I thought 🙂  To make this problem more interesting, I think it will work if the triples allowed on wildcards are, say:  (-,0,-), (-,0,0), (+,0,0), (+,0,+)., But: a) this is not as nice-looking, and b) I think it’ll actually take slightly more work.  , So, um, never mind for now.</t>
  </si>
  <si>
    <t>C2435</t>
  </si>
  <si>
    <t>821. Here is (I believe) a simple proof of Terry’s most basic structure theorem. The setting is as follows:  is a finite set and  is a probability distribution on . We also write  for the product distribution on . We work in the space of functions  with inner product . Henceforth, all probabilities are wrt  unless specified. , Theorem: Let  have . Let . Let  be a sequence of “scales” (or “times”) satisfying the following conditions: (a)  for all ; (b) . , Then there exists  such that  can be written as , where:, 1. ., 2.  for all ; hence  has range  if  does (and then  has range )., 3. ., 4. , where  denotes the “average influence of “: i.e., , where  and  is formed by rerandomizing a random coordinate of ., 5. , where  denotes the “noise stability of  at “: i.e., , where  and  is formed by rerandomizing each coordinate of  with probability ., Proof in next post.</t>
  </si>
  <si>
    <t>C2436</t>
  </si>
  <si>
    <t>822.  Proof:  For simplicity I present the proof when  and  is the uniform distribution; to get the full version, replace the Fourier transform with the “Hoeffding AKA Efron-Stein orthogonal decomposition”. , For an interval  of natural numbers, let  denote . The condition  is equivalent to , and we will use this frequently. Now consider the intervals of the form . By hypothesis (a) these intervals are disjoint, and by hypothesis (b) there are at least  of them. By Pigeonhole, we can fix a particular  such that . Henceforth write , ., Now set  and . Conditions 1 and 2 are satisfied. Condition 4 holds because 
 and this is at most  because  for all . For Condition 3, 
 where 
 We have  so we can drop that term. We have  always so we get a contribution of at most  from the terms with . We also have  always so we get a contribution of at most  from the terms with . And the remaining terms have , so we get a contribution of at most  from them., The proof of Condition 5 is similar. We have 
 where 
 Again, . We have  always so we get a contribution of at most  from the terms with . We also have  always so we get a contribution of at most  from the terms with . And the remaining terms have  so we get a contribution of at most  from them. , 822.1  This looks about right to me.  The game is always to first use pigeonhole to find a nice big gap in the energy spectrum, and then use that gap to split f into opposing pieces.  (Sometimes one also needs a (small) third term to deal with the small amount of energy stuck inside the gap.), One thing that works in your favour here is that the averaging operators  are positivity preserving, so if f is positive then so is  (and related to this is a useful comparison principle: if f is pointwise bigger than g, then  is pointwise bigger than .)  Things get more tricky when one doesn’t have this positivity preserving property, because it is absolutely essential later on that  be non-negative.  In my paper with Ben we had to introduce the machinery of partitions and conditional expectations to deal with this.  One side effect of this is that it can force the scales to be exponentially separated (e.g. ) rather than just separated by a large constant depending only on ).  This leads to the type of tower-exponential bounds which are familiar from the regularity lemma.  Once we get to the fancier structure theorems, we may start seeing these sorts of bounds emerge, but I agree that in the simple case here we don’t have to deal with all that because of the handy  operators., Combining this with your notes that control the Sperner count by the noise stability, it looks like we have a pretty solid Fourier-analytic proof of DHJ(2), which was one of our early objectives (suggested first, I believe, by Gil)., 822.2: Yes, I think with slightly more work one can get an “Adequate-Sperner” Fourier proof; I think it will require density .  This is still not quite right, but is closer.</t>
  </si>
  <si>
    <t>C2437</t>
  </si>
  <si>
    <t>***IMPORTANT - this is duplicated in a post with a different author - keep this version</t>
  </si>
  <si>
    <t>822.1  This looks about right to me.  The game is always to first use pigeonhole to find a nice big gap in the energy spectrum, and then use that gap to split f into opposing pieces.  (Sometimes one also needs a (small) third term to deal with the small amount of energy stuck inside the gap.), One thing that works in your favour here is that the averaging operators  are positivity preserving, so if f is positive then so is  (and related to this is a useful comparison principle: if f is pointwise bigger than g, then  is pointwise bigger than .)  Things get more tricky when one doesn’t have this positivity preserving property, because it is absolutely essential later on that  be non-negative.  In my paper with Ben we had to introduce the machinery of partitions and conditional expectations to deal with this.  One side effect of this is that it can force the scales to be exponentially separated (e.g. ) rather than just separated by a large constant depending only on ).  This leads to the type of tower-exponential bounds which are familiar from the regularity lemma.  Once we get to the fancier structure theorems, we may start seeing these sorts of bounds emerge, but I agree that in the simple case here we don’t have to deal with all that because of the handy  operators., Combining this with your notes that control the Sperner count by the noise stability, it looks like we have a pretty solid Fourier-analytic proof of DHJ(2), which was one of our early objectives (suggested first, I believe, by Gil).</t>
  </si>
  <si>
    <t>C2438</t>
  </si>
  <si>
    <t>822.2: Yes, I think with slightly more work one can get an “Adequate-Sperner” Fourier proof; I think it will require density .  This is still not quite right, but is closer.</t>
  </si>
  <si>
    <t>C2439</t>
  </si>
  <si>
    <t>820.1.  Hi Tim — nice.  I read through the wiki proof and agree that it should be correct.  It is quite interesting how the passage between uniform and equal-slices seems necessary.  On one hand I worry a bit that the different measures might get out of control; on the other hand, the optimistic way to look at it is that we may eventually get so proficient at passing between measures that it’ll be a very useful tool.</t>
  </si>
  <si>
    <t>CTao_36171</t>
  </si>
  <si>
    <t>CTao_36158; CTao_36157</t>
  </si>
  <si>
    <t>what am I missing?</t>
  </si>
  <si>
    <t>772. Moser(3), Terry, in your writeup of Kristal’s proof, you said that any solution with d&gt;2 had at most 40 points.  From reading this blog and the wiki, I can only tell that such a solution has at most 41 points.  What have I missed?</t>
  </si>
  <si>
    <t>C2441</t>
  </si>
  <si>
    <t>small note</t>
  </si>
  <si>
    <t>823. Structure Theorem., A small note:  Unless I’m mistaken, the structure theorem around Lemma 1 in Terry’s wiki notes on Furstenberg-Katznelson — which decomposes functions on  into a 12-stable and a 12-sensitve part — can be proved in the same way as in #821.  , Specifically, employing Tim’s  notation, I think you just need to look at the expectation over  of the Fourier weight of  on the various intervals .  Here  denotes the restricted function, with 0’s fixed into , on binary inputs (1 and 2).  Everything seems to go through the same, using the fact that restricting functions with $U$ commutes with flipping 1’s and 2’s, and that ., 823.1. The weird  at the end here is meant to be “Var”., Fixed now — Tim.</t>
  </si>
  <si>
    <t>CTao_36174</t>
  </si>
  <si>
    <t>773. Oops, you’re right, which means that my strengthening of Kristal’s argument doesn’t quite work (at least for the problem of getting the bound 124 on the nose; it still works if one just wants to prove ).  I’ve readjusted the wiki appropriately.</t>
  </si>
  <si>
    <t>C2442</t>
  </si>
  <si>
    <t>820.2, One observation that makes me feel slightly less worried about passing from one measure to another is that you can start with equal-slices measure instead. Then as a first step you pass to uniform measure on a subspace. Then you carry out the argument as given (passing to a subspace of that subspace). And now you’ve ended up with the same measure that you started with.</t>
  </si>
  <si>
    <t>C2443</t>
  </si>
  <si>
    <t>also metacomment on the threading</t>
  </si>
  <si>
    <t>824.  DHJ(3) general strategy, I have a hunch, after looking at Van Vu’s quantitative version of Ajtai-Szemerédi, that it may be possible to strengthen the argument on the wiki to give the whole thing. If this were not a polymath project I would of course go away and try to make the idea work, keeping quiet if it didn’t and giving full details if it did. But it is polymath, so let me say in advance roughly what I hope will happen., In the corners problem, it is fairly easy to prove that a corner-free set has a density increment on a Cartesian product of two dense sets. The problem is what to do then. Ajtai and Szemerédi’s strategy is to use a more sophisticated averaging argument, making heavy use of Szemerédi’s theorem, to obtain a density increment on a highly structured Cartesian product: it is a product of two arithmetic progressions with the same common difference. , Initially, it looks very discouraging that they have to use Szemerédi’s theorem, but I now believe that that may just be an artificial byproduct of the fact that they are working in the grid and want to get another grid at the next stage of the induction. But in the Hales-Jewett world, you don’t actually need long arithmetic progressions anywhere, and I think the right analogue will in fact turn out to be multidimensional subspaces of . My actual idea is slightly more precise than this, but hard to explain. Basically, I want to revisit the argument on the wiki, but aim straight for a density increase on a subspace, modelling the argument as closely as I can on the Ajtai-Szemerédi argument for the corners problem., If that works, then it will probably give a tower-type bound. A follow-up project would then be to try to do a more powerful Shkredov-type argument to get a bounded number of exponentials. But I’m getting way ahead of myself by even discussing this., Let me also slip in a metacomment. I find it slightly inconvenient that, now that we have modest threading, I can’t just scroll to the bottom of the comments and see what has been added. As Jason Dyer pointed out, there is a trade-off here. On the one hand, it makes it slightly harder if you are trying to keep up with the discussion in real time, but on the other it probably means that the comments are better organized if you want to come back to them later. In the end, the second consideration probably trumps the first, because it’s a long-term convenience at the cost of a mild short-term inconvenience. But I still think that we should be quite careful about when and how much we use the threading.</t>
  </si>
  <si>
    <t>CTao_36182</t>
  </si>
  <si>
    <t>774.  Strategy for Moser(3), I think we have a decent shot at pushing the upper bound for  (currently at 127) all the way down to the lower bound of 124.  The idea is to exploit the numerically observed phenomenon that large four-dimensional slices (particularly those with 42 and 43 points) tend to have very large “c” values (points with two 2s) but very low “d” values (points with three 2s).  In particular, middle slices such as 2**** (if large) tend to have large “c”, and side slices such as 1**** or 3**** tend to have small “d”., But (as implicitly observed in Kristal’s argument) one middle slice’s “c” is another side slice’s “d”.  For instance, if the 2xxxx slice contains an element with two additional 2s, e.g. 21223, then this contributes a “d” point to the side slices *1*** and ****3.  More generally, double counting tells us that the total “c”‘s of all the five middle slices put together, is equal to 3/2 times the total “d”s of all the ten side slices put together.  By the pigeonhole principle, there must therefore exist one coordinate such that the “c” of the middle slice of that coordinate is at most 3/2 the sum of the “d” of the two side slices of that coordinate.  Without loss of generality we may assume this is the first coordinate; thus, c(2****) &lt;= 3/2   d(1****) + d(3****)    (1), where I use c(2****) to denote the “c” count of the 2**** slice (i.e. the number of points in this slice with two additional 2s), etc., The listing of 43 and 42-point slices tells us that for such slices, c is at least 12 and d is at most 2.  Comparing this with (1) we already see that not all slices can have 42 or more points, which already recovers our existing upper bound of 127=43+43+41.  But I think we can do better.  Firstly, it seems that having a lot of “d”s really does push down the total size of a slice.  In the extreme case, if d is equal to its maximal value of 8, then it is easy to see that c is at most 12, b is at most 8 (note for instance that at most one of 2111, 2133, 2313, 2331 can lie in the set if every point with 3 2s lie in the set), and a is at most 8, leading to only 36 points., Conversely, if c is really small (and d=e=0, which we know to be true for the middle slice), this also pushes down the size of a slice.  For instance, in the extreme case when c=0, the bound b+4a &lt;= 64 (coming from double counting lines such as 1111, 1112, 1113) and the trivial bound b &lt;= 32 gives at most 40 points in the slice., I’m hopeful that if we get good enough upper bounds on the size of slices for various small values of c or large values of d, we should be able to solve the problem.  (For comparison, in the 124-point examples given in 736, the middle slice is (8,32,0,0,0) (thus c=0) and the side slices are (1,16,24,0,0), (2,16,24,0,0) or (3,16,24,0,0) (thus d=0).)</t>
  </si>
  <si>
    <t>C2444</t>
  </si>
  <si>
    <t>825. Ajtai-Szemerédi approach., No time to justify this, or at least not for a few hours (and possibly not before tomorrow morning) but I am now very optimistic indeed that the Ajtai-Szemerédi approach to corners can be modified to give DHJ(3). As usual, this surge of optimism may be followed by a realization that there are some serious technical obstacles, but I think that the existing write-up of the complexity-1 correlation contains methods for dealing with the technicalities that will arise. I plan to write up (i) a sketch proof of Ajtai-Szemerédi on the wiki, (ii) an outline of an argument here on the blog (which will include the AS-to-DHJ(3) dictionary I will be using), and (iii) a detailed sketch of an argument on the wiki. Those are in decreasing order of probability that I can actually finish them without getting stuck.</t>
  </si>
  <si>
    <t>C2445</t>
  </si>
  <si>
    <t>823.1. The weird  at the end here is meant to be “Var”., Fixed now — Tim.</t>
  </si>
  <si>
    <t>C2447</t>
  </si>
  <si>
    <t>826.  Structure theorem, I now think there is a way to do the DHJ(2) structure theory without explicit mention of the Fourier transform (at the cost of worse quantitative bounds), which may be important when trying to extend the arguments to the DHJ(3) structure theory sketched in my wiki notes., The point is to replace the self-adjoint operators  that Ryan uses by a “one-sided” counterpart.  Given a function , and a parameter , let  be defined by , where y is formed from x by allowing each coordinate of x, with probability , of being overwritten by a 1.  (This is in contrast to Ryan’s rerandomisation, which would cause x to be overwritten by a random 0/1 bit rather than by 1.)
Informally, one can think of y as taking about  of the 0-bits of x (the exact number basically obeys a Poisson distribution) and flipping them to 1s., Observe that (x,y) always forms a combinatorial line.  Thus lower bounds on  imply lots of combinatorial lines in the support of f., The key observation is that the  are basically a semigroup (for  much smaller than n): .  In particular, if , we have the absorption property .  Because of this, one can show that the  converge (in the strong operator topology) to an orthogonal projection P; to see this finitarily, one would inspect the energies , which are basically monotone decreasing in , and locate a long gap in the energy spectrum in which these energies plateau in .  I think this gives us the same type of structure/randomness decomposition as before.  Note that for large ,  is approximately -invariant, which is basically the same thing as having low influence., correction: (x,y) form a combinatorial line most of the time; there is a degenerate case when x=y (analogous to the case of a degenerate arithmetic progression).  But for large lambda, this case is very rare and can be ignored.</t>
  </si>
  <si>
    <t>C2448</t>
  </si>
  <si>
    <t>correction: (x,y) form a combinatorial line most of the time; there is a degenerate case when x=y (analogous to the case of a degenerate arithmetic progression).  But for large lambda, this case is very rare and can be ignored.</t>
  </si>
  <si>
    <t>C2449</t>
  </si>
  <si>
    <t>827. Ajtai-Szemerédi, Just to say that the easy step of my three-step plan is now done: an informal write-up of the Ajtai-Szemerédi proof of the corners theorem can now be found on this wiki page. I have to go to bed now so parts (ii) and (iii) will have to wait till tomorrow.</t>
  </si>
  <si>
    <t>CTao_36188</t>
  </si>
  <si>
    <t>some notes added</t>
  </si>
  <si>
    <t>775 Moser:
I have typed some notes (to use Latex)  and have put them here:, Click to access mosertablogv01.pdf, This contains two parts:
1) A human proof that a Moser set in dimension 3 with centre point 222 contains at most 13 points. Earlier proved by KS Chua 766 (by computer)., 2) A sketch to prove that in dimension 4 a Moser set with centre 2222 contains at most 39 points. Proved earlier by Terry in 767.
Essentially I proved that the two missing pairs of antipodal points must be included
in sets of the form 22xy or xy22, which means I have localized them somewhat.  possibly one can squeeze more of the argument., Is there actually a set with 39 points? (those computer programmes that classified the
Moser sets with 43 points can possibly be adapted)., Perhaps the arguments prove useful for the discussions on dimension 5.</t>
  </si>
  <si>
    <t>C2453</t>
  </si>
  <si>
    <t>interesting question but causing headaches</t>
  </si>
  <si>
    <t>828.  Progress report, Part (ii) is, perhaps predictably, giving me a bit more of a headache. But it’s an interesting headache in that I am stuck on something that feels as though it shouldn’t be too hard. I don’t know how much time I’ll have to think about it, so let me say what the problem is., Call a subset  simple if whether or not  belongs to  depends only on the 1-set of . In set language, there is a set-system  such that  The question I’m struggling with is this. Let  be a dense subset of  that correlates with a dense simple set . Does that imply that there is a combinatorial subspace with dimension tending to infinity on which  has a density increment?, I cannot believe that this is a truly hard problem, but I haven’t yet managed to solve it. I think a solution would be very useful. Oh, and I really don’t mind what measure is used in any solution …, 828.1: What if  strings with an even number of 1’s?, 828.2:  Then take all sequences x such that   etc., and you have a combinatorial subspace of dimension  where the density has gone all the way up to 1. Were you imagining that wildcard sets had to have size 1? That is certainly not intended to be a requirement in my question. , 828.3, I can answer your question as “yes”, but in a totally unhelpful way: DHJ(3) implies that any dense set has a density increment on a large combinatorial subspace., Of course, the whole point is to find a DHJ(3)-free proof of this fact… I don’t currently have time to think about it right now, but I might look at it later., 828.4, Hmm, actually thinking about it a little bit there may be an energy-increment type proof., Firstly, one should be able to show that a 1-set contains lots of combinatorial subspaces where it is denser, by concatenating the 2 and 3-sets together and applying DHJ(2)., Next, one should be able to apply some sort of structure theorem to decompose an arbitrary set (or function) into a 1-set plus something orthogonal to 1-sets.  Actually one needs to mess around with scales and get a decomposition into a 1-set  at some large scale plus something  orthogonal to 1-sets at finer scales (in particular, it should have mean zero at finer scales).  (Let me be vague about what “scale” means, but every time you pass to a large combinatorial subspace, you’re supposed to descend one scale.), Now take the guy  which is a 1-set at a large scale and find lots of combinatorial subspaces in it at the finer scale where it is denser.  The guy  which is orthogonal to 1-sets at finer scale should not disrupt this density increment., Have to run, unfortunately… may flesh this out later, 828.5. Re 828.2:, Ah, no, I guess I was misunderstanding what a combinatorial subspace is.  I always think of this as, “fixing some of the coordinates and leaving the rest of them ‘free’.”  It had not occurred to me that one is also allowed to insist on things like “x_i = x_j”, although I now see that there is no reason not to.</t>
  </si>
  <si>
    <t>CTao_36195</t>
  </si>
  <si>
    <t>We can show that any line free configuration
Has 126 or less points, If there is a 42 or 43 in the center
Then the value is 125
Case 1
There are 17 or more points with 3 2’s and two 1 or 3’s one coordinate has all
2’s the 34 or more non two coordinates are divided among
four coordinates one must contain 9 or more but at most six can have
the one value so there will be at least three points with value one and
three with value 3 at that coordinate we slice at that coordinate
and get the slices associated with one and three
having three or more points with three 2’s and hence
having 41 points or less thus the value is 41 + 41 +43
Case 2 there is one remaining anamolous case which from
Note 771  contains
all points with two coordinates equal to
2 and two points equal to one of the values 1 or three
then the set of points 1122 1212 1221 3322 3232 3223 which is in every configuration of this case has three points
with value 1 and three with value 2 which have two twos in the center slice
and hence three 2’s overall we can slice at this coordinate and get by similar reasoning
to the above the two noncenter cubes having 41 points or less and hence
the entire configuration having 125 points or less, Now we assume we have a line free configuration with 127 points
Center must be 41
Then other two edges must be 43
Next we note that if the center slice
contains no point with 2 or more 2’s it must have 40
points or less and we are done
we use the inequality
for i less than j
mentioned in 759 for the center cube for i = 0
and j =1. Then it implies that a center slice
with no points with 2 or more twos can have at most
40 points. Now using the above
any configuration with 127  or more points
must have a slice in the center with 41 points or less
and also its center slice must contain at least one point with
two twos in the coordinates of the slice and three overall
(or else we have 43 + 43 +40 points and that is less than 127
and we are done) that slice must have one coordinate not equal
to 2 or else the configuration will have less than 127 points
we can slice along that coordinate and get one of the non-center
slices having a point with three coordinates equal to 2 and thus
having value less than or equal 42 now by the above the center slice
is 41 or less and we have less than 127 points at most 41 + 42
+43 is 126 points</t>
  </si>
  <si>
    <t>C2455</t>
  </si>
  <si>
    <t>***IMPORTANT - this is duplicated in a post with a different author</t>
  </si>
  <si>
    <t>828.1: What if  strings with an even number of 1’s?</t>
  </si>
  <si>
    <t>C2456</t>
  </si>
  <si>
    <t xml:space="preserve">828.2:  Then take all sequences x such that   etc., and you have a combinatorial subspace of dimension  where the density has gone all the way up to 1. Were you imagining that wildcard sets had to have size 1? That is certainly not intended to be a requirement in my question. </t>
  </si>
  <si>
    <t>C2457</t>
  </si>
  <si>
    <t>yes but in an unhelpful way; ***IMPORTANT - this is duplicated in a post with a different author</t>
  </si>
  <si>
    <t>828.3, I can answer your question as “yes”, but in a totally unhelpful way: DHJ(3) implies that any dense set has a density increment on a large combinatorial subspace., Of course, the whole point is to find a DHJ(3)-free proof of this fact… I don’t currently have time to think about it right now, but I might look at it later.</t>
  </si>
  <si>
    <t>C2458</t>
  </si>
  <si>
    <t>828.4, Hmm, actually thinking about it a little bit there may be an energy-increment type proof., Firstly, one should be able to show that a 1-set contains lots of combinatorial subspaces where it is denser, by concatenating the 2 and 3-sets together and applying DHJ(2)., Next, one should be able to apply some sort of structure theorem to decompose an arbitrary set (or function) into a 1-set plus something orthogonal to 1-sets.  Actually one needs to mess around with scales and get a decomposition into a 1-set  at some large scale plus something  orthogonal to 1-sets at finer scales (in particular, it should have mean zero at finer scales).  (Let me be vague about what “scale” means, but every time you pass to a large combinatorial subspace, you’re supposed to descend one scale.), Now take the guy  which is a 1-set at a large scale and find lots of combinatorial subspaces in it at the finer scale where it is denser.  The guy  which is orthogonal to 1-sets at finer scale should not disrupt this density increment., Have to run, unfortunately… may flesh this out later</t>
  </si>
  <si>
    <t>C2459</t>
  </si>
  <si>
    <t>828.5. Re 828.2:, Ah, no, I guess I was misunderstanding what a combinatorial subspace is.  I always think of this as, “fixing some of the coordinates and leaving the rest of them ‘free’.”  It had not occurred to me that one is also allowed to insist on things like “x_i = x_j”, although I now see that there is no reason not to.</t>
  </si>
  <si>
    <t>C2461</t>
  </si>
  <si>
    <t>motivation</t>
  </si>
  <si>
    <t>829.  Ajtai-Szemerédi, Let me try to explain the motivation for my simple-sets question. As I said earlier, I am trying to model a proof of DHJ(3) on the Ajtai-Szemerédi corners proof (an account of which is given here on the wiki). I have the following rough dictionary in mind., 1. A vertical line corresponds to a set of sequences (U,V,W) where you fix the 1-set U., 2. A horizontal line corresponds to a set of sequences (U,V,W) where you fix the 2-set V., 3. A line of slope -1, or diagonal, corresponds to a set of sequences (U,V,W) where you fix the 3-set W., 4. An arithmetic progression in n with length tending to infinity corresponds to a combinatorial subspace in  with dimension tending to infinity., 5. A subgrid with width tending to infinity corresponds to a combinatorial subspace of  with dimension tending to infinity., 6. A corner corresponds to a combinatorial line., That’s about it. So now let me say where the first problem arises when one tries to translate the AS proof to the DHJ(3) context. Obviously step 1 is fine: with any sensible model of a random combinatorial subspace you can assume that the density of A in that subspace is almost always at least , where  is the density of A., Step 2 says that if you have a positive density of vertical lines inside which A has density noticeably less than , then you also have a positive density of vertical lines inside which A has density noticeably greater than . If we let  be the set of x-coordinates associated with these vertical lines, then we can use Szemerédi’s theorem to get an arithmetic progression P of these “over-full” vertical lines, with small common difference. Then we can partition the horizontal lines into arithmetic progressions , each of which is a translate of , and by averaging we find a subgrid  inside which A has density noticeably larger than , which gives us a density increment and we’re done. (Of course, then one has to go on and say what happens if we don’t have a positive density of sparse vertical lines — this is, as I say, just the first step of the argument.), Let me gloss over the question of which measure I want to use: I feel that that is just a technicality and the main point is to get the conceptual argument working. If you accept item 1 in the dictionary, then the obvious first step is to define U to be underfull if the density of pairs (V,W) (out of all pairs such that (U,V,W) is a point in ) is noticeably less than . Then if there is a positive density of underfull U, then we have a positive density of overfull U as well. Now I don’t have a problem finding a nice big combinatorial subspace consisting entirely of overfull Us (which is what item 4 suggests I should be looking for) but I don’t then have a nice analogue of the fact that a Cartesian product of two APs with the same common difference is a grid. Or rather, maybe I do, but I’m not sure how to get at it. The analogue should be something like that if I have such a combinatorial subspace (by which I mean a system of sets  such that the elements of the system are all sets of the form  with 0 belonging to E), then on average the combinatorial subspaces that fix  and treat  as wildcards should be slightly too dense. But for a fixed combinatorial subspace this doesn’t seem to have to be true, so I need somehow to build a combinatorial subspace such that it is true., I can feel this explanation getting less clear as I proceed, but perhaps it’s at least clear globally what I want to do: the “simple set” is the set of all (U,V,W) such that U is overfull. So trivially A intersects it too densely. If we can get a density increment on a subgrid, then we’re done, which means that Step 3 is complete and we may assume that virtually no U are underfull. (Given the difficulties associated with this step, it’s not altogether clear that this statement is strong enough, but it would be encouraging. I might assume it and see what happens if I try to press on with the later steps.)</t>
  </si>
  <si>
    <t>C2462</t>
  </si>
  <si>
    <t>830. Combinatorial subspaces; 828.4 vs. 828.2., It seems to me that an argument along the lines in 828.4 at some point has to find combinatorial subspaces which include these  constraints, as in Tim’s 828.2.  If the combinatorial subspaces are just of the “fixing-some-coordinates” type then I’m not sure (yet) how to get around 828.1.  , But will arguments as in 828.4 actually produce such subspaces?</t>
  </si>
  <si>
    <t>C2463</t>
  </si>
  <si>
    <t>that's an interesting point</t>
  </si>
  <si>
    <t>831.  Finding combinatorial subspaces, Ryan, that’s an interesting point. The kind of arguments I had in mind are different though: they are inductive ones where you build a subspace up dimension by dimension, using Sperner’s theorem (or similar results) at each stage. A prototype for such an argument is the proof I sketched on the wiki of the basic multidimensional Sperner theorem. This argument leads naturally to larger wildcard sets.</t>
  </si>
  <si>
    <t>CTao_36197</t>
  </si>
  <si>
    <t>CTao_36188; Kristal</t>
  </si>
  <si>
    <t>777.  Moser(3), Thanks, Kristal!  Now we are down to .  I’ve written up your proof on the wiki., Christian: Thanks for the human proof of these facts; it is good to have independent confirmation of these things.  I’ve also linked your notes to the wiki.</t>
  </si>
  <si>
    <t>C2469</t>
  </si>
  <si>
    <t xml:space="preserve">***IMPORTANT </t>
  </si>
  <si>
    <t>832.2 , Actually I just got on here again to retract everything I said (I should think more carefully before posting). I now think, from the ergodic perspective, you trivially get a “measure increment” if 1_A correlates projects non-trivially onto the 02-rigid factor, for the reason that on fibers, the measure is not constant. Just pick a bunch of fibers on which the measure is too big and then a subspace on which you have intersection of those fibers (DJH (2)).</t>
  </si>
  <si>
    <t>C2466</t>
  </si>
  <si>
    <t>832.  Following up on 830, perhaps Randall or Terry would be able to answer: , Is there an analogue in the ergodic proof of restrictions to these subspaces with more than one “type” of wildcard?  (In other words, subspaces with these “” constraints?)  In my limited understanding of the ergodic proofs, the operators used therein seemed to be more aligned with just the simpler combinatorial subspaces., Ryan, I’m not sure I understand your question.  A k-dimensional combinatorial subspace is described by a word with k wildcards, but each wildcard can be used more than once.  For instance, xxyyzz21 would describe the three-dimensional subspace of  in which .  A combinatorial line is the case when k=1, so we have one wild card x, which can be used many times over., Are you meaning like how Moser’s has a wildcard that goes 1-2-3 while the other goes 3-2-1? So, generalizing, there would be six types of wildcards? (123, 132, 213, 312, 231, 321 — obviously certain combinations would be equivalent to Moser), To clarify further, any pair of distinct wildcards from those six (123, 132, 213, 312, 231, 321) will fix one element and permute the other two, so they are all equivalent to Moser. However, we could take all the way up to six different wildcards, resulting in lines I believe have never been named. For example, taking x = 123, y = 321 and z= 213, then a line formed with 11xyz would be 11132, 11221, 11313., Argh. There are pairs that don’t fix any of the elements, (123-231 for example) which would also be something different than Moser’s., 832.x.  Re Terry’s reply: Right, what I’m saying is, in my limited experience, I hadn’t noticed any ergodic-inspired finitary arguments that involved combinatorial subspaces with more than one type of wildcard.</t>
  </si>
  <si>
    <t>C2467</t>
  </si>
  <si>
    <t>C2465 or C2466??</t>
  </si>
  <si>
    <t>***IMPORTANT - this is duplicated on a post with a different author; fan of translating</t>
  </si>
  <si>
    <t>832.1, Yeah, a 1-set is what I would call a 02-low influence (in fact, a 02-zero influence) set, and it would correspond to a tau rho^{-1} invariant set in the ergodic theory language.  Tim’s approach actually deals with intersections of 1-sets and 2-sets (which we have been calling “complexity 1 sets”), which would be a combination of a 02-low influence and 01-low influence set, or a set in the factor generated by both the tau rho^{-1}-invariants and the sigma rho^{-1}-invariants.  (One may also want to throw in the 12-invariant sets for good measure.)  But never mind this distinction for now., Perhaps the place where Tim’s approach and the ergodic approach differ, though, is that Tim can always stop the argument as soon as a density increment is found on a large subspace, whereas this trick is not available in the ergodic world.  So I don’t think Tim needs the strong (and presumably false) claim that “functions orthogonal to complexity 1 sets have negligible impact on the combinatorial line count”.  He only needs the weaker claim that “if a set has no combinatorial lines, then it must have non-trivial correlation with a complexity 1 set”, combined with the (as yet not fully established) claim that “a set with non-trivial correlation with a complexity 1 set has a density increment on a large combinatorial subspace”.    , Hmm.  Maybe one thing to put on my “to do” list is to find an ergodic translation of Tim’s argument on the wiki that line-free sets correlate with complexity 1 sets.  (If you haven’t already noticed, I’m a big fan of translating back and forth between these two languages.)</t>
  </si>
  <si>
    <t>C2468</t>
  </si>
  <si>
    <t>Ryan, I’m not sure I understand your question.  A k-dimensional combinatorial subspace is described by a word with k wildcards, but each wildcard can be used more than once.  For instance, xxyyzz21 would describe the three-dimensional subspace of  in which .  A combinatorial line is the case when k=1, so we have one wild card x, which can be used many times over.</t>
  </si>
  <si>
    <t>C2470</t>
  </si>
  <si>
    <t>Are you meaning like how Moser’s has a wildcard that goes 1-2-3 while the other goes 3-2-1? So, generalizing, there would be six types of wildcards? (123, 132, 213, 312, 231, 321 — obviously certain combinations would be equivalent to Moser)</t>
  </si>
  <si>
    <t>C2482</t>
  </si>
  <si>
    <t>Randall measure increment</t>
  </si>
  <si>
    <t>Hopefully this issue will be resolved in a simpler way soon anyway, but could the “measure increment” observation I made in my last post be fashioned into a proof? In the regular F-K conversion they only cared about combinatorial lines, but presumably one could arrange that for any set I of words, if the intersection over I of T_w^{-1}C is non-empty, then you see a subspace-homomorphic image of I in the original set A you were dealing with. You could do this for 2 sets simultaneously, a 1-set A and a correlated set B. I am guessing that A would wind up associated with a set in your measure space that would be measurable with respect to the \tau\rho^{-1} rigid factor, and that B would wind up associated with a set that had non-zero projection onto that factor, and you would then wrap up the proof as indicated above. Of course you’d have to convert this to a combinatorial proof, which presumably Terry is good at (energy incrementation?) But again, one hopes it’s not that hard, or that something already suggested can be made to work….</t>
  </si>
  <si>
    <t>C2471</t>
  </si>
  <si>
    <t>To clarify further, any pair of distinct wildcards from those six (123, 132, 213, 312, 231, 321) will fix one element and permute the other two, so they are all equivalent to Moser. However, we could take all the way up to six different wildcards, resulting in lines I believe have never been named. For example, taking x = 123, y = 321 and z= 213, then a line formed with 11xyz would be 11132, 11221, 11313.</t>
  </si>
  <si>
    <t>C2472</t>
  </si>
  <si>
    <t>frustration</t>
  </si>
  <si>
    <t>Argh. There are pairs that don’t fix any of the elements, (123-231 for example) which would also be something different than Moser’s.</t>
  </si>
  <si>
    <t>C2473</t>
  </si>
  <si>
    <t>*** IMPORTANT</t>
  </si>
  <si>
    <t>832.2, Hmm, I tried my hand at translating Tim’s argument to ergodic theory, and it came out weird… in order to describe it, I have to leave the measure space X and work in a certain extension of it, vaguely analogous to the Host-Kra parallelopiped spaces  (or the Furstenberg self-joinings used in Tim Austin’s proof of convergence for multiple commuting shifts).  , It’s something like this: consider the space of all quadruples  in , where  is a word to the left of  (or maybe to the right; I may have the signs messed up).  There should somehow be a natural measure  associated to these quadruples, which I currently do not know how to define properly; each of the four projections of this measure to X should be the original measure .  , The last three points of this quadruple form a combinatorial line (I may have messed up the order of operations a bit).  So if A is line-free, the function  on  will have strong negative correlation with .  But the function  has a “02-invariance property” in the sense that it is insensitive to changes to , while the function  has a certain “01-invariance property” in the sense that it is insensitive to interchanges between  and .  So A is correlating with a combination of a 02-invariant set and a 01-invariant set, but the correlation only takes place in the extension  of  and the invariance seems to be a bit fancier than just -invariance or -invariance.</t>
  </si>
  <si>
    <t>CTao_36203</t>
  </si>
  <si>
    <t>778  Moser(3), Here is a Moser set containing (2222) of size 36.
0,2,3,5,7,9,11,15,17,19,21,23,24,26,27,29,33,35,36,38,40,
  41,46,48,50,52,55,58,60,62,64,66,68,70,76,79, It seems the upper bound of 39 is too high.
One can classify 13-point Moser containg (222) and 12 points.
Call a point odd if the sum of coordinates in (123-form) is odd and even
otherwise. Then the omitted antipodal must be odd ie. the omitted point is
either the corner or center of a side slice or the complement of this in the
middle slice., If there are only 2 omitted points in 3^4 Moser with center. They must together account for the four 2 in the center slices. The above rule out
the case when both have two 2.</t>
  </si>
  <si>
    <t>C2474</t>
  </si>
  <si>
    <t>833.  Fourier and Sperner, On a slightly different topic, I still haven’t given up hope of a “right” Fourier proof of Sperner’s theorem. On the wiki I have now written up an argument that almost gets there. The good news is that it gives a Fourier-type decomposition with the property that a suitable equal-slice-weighted sum of f(A)f(B) over all pairs  transforms into an expression where the contribution from every Fourier mode (when this claim is suitably interpreted) is positive. The bad news is that so far the only way I have of proving this positivity, which boils down to proving that a certain explicitly defined integral kernel is positive definite, is using an inverse Fourier argument, so I can’t quite claim that the proof is a Fourier proof of Sperner. But now that I know that this kernel is positive definite, I think it will be just a matter of time before one of us comes up with a direct proof, and then there will be a nice clean Fourier proof of Sperner (or at least, I think it would deserve to be called that).</t>
  </si>
  <si>
    <t>Tim.828</t>
  </si>
  <si>
    <t>834. Density increment, I think I can now prove Tim’s claim in 828, namely that a set that correlates with a 1-set has a density increment on a large dimensional subspace., First observe, by the greedy algorithm and DHJ(2), that if n is large enough depending on m and , then any dense subset A of  can be partitioned into m-dimensional subspaces, plus a residual set of density at most .  Indeed one just keeps using DHJ(2) to locate and then delete m-dimensional subspaces from the set.  Similarly, the complement of A can also be partitioned into m-dimensional spaces plus a residual set of density at most density at most ., Now, one should be able to pull this statement to  and show that if A is a dense 1-set of , then one can partition both A and its complement into m-dimensional subspaces, plus a residual of small density.  I’m not sure what “density” should mean here; equal-slices may be a better bet than uniform at this point., Now, if B is a dense set which correlates with a dense 1-set A, then by picking a moderately large m, picking  tiny compared to 1/m, and then n really large, we should be able to use the above partition and the pigeonhole principle to get a density increment of B on one of these m-dimensional subspaces.</t>
  </si>
  <si>
    <t>C2478</t>
  </si>
  <si>
    <t>C2476</t>
  </si>
  <si>
    <t>835.  Density increment, Terry, that’s similar to things I was trying, and I’m wondering whether it will run into similar difficulties. The point where I get stuck is where you say, “Now, one should be able to pull this statement to .” How might one do this? Well, given any combinatorial subspace in  you can easily define an associated combinatorial subspace in  by simply allowing the wildcards to take value 2 as well. (For convenience I am taking  and  And the result will be a collection of disjoint subspaces. But they won’t anything like partition  because so far all the fixed coordinates are 0 or 1. We can correct that by allowing the fixed coordinates that used to be 0 to be either 0 or 2, but I think that doesn’t get us out of the woods. , What one really needs to answer is the following question: given a sequence  in , to what combinatorial subspace does it belong? , Here’s an example. Suppose  and you are presented with  And suppose that one of the combinatorial subspaces you took in  was . Then you’d be forced to put  into , since its 1-set is contained in . But if you now allow the wildcards to take the value 2 as well, you can’t get ., 835.1  Maybe one could use a variant of the argument where having chosen the first wildcard set you then inductively cover evenly everything else. Sorry — that’s a bit vague but I have no time to clarify it just yet. In the above example, having chosen aa you might e.g. then partition into things like bcbc, bbcc, bccb, cbbb, etc. Except that even that wouldn’t be right because once you’d chosen your second wildcard set you’d play the same game with the third, fourth, etc. Sorry, that’s probably still completely unclear., I haven’t had time to test this yet, but would it help to triplicate the original set into a 9-uniform hypergraph (with subgraphs A, B, and C) such that subgraph A uses 0 or 2, B uses 0 or 1, and C uses 1 or 2?, Then somehow before the last step everything would need to be recombined into the original graph., 835.3   Jason, I’m not sure I follow what you are saying here., Hopefully this issue will be resolved in a simpler way soon anyway, but could the “measure increment” observation I made in my last post be fashioned into a proof? In the regular F-K conversion they only cared about combinatorial lines, but presumably one could arrange that for any set I of words, if the intersection over I of T_w^{-1}C is non-empty, then you see a subspace-homomorphic image of I in the original set A you were dealing with. You could do this for 2 sets simultaneously, a 1-set A and a correlated set B. I am guessing that A would wind up associated with a set in your measure space that would be measurable with respect to the \tau\rho^{-1} rigid factor, and that B would wind up associated with a set that had non-zero projection onto that factor, and you would then wrap up the proof as indicated above. Of course you’d have to convert this to a combinatorial proof, which presumably Terry is good at (energy incrementation?) But again, one hopes it’s not that hard, or that something already suggested can be made to work…., Huh, so the pullback of a combinatorial subspace of  to  is not a combinatorial subspace.  That’s a bit weird.  I agree that my previous comment doesn’t quite work as stated then., However, it does seem that the pullback of a combinatorial subspace of  is an “average” of combinatorial subspaces of  (or what Gil would call a “fractional cover”).  Basically, there is a random way to convert a 2-dimensional subspace e.g. 01aa01bbb10ccc to a 3-dimensional subspace by randomly converting 0s to 0s or 2s, and a wildcard such as a to a, 0, or 2.  One has to carefully select the probability measures here (in particular, to make choices between equal slices and uniform) to make everything work, but perhaps it can be pulled off.  (One may also want to ensure that each wildcard appears a lot of times so that when one pulls back, one (with very high probability) doesn’t accidentally erase all copies of any given wildcard.)  As Gil observed, if you can fractionally cover most of a set A and its complement by large combinatorial subspaces, and B has a large correlation with A, then B has a density increment on one of these subspaces., No, that’s rubbish, I take it back; the pullback of, say, aa, is the set {00, 11, 12, 21, 22}, and I can’t cover that space by lines.    Strange., 835.5 I was meaning based on “allowing the fixed coordinates that used to be 0 to be either 0 or 2” you have two more subspaces where:, coordinates that used to be a 0 are either 1 or 2, and coordinates that used to be a 0 are a 1
and
coordinates that used to be a 0 are either 0 or 1, and coordinates that used to be a 1 are a 2., However, I have not been able to get anything useful out of this.</t>
  </si>
  <si>
    <t>C2479</t>
  </si>
  <si>
    <t>835.1  Maybe one could use a variant of the argument where having chosen the first wildcard set you then inductively cover evenly everything else. Sorry — that’s a bit vague but I have no time to clarify it just yet. In the above example, having chosen aa you might e.g. then partition into things like bcbc, bbcc, bccb, cbbb, etc. Except that even that wouldn’t be right because once you’d chosen your second wildcard set you’d play the same game with the third, fourth, etc. Sorry, that’s probably still completely unclear.</t>
  </si>
  <si>
    <t>CTao_36216</t>
  </si>
  <si>
    <t>779. Moser(3)
After waiting for some fre time on a Linux-cluster I have now constructed the 41 point solutions. There are quite a few of them, 2 765 200.
Here are the statistics for the number of 2:s, Click to access Moser-41-stat.pdf, and here are the solutions.
http://abel.math.umu.se/~klasm/solutions-4-t=3-41-moser.gz
In order to make thing more compact each point is now given by its number in the lexicografic ordering and solutions are separated by a line with a single “Y”.</t>
  </si>
  <si>
    <t>CTao_36217</t>
  </si>
  <si>
    <t>CTao_36216; CTao_36182</t>
  </si>
  <si>
    <t>780 Moser (3)., Thanks Klas!  Scanning through the statistics, I see two things which look quite encouraging:, 1.  d is always small; the largest value of d among any 41-point set is at most 3 (and in fact is at most 2, with just one family of 256 exceptions).  , 2.  c is usually large.  There are 16 anomalous solutions with c=6 (which are worth taking a closer look at), but everyone else has c at least 11., Inserting this into my equation (1) from 774, we see that not all of the three slices here can have 41 or more points, unless the middle slice is one of the 16 anomalous c=6 solutions, and in the latter case the other two slices can’t have 43 points (because then they won’t contribute enough d’s to (1)).  Unfortunately this is not enough to improve the 126 upper bound because of the 43+40+43 and 40+43+43 cases, but we understand the 43 point slices pretty well and so perhaps we can do something else to eliminate these cases also.  For instance, if (1) holds and we are in the 43+40+43 case then d(1****)=d(3****)=0 and so c(2****)=0, which forces b(2****)=32 and a(2****)=8, which is looking pretty incompatible with the 43-point slices, though I cannot rule them out completely yet.</t>
  </si>
  <si>
    <t>CTao_36224</t>
  </si>
  <si>
    <t>781. Moser(3)
I let a script run during the evening to pick out some of the more interesting solutions. The flies are in the original format., Here are the solutions with c=6
http://abel.math.umu.se/~klasm/moser-n=3-t=3-41-c=6.gz, Here are the solutions with d=1
http://abel.math.umu.se/~klasm/moser-n=3-t=3-41-d=1.gz
the solutions with d=2
http://abel.math.umu.se/~klasm/moser-n=3-t=3-41-d=2.gz
the solutions with d=3
http://abel.math.umu.se/~klasm/moser-n=3-t=3-41-d=3.gz</t>
  </si>
  <si>
    <t>C2480</t>
  </si>
  <si>
    <t>I haven’t had time to test this yet, but would it help to triplicate the original set into a 9-uniform hypergraph (with subgraphs A, B, and C) such that subgraph A uses 0 or 2, B uses 0 or 1, and C uses 1 or 2?, Then somehow before the last step everything would need to be recombined into the original graph.</t>
  </si>
  <si>
    <t>C2481</t>
  </si>
  <si>
    <t>835.3   Jason, I’m not sure I follow what you are saying here.</t>
  </si>
  <si>
    <t>C2540</t>
  </si>
  <si>
    <t>Gowers_12</t>
  </si>
  <si>
    <t>partial claim</t>
  </si>
  <si>
    <t>Terry will answer this far more fully at some point but in the meantime I will say this much: once m is fixed, the positive probability that V(w) lies in A’ is bounded below by something like \delta^{2^m} and the size of the \alpha_i can be safely bounded above by some finite amount….</t>
  </si>
  <si>
    <t>C2483</t>
  </si>
  <si>
    <t>polymath mode = think online rather than offline</t>
  </si>
  <si>
    <t>836   Density increment, I’m going to return to full polymath mode and think online rather than offline, concentrating on the problem of getting a density increment on a subspace if you already have one on a simple set. (Recall that I am defining a simple set to be a set  of sequences x of the form  Since I’ll be talking about  quite a bit, it will be natural to take  and  Set theorists would no doubt approve., I am aiming for an inductive construction. That is, I want to fix some coordinates and choose a wildcard set in such a way that I am not dead. To say that more precisely, the assumption we are given to start with is that for every  the density of points  is at least . I would now like to find a disjoint quadruple  that does not partition , or even come close to doing so, and I would like the following to be the case. Let  be the complement of . Then there are many  such that the density of  with  is at least  (or perhaps very slightly less), and the same is true, with the same , if we move  over to  or ., I’ve got to go in a moment, but it occurs to me that one might be able to get away with less. I’ve tried to choose a 1-dimensional subspace  such that for many  the density is good for every assignment of the wildcards. But perhaps it’s enough just to get the average density good when we set the wildcards, and perhaps that’s easier to prove., Incidentally, here’s a problem that ought to count as a first exercise. To make sense of it, we need to go for a functional version. So let’s suppose that  is a function of mean  and suppose that there is a dense set system  such that for every  the average of  over all  that make a point with  is at least . Can we find a combinatorial line on which  averages at least  (where  is  say)?, Of course, we can do it by quoting DHJ(3) but is there an elementary proof?, That’s all I’ve got time for for now., 836.1  Just to be clear, to make sense of that last problem, one should either use equal-slices measure or ask for  to be dense in the probability measure where each element of a set is chosen independently with probability .</t>
  </si>
  <si>
    <t>C2484</t>
  </si>
  <si>
    <t>836.1  Just to be clear, to make sense of that last problem, one should either use equal-slices measure or ask for  to be dense in the probability measure where each element of a set is chosen independently with probability .</t>
  </si>
  <si>
    <t>C2485</t>
  </si>
  <si>
    <t>that's weird</t>
  </si>
  <si>
    <t>Huh, so the pullback of a combinatorial subspace of  to  is not a combinatorial subspace.  That’s a bit weird.  I agree that my previous comment doesn’t quite work as stated then., However, it does seem that the pullback of a combinatorial subspace of  is an “average” of combinatorial subspaces of  (or what Gil would call a “fractional cover”).  Basically, there is a random way to convert a 2-dimensional subspace e.g. 01aa01bbb10ccc to a 3-dimensional subspace by randomly converting 0s to 0s or 2s, and a wildcard such as a to a, 0, or 2.  One has to carefully select the probability measures here (in particular, to make choices between equal slices and uniform) to make everything work, but perhaps it can be pulled off.  (One may also want to ensure that each wildcard appears a lot of times so that when one pulls back, one (with very high probability) doesn’t accidentally erase all copies of any given wildcard.)  As Gil observed, if you can fractionally cover most of a set A and its complement by large combinatorial subspaces, and B has a large correlation with A, then B has a density increment on one of these subspaces.</t>
  </si>
  <si>
    <t>C2486</t>
  </si>
  <si>
    <t>No, that’s rubbish, I take it back; the pullback of, say, aa, is the set {00, 11, 12, 21, 22}, and I can’t cover that space by lines.    Strange.</t>
  </si>
  <si>
    <t>C2487</t>
  </si>
  <si>
    <t>***IMPORTANT</t>
  </si>
  <si>
    <t>835.5 I was meaning based on “allowing the fixed coordinates that used to be 0 to be either 0 or 2” you have two more subspaces where:, coordinates that used to be a 0 are either 1 or 2, and coordinates that used to be a 0 are a 1
and
coordinates that used to be a 0 are either 0 or 1, and coordinates that used to be a 1 are a 2., However, I have not been able to get anything useful out of this.</t>
  </si>
  <si>
    <t>C2488</t>
  </si>
  <si>
    <t>aha moment</t>
  </si>
  <si>
    <t>"asymptotic commutativity"</t>
  </si>
  <si>
    <t>837. Density increment, Randall, I think the problem we’re seeing in the combinatorial world (that the pullback of a -combinatorial subspace is not a -combinatorial subspace) is reflected in the ergodic world that the  IP-system does not commute with the  IP-system, and so DHJ(2) for the -invariant factor does not seem to quite give us what we want (applying  to a bunch of -fibers does not give another bunch of -fibers)., Ahh, but there’s some sort of “asymptotic commutativity” if one separates the 01 interchange and 02 interchange operations sufficiently.  Let me think about this…, 837.2  , OK, I think I can make Randall’s argument work.  In order to exploit asymptotic commutativity, I first need to weaken the notion of a 1-set to a “local 1-set”, which is a 1-set on large slices of ; more precisely, A is a local 1-set if there exists a small set  of “bad” coordinates such that whenever one fixes those coordinates (thus reducing the n-dimensional cube to an -dimensional cube), the slice of A is a 1-set.  (Equivalently, A is insensitive to 0-2 interchanges on coordinates outside of I, but could be extremely sensitive to such changes within I).  Every global 1-set is a local 1-set, but not conversely. , Suppose a set B has a density increment with a global 1-set A of non-trivial size.  Then by a greedy algorithm, we can find a local 1-set A’ of non-trivial size on which B has a “near-maximal density increment” with B in the sense that any other local 1-set A” (with perhaps slightly more bad coordinates than A’, and not too much smaller than A’) does not have a significantly higher B-density than A’ did.  (There will be a lot of parameter juggling to sort out to quantify everything here; I will ignore this issue here.), OK, let’s look at the local 1-set A’, which has a small number of bad coordinates I’.  Let m be a medium sized number.  Pick m random small wildcard sets  (which with high probability will be disjoint from each other, and from I’)., If we then pick a word w at random from , then by DHJ(2.5) and the local 1-set nature of A’, with positive probability, the combinatorial space  of  elements formed by taking w and overwriting each of  with 0s, 1s, or 2s, will lie in A’.  Call the set of w that do this good., The key point is that the set A” of good w is itself a local 1-set outside of the bad coordinates .  And so by hypothesis, B enjoys essentially the same density increment on A” that it did on A’.  But on the other hand, A” is the union of (parallel) m-dimensional combinatorial subspaces, and so we get an density increment on one of these spaces., small correction: V(m) should of course have  elements, not .  (DHJ(2.5) places  of the elements of  inside A’, and the local 1-set nature of A’ then automatically extends this membership of A’ to the rest of .)</t>
  </si>
  <si>
    <t>C2489</t>
  </si>
  <si>
    <t>C2485 ?</t>
  </si>
  <si>
    <t>something to ponder</t>
  </si>
  <si>
    <t>Ahh, but there’s some sort of “asymptotic commutativity” if one separates the 01 interchange and 02 interchange operations sufficiently.  Let me think about this…</t>
  </si>
  <si>
    <t>C2490</t>
  </si>
  <si>
    <t>837.2  , OK, I think I can make Randall’s argument work.  In order to exploit asymptotic commutativity, I first need to weaken the notion of a 1-set to a “local 1-set”, which is a 1-set on large slices of ; more precisely, A is a local 1-set if there exists a small set  of “bad” coordinates such that whenever one fixes those coordinates (thus reducing the n-dimensional cube to an -dimensional cube), the slice of A is a 1-set.  (Equivalently, A is insensitive to 0-2 interchanges on coordinates outside of I, but could be extremely sensitive to such changes within I).  Every global 1-set is a local 1-set, but not conversely. , Suppose a set B has a density increment with a global 1-set A of non-trivial size.  Then by a greedy algorithm, we can find a local 1-set A’ of non-trivial size on which B has a “near-maximal density increment” with B in the sense that any other local 1-set A” (with perhaps slightly more bad coordinates than A’, and not too much smaller than A’) does not have a significantly higher B-density than A’ did.  (There will be a lot of parameter juggling to sort out to quantify everything here; I will ignore this issue here.), OK, let’s look at the local 1-set A’, which has a small number of bad coordinates I’.  Let m be a medium sized number.  Pick m random small wildcard sets  (which with high probability will be disjoint from each other, and from I’)., If we then pick a word w at random from , then by DHJ(2.5) and the local 1-set nature of A’, with positive probability, the combinatorial space  of  elements formed by taking w and overwriting each of  with 0s, 1s, or 2s, will lie in A’.  Call the set of w that do this good., The key point is that the set A” of good w is itself a local 1-set outside of the bad coordinates .  And so by hypothesis, B enjoys essentially the same density increment on A” that it did on A’.  But on the other hand, A” is the union of (parallel) m-dimensional combinatorial subspaces, and so we get an density increment on one of these spaces.</t>
  </si>
  <si>
    <t>C2491</t>
  </si>
  <si>
    <t>small correction: V(m) should of course have  elements, not .  (DHJ(2.5) places  of the elements of  inside A’, and the local 1-set nature of A’ then automatically extends this membership of A’ to the rest of .)</t>
  </si>
  <si>
    <t>C2492</t>
  </si>
  <si>
    <t>832 Terry reply</t>
  </si>
  <si>
    <t>832.x.  Re Terry’s reply: Right, what I’m saying is, in my limited experience, I hadn’t noticed any ergodic-inspired finitary arguments that involved combinatorial subspaces with more than one type of wildcard.</t>
  </si>
  <si>
    <t>C2493</t>
  </si>
  <si>
    <t>838. Structure Theorems; specifically, question for Terry re #826:, Terry, could you clarify on your statement therein, “the energies … are basically monotone decreasing in “?, Suppose  is of the form , where  is a nonnegative increasing function.  Doesn’t it seem as though  will be increasing in ?, 838.1 The nonparsing formula there is . Now fixed — Tim, 838.2, Ryan, I guess one should specify that f should be bounded within -1,1, and “basically” means “up to o(1) errors, and with  small compared with “., In your example h should also be bounded between -1,1.  In that case, flipping  0’s to 1’s will only have an effect of increasing f by  or so on average., The reason for the monotone decrease is because of the absorption formula .  Since  is basically a contraction for  (though it does cease to contract for large , of course), we see that ., I guess the “local” picture (small ) is looking a bit different from the “global” picture.  Locally, the operation of flipping 0s to 1s is a measure-preserving operation; globally, of course, it isn’t.  (Tragedy of the commons!)</t>
  </si>
  <si>
    <t>C2494</t>
  </si>
  <si>
    <t>838.1 The nonparsing formula there is . Now fixed — Tim</t>
  </si>
  <si>
    <t>C2495</t>
  </si>
  <si>
    <t>838.2, Ryan, I guess one should specify that f should be bounded within -1,1, and “basically” means “up to o(1) errors, and with  small compared with “., In your example h should also be bounded between -1,1.  In that case, flipping  0’s to 1’s will only have an effect of increasing f by  or so on average., The reason for the monotone decrease is because of the absorption formula .  Since  is basically a contraction for  (though it does cease to contract for large , of course), we see that ., I guess the “local” picture (small ) is looking a bit different from the “global” picture.  Locally, the operation of flipping 0s to 1s is a measure-preserving operation; globally, of course, it isn’t.  (Tragedy of the commons!)</t>
  </si>
  <si>
    <t>C2496</t>
  </si>
  <si>
    <t>Terry826; 800, 815, 821</t>
  </si>
  <si>
    <t>839. Fourier proof of Sperner.  , I semi-checked to myself that one can prove Sperner by increment-free, purely Fourier arguments. One uses:
. the structure theorem (#821).
. Mossel’s “Lemma 6.2” to handle the  and  parts.
. the triangle inequality argument (#815) to handle the  parts., However, this argument is still quite unsatisfactory to me.  For one, it requires .  For another, it requires selecting the parameter called  in #800 (equivalently,  in Terry’s #826) after using the Structure Theorem.  And most “wrongly”, this parameter must be ., In particular, the following theorem is true (I’m 99% sure, at least; proof by “pushing shadows around with Kruskal-Katona”) — however, I don’t think we have any Fourier-based proof at all:, Theorem: Let  have density .  Fix , , where  is, say, .  (Or set  if you like.) Then , where I’m using the notation from Tim’s wiki entry.</t>
  </si>
  <si>
    <t>C2497</t>
  </si>
  <si>
    <t>comment numbering doesn't limit thread length necessarily</t>
  </si>
  <si>
    <t>Metacomment., One side effect of the threaded system is that we hit 100 comments long before the number assigned to the comments increases by 100; we’re at 838 now but the thread is already longer than most of the other threads.  Perhaps we may wish to renew this thread well before 899 (e.g. at 850)?</t>
  </si>
  <si>
    <t>C2498</t>
  </si>
  <si>
    <t>tiny comment</t>
  </si>
  <si>
    <t>840.  Sperner.  , This is very tiny comment.  I just wanted to point out that one can prove the “correct” density-Sperner Theorem under the uniform distribution, in the same way Tim proves it under the equal-slices distribution.  , Assume  under the uniform distribution.  Pick a random chain  from (0, 0, …, 0) up to (1, 1, …, 1) and then choose  Binomial, independently.  Define , the th string in the chain, and .  Then , as  is uniformly distributed., So we have a distribution on pairs of strings  such that  and  both have the uniform distribution, and such that they form a nondegenerate “line” with probability at least ., PS: If someone wants to express  here in terms of Fourier coefficients, I’d be very happy to see it., 840.1  Ryan, I’m not sure how tiny that comment is, and must think about it. Maybe it will turn out that putting the binomial distribution on maximal chains is always more convenient than putting equal-slices measure on the cube. And clearly this same trick works for . This feels to me like a potentially useful further technique to add to our armoury, and when I get the chance I think I’ll add something about it to the wiki. , I agree that the Fourier calculation looks more or less compulsory. And something that’s rather nice about this measure is that it combines the uniform distribution on  with a very natural non-uniform distribution on combinatorial lines, so it provides a potential answer to a question we were trying to answer way back in the Varnavides thread. Indeed, another exercise we should do is prove a Varnavides-type version of DHJ(3) for this measure on the combinatorial lines (given DHJ(3) itself)., Oh no wait a moment — it’s not obvious how to generalize to DHJ(3) because we don’t have an analogue of maximal chains. This is something else to think about.</t>
  </si>
  <si>
    <t>C2499</t>
  </si>
  <si>
    <t>move techniques from here to another problem</t>
  </si>
  <si>
    <t>841. A problem where some of the techniques developed here are potentially useful., Let  be a monotone Boolean function. Let  be the integral of the influence of the k-th variable w.r.t. the probability measure . ( is called the “Shapley value” of .) Let  be a fixed small real number and let T be the difference between p-q where p is the value for which the probability that  is 1 is  and q is the value for which the probability that  is 1 is . (T is called the length of the “threshold interval for .) , It is known that if all  then T is small as well. The known bound is . The proof relies on connecting the influences for different  of s. It looks that one  could be eliminated and that a more careful understanding of the relation between influences and other properties of  for different values of  may be useful.</t>
  </si>
  <si>
    <t>CTao_36241</t>
  </si>
  <si>
    <t>curse the spam filter</t>
  </si>
  <si>
    <t>Did my posting of the low-c solutions just get stuck in the spam filter or did it  disappear?  It got stuck in the spam filter – I think any comment which has too many hyperlinks in it gets flagged as spam. I’ve fished it out.  -T.</t>
  </si>
  <si>
    <t>C2500</t>
  </si>
  <si>
    <t>duplicated? potential pivot?</t>
  </si>
  <si>
    <t>840.1  Ryan, I’m not sure how tiny that comment is, and must think about it. Maybe it will turn out that putting the binomial distribution on maximal chains is always more convenient than putting equal-slices measure on the cube. And clearly this same trick works for . This feels to me like a potentially useful further technique to add to our armoury, and when I get the chance I think I’ll add something about it to the wiki. , I agree that the Fourier calculation looks more or less compulsory. And something that’s rather nice about this measure is that it combines the uniform distribution on  with a very natural non-uniform distribution on combinatorial lines, so it provides a potential answer to a question we were trying to answer way back in the Varnavides thread. Indeed, another exercise we should do is prove a Varnavides-type version of DHJ(3) for this measure on the combinatorial lines (given DHJ(3) itself)., Oh no wait a moment — it’s not obvious how to generalize to DHJ(3) because we don’t have an analogue of maximal chains. This is something else to think about.</t>
  </si>
  <si>
    <t>C2501</t>
  </si>
  <si>
    <t>C2497; C2383</t>
  </si>
  <si>
    <t>shorter threads &amp; online journal</t>
  </si>
  <si>
    <t>Metacomments., 1. Terry I agree that with threading we need shorter threads, if you’ll excuse the dual use of the word “thread”. Let’s indeed go for 850. , 2. The other thing is that I’ve been meaning to say for ages that I loved your notion that the wiki could be thought of as an online journal of density Hales-Jewett studies, and the discussions as weekly conferences.</t>
  </si>
  <si>
    <t>C2502</t>
  </si>
  <si>
    <t>837.2; 829</t>
  </si>
  <si>
    <t>842. General remark, I have a very non-mathematically busy day today, so I’ve got time for just one brief post. First, let me say that I’m quite excited by Terry’s 837.2. I haven’t fully digested it yet but I have partially digested it enough to see that it is very definitely of the sort of flavour I was hoping for. It’s frustrating not to be able to spend a few hours today playing around with the argument. And then tomorrow and Tuesday I have two heavy teaching days., So instead, let me throw out a small thought/question. Recall that in the dictionary I gave in 829, long arithmetic progressions go to combinatorial subspaces in . Therefore, if the general plan of modelling an argument on Ajtai-Szemerédi works, it will have to give a new proof of the corners theorem that is similar to their proof but avoids the use of Szemerédi’s theorem. As I’ve already explained, that sounds discouraging at first, but I think it may in fact not be. But I’ve subsequently realized that these thoughts lead inexorably to a suggestion that Jozsef made, way back in comment 2 (!), that one should look at a generalization of the corners problem in which you don’t have long APs in the two sets of which you take the Cartesian product. Maybe the time is ripe for having a go at that problem, and in particular seeing whether the Ajtai-Szemerédi approach can be pushed through for it.</t>
  </si>
  <si>
    <t>CTao_36246</t>
  </si>
  <si>
    <t>782.  Any line free configuration has 125 or less points. ,      The center slice is less than 42 because we have shown that a center slice of 42 or more means a total of 125 points or less.,      The center slice is 40 or more since if it is 39 or less the total is at most 125., Then the center is 40 or 41  and we have two cases with the center 40 or 41 and the sum 125
43 40 43
43 41 42
let us first look at the case in which the center is 41., Now this must have a point p with 3 2’s in the center slice since 4a + b must be less than
64 and b must be 32 or less so if it is not then there are only 40 points in the center
slice.  Then we can slice on one of the coordinates of p not equal to two
and get a non-center cube with 42 points with a point with with three twos or a point a non-center
cube with 41 points which together with the center cube in the new slice
which must have 41 points gives a total of 125 or less 41 43 or 41 41 43 but this 125 and we are done.
So we must have a side cube with 42 points and two points with three two’s
and I have checked all cases of these 42 point configurations
they are available at http://abel.math.umu.se/~klasm/moser-n=4-42-e=2
and in each case the two points  with three twos have a coordinate at which one point has a one and the other a three
so we can slice at this coordinate and we get two noncenter cubes that must have at least one point with
three coordinates equal to 2 and hence the these two cubes
must have value 42 or less and since the center cube has value
41 we have a total of 125 and we are done with this case., the only case left is one in which the center is 40 and the remaining cubes
are 43 now we divide this into two cases
first the center contains a point with two threes
then we can cut at a coordinate at which this point is not two
and force the case 43 41 42 which we have just done., now it must a 43 40 43 division must occur in every slice
or we are back to the previous case
since 4a + b must be less than
64 and b must be 32 or less
we must have all 32 points with one two must be in the center slice
and all 32 points must be in all center slices so
we must have all points with exactly two coordinates equal to 2 in the configuration., Now we note that in the division of the configuration into cubes with each cube corresponding to a fixed choice
of the first two coordinates we have the following all the points with first two coordinates equal to
one of 1 or 3( there are four of these) must have the center cube occupied hand hence by must have 13 or less see post 775
points the center cube can only have 8 points as the remaining points have 3 or more twos, the remaining cubes
can have at most 16 points this gives a total of 4*13 + 8 +4*16 = 124 and we are done.</t>
  </si>
  <si>
    <t>CTao_36248</t>
  </si>
  <si>
    <t>783. Moser(3), Kristal,  I’ve written up most of your proof on the wiki, but I had trouble with the last paragraph.  I agree that the only case left is when all slices are 43+40+43, and that the 126-point set contains every point with two 2s, and no point with three or more 2s.  But I don’t think that this implies that the corner slices 11***, 13***, 31***, 33*** contain their center.  Instead, they seem to contain all six points with two 2s, and perhaps half of the 12 points with one 2 and at most 2 of the 8 points with no 2s (because we can divide these 8 points into two quadruplets ***=111,133,313,331 and ***=333,311,131,113, each of which can have at most one point), leading to as many as 14 points which is not quite good enough., We are beginning to brush up against the sphere packing problem that Michael observed back in 737, 738.  Once we have all of the 80 points in  with exactly two 2s, we have at most 40 of the 80 points with one 2, and we have to show that there are at most 4 points (or 5 points, if one is willing to settle for the 125 upper bound) remaining amongst the 32 points with no 2s.  Note that any two points in this final component cannot differ in exactly two positions, but they may possibly differ in one position, so it isn’t quite a classical sphere packing problem here.</t>
  </si>
  <si>
    <t>C2503</t>
  </si>
  <si>
    <t>C2500; C2498</t>
  </si>
  <si>
    <t>explanation</t>
  </si>
  <si>
    <t>843.  Measures:, One reason I said the comment in #840 is tiny is that I’m finally starting to catch up the fact (well known to the rest of you, I think) that if you don’t mind density increment arguments (and we certainly don’t!) then the underlying probability measure is quite unimportant.  Or rather, you can pass freely between any “reasonable” measures, using the arguments sketched here on the wiki.  , In fact, I think “equal-slices” is a good “base measure” to always return to.  It has the nice feature that if you have equal-slice density , by density-increment arguments you can assume that you have density very nearly  under almost all product measures.</t>
  </si>
  <si>
    <t>C2504</t>
  </si>
  <si>
    <t>844.  Density increment / the problem from #828:, What if  a random simple set in  of density , meaning that its  is a random set of density  under the -biased distribution?, How should we try to find a combinatorial subspace to increment on?, (Perhaps we shouldn’t; perhaps instead we should exploit the fact that this  is extremely 23-insensitive.), Ryan, that’s right; being 20-insensitive, we can invoke DHJ(2.5) and get large subspaces in , which of course is a healthy density increment., 844.2.  Ah, sorry if you said this already in an earlier comment, Terry; I’m still catching up.</t>
  </si>
  <si>
    <t>C2505</t>
  </si>
  <si>
    <t>check other work</t>
  </si>
  <si>
    <t>Ryan, that’s right; being 20-insensitive, we can invoke DHJ(2.5) and get large subspaces in , which of course is a healthy density increment.</t>
  </si>
  <si>
    <t>CTao_36250</t>
  </si>
  <si>
    <t>784. Moser(3), If all 80 points with two 2s are included, then at most 4 points from  can be chosen.
Two of these have an even number of 1s, and two have an odd number., Suppose 11111 is one of the points.  All points with two 3s are excluded, so the only points allowed with an odd number of 1s are those with four 3s.  But all those points differ from each other in two positions, so at most
one of them is allowed.</t>
  </si>
  <si>
    <t>C2506</t>
  </si>
  <si>
    <t>845. Density increment in cubes, Tim, Re:842. In case you are considering corners in cubes, let me mention a few things here. Reading some recent blogs, I thought that you are close to prove a density increment result which would imply the corner result. I write the statement first and then I will argue that it proves a Moser type result.
Given an  set (or an n-dimensional Hilbert cube if you wish) with  elements. Consider the elements as vertices of a graph. The graph is c-dense, i.e. the number of edges is . The graph contains a huge hole, there is an  empty subgraph.  Prove that then it contains a d-dimensional subcube on the vertices spanning at least   edges.  might depend on c and  but not on n, and d grows with n (arbitrary slowly). Now I will try to post the next part as a new thread.</t>
  </si>
  <si>
    <t>C2507</t>
  </si>
  <si>
    <t>845.1 , oops, I didn’t give my name for the previous note</t>
  </si>
  <si>
    <t>C2509</t>
  </si>
  <si>
    <t>846.  A Moser type theorem, 845.2 … and apparently I don’t know how to generate a thread.
Still going backwards, let me state the theorem which would follow from 845: Every dense subset of  contains three elements, formed by taking a string with one or more wildcards  and  in it and replacing the first type wildcards by 1,2 and 3, and the second type wildcards by 4,3, and 2, respectively.  For example 123412,
223312, and 323212 is such triple.</t>
  </si>
  <si>
    <t>C2510</t>
  </si>
  <si>
    <t>846.1. In the previous statement we were in , not in .</t>
  </si>
  <si>
    <t>C2511</t>
  </si>
  <si>
    <t>still catching up</t>
  </si>
  <si>
    <t>844.2.  Ah, sorry if you said this already in an earlier comment, Terry; I’m still catching up.</t>
  </si>
  <si>
    <t>CTao_36251</t>
  </si>
  <si>
    <t>785.  Moser(3), Thanks Michael!  I’ve completed the proof of the 125 upper bound on the wiki.  Only one more improvement left before we pin down  exactly…</t>
  </si>
  <si>
    <t>C2512</t>
  </si>
  <si>
    <t>846 contd., With Ron Graham we proved a colouring version of 846. For any  colouring of  there is a monochromatic triple like in 846. The paper is available at , Click to access pre_cube.pdf, The reasonable bound for the colouring version shows that this problem might be easier to work with than with DHJ k=3. In the next post I will try to prove that 845 implies 846, that is, an “arithmetic density increment” in a graph with a huge hole implies a Moser type statement.
(Sorry about the number of posts, but I don’t want to write long ones as even the shorter ones are full with typos)</t>
  </si>
  <si>
    <t>C2513</t>
  </si>
  <si>
    <t>847. (part one), Here we show that a density increment argument implies the Moser-type theorem in 846. It isn’t new that a density increment would give us what we are looking for, the new feature is that it might be easier to prove density increment in a graph with a huge empty subgraph. For practical reasons we switch to a bipartite settings. Consider a bipartite graph G(A.B), between two copies of the n-dimensional cube, . G(A,B) has  vertices and, say,  edges. There is a natural one to one mapping between the set of edges and a pointset of . The two vertices of an edge are 0-1 sequences. From the two sequences we get one as follows. The i-th position of the new sequence (0,1,2, or 3) is given by  where x is the number (0 or 1) in the i-th position of the vertex in A and y is the number in the i-th position of the vertex in B. We say that two edges span the same cube if substituting all 1-s and 2-s by a wildcard, *, we get the same sequence. Observe that if (v1,v2) and (w1,w2), two edges of G(A,B), span the same cube and (v1,w2) is in G(A,B), then we are done, there are three points formed by taking a string with one or more wildcards  and  in it and replacing the first type wildcards by 1,2 and 3, and the second type wildcards by 4,3, and 2, respectively. (For example 2312 gives 123412, 223312, and 323212.) Equivalently, it will give a corner on the Cartesian product of an n-dimensional Hilbert cube. I will continue, but I would like to see if the typing is correct so far or not.</t>
  </si>
  <si>
    <t>C2514</t>
  </si>
  <si>
    <t>847. (part two), We said that two edges span the same cube if substituting all 1-s and 2-s by a wildcard we get  the same 0,3,* sequence. Similarly we can say that every edge, e, spans a particular subcube; substitute all 1-s and 2-s with wildcards to get a 0,3,* sequence. Any edge, which differs from e in the * positions only, is in the subcube spanned by e. Our moderate goal here is to show that if there are no three edges of the form (v1,v2), (w1,w2), and (v1,w2) in G(A,B) that (v1,v2) and (w1,w2) span the same subcube – in which case we were done – then there is a subcube spanned by many edges containing many other edges (see in post 845). The vertices of the spanning edges provide us the large empty subgraph.
We will follow a simple algorithm. At first consider the set of edges spanning the whole cube. Those are edges without 0 or 3. If there are at least  such edges, then stop. If there are less than  such edges, then select the densest n-1 dimensional subcube. (Such subcubes are spanned by edges having exactly one 0 and no 3-s and by edges with one 3 and no 0-s.) If the densest subcube is spanned by at least  edges then stop, otherwise select the densest n-2 dimensional subcube. If we repeat the algorithm and , then it should terminate in a c-dense d-dimensional subcube spanned by at least  edges. By the initial assumption there is no edge connecting the end-vertices of the spanning edges. It gives us the huge empty bipartite graph, . I didn’t do the actual calculations, but it seems correct to me.</t>
  </si>
  <si>
    <t>also knowledge artifact update</t>
  </si>
  <si>
    <t>reduce comments per main post criteria</t>
  </si>
  <si>
    <t xml:space="preserve">Once again there is not a huge amount to say in this post. Since the last post there have been a few additions to the polymath1 wiki that may be of some use. In particular, there is now a collection of fairly complete write-ups of related results (see the section entitled “Complete proofs or detailed sketches of potentially useful results”) to which I hope we will add soon. Also on the wiki is an account of the Ajtai-Szemerédi proof of the corners theorem, which seems to have some chance of serving as a better model for a proof of DHJ(3) than the proof via the triangle-removal lemma. Meanwhile, progress has been made in understanding and to some extent combinatorializing the ergodic-theoretic proof of DHJ(3), ideas from which have fed into the discussion. As with the last post, this one is mainly to stop the number of comments getting too large. We’re now down to 50 comments per post (except that it was 51 for the last one and will be 49 for this), since with the new threading we seem to be averaging at least one reply per comment. 												This entry was posted on March 2, 2009 at 12:37 am and is filed under polymath1.						You can follow any responses to this entry through the RSS 2.0 feed.													You can leave a response, or trackback from your own site.											</t>
  </si>
  <si>
    <t>C2516</t>
  </si>
  <si>
    <t>Terry?</t>
  </si>
  <si>
    <t>848.  Density increment, Terry, I’ve tried to understand your argument properly but there are a few points where I’ve had difficulty working out what you mean. I think they all stem from one main point, which comes in the last paragraph where you say “by hypothesis”. I’m not sure I know what the hypothesis is. You established that it was impossible to get a substantial density increase on a local 1-set, but here you seem to need that you can’t have a substantial density decrease. Have I misunderstood something? I hope so. (I’m actually writing this offline in my car so by the time I get to post it perhaps this matter will have been cleared up.)</t>
  </si>
  <si>
    <t>C2517</t>
  </si>
  <si>
    <t>Ryan - permutation tricks</t>
  </si>
  <si>
    <t>849.  Different measures  (also written earlier but offline), I want to think some more about Ryan’s observation that the permutations trick can be used with the uniform measure. In particular, I want to understand from a non-permutations point of view what the resulting measure is on pairs ., So let’s fix two sets  of sizes  and , respectively. The probability that a random permutation gives both  and  as initial segments is  and the probability that we choose those two initial segments (if we binomially choose a random  and a random  without conditioning on their order) is  So the probability that we choose the sets  and  is  which equals  which equals
, Therefore, the probability of choosing  conditional on having chosen  is  If  and  were independent, this probability would of course be , so the extra weight is … hmm, I’m not really getting anywhere here.</t>
  </si>
  <si>
    <t>C2518</t>
  </si>
  <si>
    <t>850.  Different measures  (again written earlier), How about the Fourier expansion? Suppose we choose  and  according to this distribution. That is, we choose a random permutation, and then choose initial segments  and  independently with binomial probabilities on  and . What is the expected value of ?, To make the calculation friendlier, I’m going to work out something else that I hope will turn out to be the same. It’s more like Ryan’s p-q approach. To pick a random point I’ll pick a number , binomially distributed with parameters  and 1/2, and I’ll then set  and choose a point with the measure . Damn, that doesn’t work, because the probability that I end up choosing the empty set is strictly greater than  (because there’s a chance I’ll pick it if  takes a typical value round 1/2, and also a probability  of taking ). OK, it’s believable that any average of binomial distributions that ends up with mean  is guaranteed to be less concentrated than the binomial distribution itself, so probably this idea was doomed., OK I don’t at the moment see a conceptual argument for calculating the Fourier expression. Perhaps it’s a question of a brute-force calculation that one hopes will cancel a lot. But it would be disappointing if the expectation of  above were not zero when .</t>
  </si>
  <si>
    <t>C2519</t>
  </si>
  <si>
    <t>Metacomment:  I’m about to start a new thread, which will start at 851. So perhaps further comments on this thread could be limited to a few small replies.</t>
  </si>
  <si>
    <t>C2521</t>
  </si>
  <si>
    <t>851.  Density increment, I’ll start off (perhaps a bit awkwardly) by responding to Tim’s query from 848, which was asking about how a hypothesis that a density increment is near-maximal implies that there are also no significant density decrements.  This is basically just coming from subtraction., Let A be a set, and suppose that B is a structured set (specifically, a local 1-set of non-trivial size) on which one has a near-maximal density .  Then any structured subset B’ of B of non-trivial size also has to have density close to .  It can’t have a much bigger density, since otherwise we could pass from B to B’ and get a density increment; and it can’t have a much smaller density, since otherwise we could pass from B to  and also get a density increment., There are three parameters that will need to be juggled here to make it all work: the density of A in B, the density of B in , and the number of bad coordinates in B.  The last parameter should not cause a difficulty; as n is so large, we can afford to turn quite a lot of coordinates bad and still retain a lot of usable structure.  So it should boil down to making sure that the greedy algorithm that locates B terminates in a bounded amount of time without sending the density of B to zero.  The way I think of it is like this: if B contains a small subset B’ on which A has too low of a density, then one can remove B’ from B to improve the density without significantly shrinking the size of B.  I don’t think this process can be iterated indefinitely, as the density will eventually shoot up to 1., 851.1 , In ergodic theory land, what we are doing here is stating the obvious fact that if a function f has mean  and is non-constant, then there is a set B of non-trivial measure on which f is uniformly bounded below by  for some c&gt;0.  Here, f is the “conditional expectation of  to the sigma-algebra generated by local 1-sets”.   The problem in the finitary world is that the local 1-sets don’t actually form a sigma-algebra and so f only exists in some “virtual” sense rather than a tangible one, and so one has to do various greedy algorithm contortions to simulate any ergodic theory computation involving f., 851.2  Terry, what worries me in your explanation above is the “of non-trivial size”. When you apply the result, you apply it to the set  of all good words. Now it appears to me that the density of this set goes to zero as m goes to infinity (and we need m to go to infinity in order to carry on with the density-increment argument), and therefore I don’t see how …, Ah, I think I do see what you are saying now, and I have in fact used this kind of argument myself sometimes. The point (which you yourself have already said) is that if you remove only a small set then you don’t greatly change the size of B. But this can work only if your structured sets are closed under subtraction. So for instance if you had a maximal density on a subspace, you couldn’t conclude that you had near maximal density on small subspaces of that subspace. But if you remove a local 1-set from a local 1-set you end up with a local 1-set so it’s OK.</t>
  </si>
  <si>
    <t>C2522</t>
  </si>
  <si>
    <t>851.1 , In ergodic theory land, what we are doing here is stating the obvious fact that if a function f has mean  and is non-constant, then there is a set B of non-trivial measure on which f is uniformly bounded below by  for some c&gt;0.  Here, f is the “conditional expectation of  to the sigma-algebra generated by local 1-sets”.   The problem in the finitary world is that the local 1-sets don’t actually form a sigma-algebra and so f only exists in some “virtual” sense rather than a tangible one, and so one has to do various greedy algorithm contortions to simulate any ergodic theory computation involving f.</t>
  </si>
  <si>
    <t>C2523</t>
  </si>
  <si>
    <t>852.  Different measures., Tim, re your #849, I also found that binomial probability distribution on ‘s surprisingly… “awkward” to analyze.  I suppose one can just really grind things out and see if, say, the Fourier expansion turns out nicely after all.</t>
  </si>
  <si>
    <t>C2524</t>
  </si>
  <si>
    <t>timeline put on wiki - nonlinear ...</t>
  </si>
  <si>
    <t>Metacomment., As I had some idle moments, I decided to spin out a timeline of the story so far for polymath1:, http://michaelnielsen.org/polymath1/index.php?title=Timeline, It’s remarkably nonlinear, but that’s how maths research goes, I guess., Also: this post needs a “polymath1” tag.</t>
  </si>
  <si>
    <t>C2525</t>
  </si>
  <si>
    <t>853.  Density increment, I just realised that the “density increment” trick underlying Randall’s “dense fibres” argument that I translated into a combinatorial argument is not really a density increment, but rather a “mass” increment argument, essentially the same as that used to prove the classical Hahn decomposition in measure theory (which, by coincidence, I taught in my class a few weeks ago)., Let’s say  has density , and let  be the balanced function.  Let  be a family of “structured sets” (such as local 1-sets); this family is secretly supposed to be behaving like a sigma-algebra, but let us try to avoid using that fact.  Suppose we have a large set B in  on which A has a density increment, and more specifically we have  for some c&gt;0; note that this hypothesis forces B to be somewhat dense.  We now want to restrict B to the fibres of  on which f is positive.  One way to do this is to try to maximise the “mass”  as  ranges over elements of ; note that we are not dividing by the density of B’, so this is measures a mass increment rather than a density increment.  Setting B’=B we know that the mass can be positive.  If we find a B’ that maximises the mass, we know that any non-trivial structured subset B” of B’ will have an A-density significantly larger than  (e.g. larger than ), since otherwise we could remove this “negative mass” portion B” from B’ and increase the mass of B’ substantially.  (Not coincidentally, this is exactly how one proves the Hahn decomposition theorem.)</t>
  </si>
  <si>
    <t>C2528</t>
  </si>
  <si>
    <t>851.2  Terry, what worries me in your explanation above is the “of non-trivial size”. When you apply the result, you apply it to the set  of all good words. Now it appears to me that the density of this set goes to zero as m goes to infinity (and we need m to go to infinity in order to carry on with the density-increment argument), and therefore I don’t see how …, Ah, I think I do see what you are saying now, and I have in fact used this kind of argument myself sometimes. The point (which you yourself have already said) is that if you remove only a small set then you don’t greatly change the size of B. But this can work only if your structured sets are closed under subtraction. So for instance if you had a maximal density on a subspace, you couldn’t conclude that you had near maximal density on small subspaces of that subspace. But if you remove a local 1-set from a local 1-set you end up with a local 1-set so it’s OK.</t>
  </si>
  <si>
    <t>C2530</t>
  </si>
  <si>
    <t>854. Ajtai-Szemerédi, First a general remark to add further motivation to the Ajtai-Szemerédi approach. Let’s briefly think about why it has never been extended to prove a result for three-dimensional corners. If you try to do it, you soon see that what you want in place of the applications of Szemerédi’s theorem is applications of the full 2-dimensional Szemerédi theorem, and it seems that the original Ajtai-Szemerédi argument is not powerful enough to do that (not that I’ve thought hard about why)., But if we managed to push through to a proof of DHJ(3), it seems not outrageous to hope that we might be able to get a multidimensional version, and that that might be what was needed for DHJ(4), and so on. That’s all a bit pie-in-the-sky at the moment, but that’s all it’s meant to be., Assuming that the Randall/Terry argument is fine (as I do, but for my own benefit I hope to write it up on the wiki soon), where have we actually got to? Here is my assessment, which gets a bit vague in the details. What it definitely gives us is what seems (and that’s a pretty confident “seems”) to be the appropriate analogue of step 2 of the Ajtai-Szemerédi argument  as it is presented on the wiki. , That tells us that for almost every  we have pretty much the expected density of  such that . Let us call such a  good. The obvious analogue of Step 3 is then this: we can find  with a positive density of pairs  such that  is good and  , An unthinking analogue of the fourth step would simply be that amongst these pairs  can be found a combinatorial subspace of dimension tending to infinity. Given the experience with Step 2, I think it pretty unlikely that this will be good enough, but let’s try to understand why not., Fifth step: in the Ajtai-Szemerédi argument they have a long AP of points on the diagonal, which gives rise to a long AP P of vertical lines. They then partition the horizontal lines into long APs with the same common difference as P, using the fact that an AP of vertical lines intersects an AP of horizontal lines with the same common difference in a grid. , What could the analogue of this be in the subspace world? Well, an AP of vertical lines translates to taking a combinatorial subspace of Us and then extending each U in all possible ways to a point (U,V,W) in . And when would a structure like that intersect a similar one for Vs in a combinatorial subspace? If we denote by  the combinatorial subspace that consists of all finite unions of the  that include , and we write  for the set of all  with , then the answer is that  intersects  in a combinatorial subspace if  and  are disjoint, and  for  , This is almost saying is that the combinatorial subspaces are translates of each other, but there are two additional complications. First, the sets that determine the translates (that is,  and ) have to be disjoint. Secondly, we cannot partition  with translates of a given subspace because all points in all translates will be constant on the wildcard sets, whereas a general point definitely isn’t., So there’s a lot of sorting out to do if an analogue of Step 5 is to be made to work. But what’s encouraging is that these difficulties are rather similar in flavour to the difficulties that we’ve already encountered and dealt with in Step 2.</t>
  </si>
  <si>
    <t>C2531</t>
  </si>
  <si>
    <t>TEACHING - SEEING NEW THINGS - COULD DO A WHOLE ESSAY ON THIS ONE</t>
  </si>
  <si>
    <t>Metacomment. A quick remark about teaching. Terry comments that he has just taught the Hahn decomposition theorem, and implies (I think, reading between the lines) that this has helped him to have certain thoughts more quickly and easily than he would otherwise have had them. So that prompts me to say that I am lecturing probability this term, and noticed when I was thinking about Fourier analysis and equal-slices measure how it made a definite difference to be completely 100% on top of things like expectations of products of independent random variables, conditional probability, etc. etc. The odd thing in that case was that the concepts were quite basic, but nevertheless there was a gain: what was gained was some kind of clarity and fluency that replaced the normal process of muddling through first and tidying up afterwards., Well, when I taught Hahn decomposition a few weeks ago, I thought to myself “Ah, another density/mass increment argument!  These arguments are everywhere!”.  But other than reinforcing my (already quite strong) belief that energy/density/mass increment arguments are an essential tool in analysis, I don’t think it directly helped me except in the a posteriori sense, when my attempts to explain Randall’s argument more coherently begin to ring a bell and I consciously went back to look at the proof of Hahn decomposition.    But perhaps there was indeed some unconscious “priming” due to the fact that I have been spending the last few weeks revisiting the foundations of soft analysis to teach to the UCLA freshman graduate students., (Certainly, in order to convert ergodic theory arguments to finitary ones, one does have to think really hard about deconstructing extremely basic notions in measure theory and functional analysis – for instance, deconstructing the construction of conditional expectation, or the Riesz representation theorem, or the approximation of measurable sets by open sets, or the fact that every bounded monotone sequence converges, are essential first exercises before one can do anything even remotely nontrivial, e.g. finitising the mean ergodic theorem.)</t>
  </si>
  <si>
    <t>check understanding; keep getting stuck trying to summarize</t>
  </si>
  <si>
    <t>855.  Density increment., I’m trying to write up the Randall/Terry argument on the wiki, but it’s very slow going as I keep getting stuck. And each time I get stuck it takes me ages to decide whether I’ve uncovered a genuine difficulty or simply not got the point. And I’m in that position yet again., Here’s my problem this time. Suppose I’ve passed to a local 1-set A’ where B has maximal density. So we’ve got some coordinates belonging to an index set , and membership of A’ depends just on what happens inside  and what the 1-set of a sequence is outside . (I’m using “1-set” in two senses here.) Let’s call this an -set., Now I’m very happy with the idea that if we pass to a sub--set, then we can assume that  has near-maximal density there too: if it hasn’t, then we just subtract off the subset. But that’s not what is going on in the argument here. Here we define a -set, and it’s much less obvious to me that we can subtract it off, since if we do, then we are not left with a -set. , Could we use the fact that we have a -set after we’ve done the subtraction? I don’t see how, because the amount of measure we’ve subtracted is tiny (since the probability that a word w is good goes to zero as m goes to infinity) and the size of the set of bad coordinates has gone up a lot., I suppose what I’m really saying is that I’d be very grateful to see this argument written out in full detail. (Another problem, but I think I can solve this one, is finding a suitable measure on the set of  to make it true that words are good with positive probability.), 855.2.  Hmm, perhaps our #855’s are coming to a similar difficulty, to be discussed further.  , I just wanted to say in this short reply that in your parenthesis at the end seems to match the parenthesis in the second paragraph of what I wrote below.  I don’t quite know how to solve this issue, but I do like to remember that the Gunderson-Rodl-Sidorenko paper Jozsef pointed us to shows that whenever you have a subset of  of positive density, it must completely contain an -dimensional subspace.  (This is a quantification of the “multidimensional Sperner” argument on the wiki, I think.), Terry will answer this far more fully at some point but in the meantime I will say this much: once m is fixed, the positive probability that V(w) lies in A’ is bounded below by something like \delta^{2^m} and the size of the \alpha_i can be safely bounded above by some finite amount….</t>
  </si>
  <si>
    <t>C2534</t>
  </si>
  <si>
    <t>856. I wonder if I could ask for some clarification on the Randall/Terry argument; specifically, on #837.2., In particular, I’m trying to follow the last paragraph.  (Actually, I don’t quite understand the appeal to DHJ(2.5) in the previous paragraph either, but I think I understand my own way around that.)  , Could we clarify precisely what the definition of  should be?  If it’s defined exactly as written in #837.2, then I wouldn’t so much say it’s the union of parallel -dimensional subspaces so much as I would say it’s union of -dimensional subcubes.  Which would be fine, but this doesn’t seem to square with the idea that  as discussed in #851., On the other hand, perhaps we shouldn’t take  to be all good , but just those  such that the part in  is actually in the large-dimensional subspace .  But my worry here is that in general (if the “wildcards sets” are large) that this  will constitute only a negligible () fraction of , so it should be impossible to conclude that  has a density increment on ., 856.2.  Oops, sorry for the simultaneous post with Tim’s #855; please consider what I wrote #856. Changed — Tim</t>
  </si>
  <si>
    <t>C2535</t>
  </si>
  <si>
    <t>856.2.  Oops, sorry for the simultaneous post with Tim’s #855; please consider what I wrote #856. Changed — Tim</t>
  </si>
  <si>
    <t>C2536</t>
  </si>
  <si>
    <t>C2533</t>
  </si>
  <si>
    <t>matched comments</t>
  </si>
  <si>
    <t>855.2.  Hmm, perhaps our #855’s are coming to a similar difficulty, to be discussed further.  , I just wanted to say in this short reply that in your parenthesis at the end seems to match the parenthesis in the second paragraph of what I wrote below.  I don’t quite know how to solve this issue, but I do like to remember that the Gunderson-Rodl-Sidorenko paper Jozsef pointed us to shows that whenever you have a subset of  of positive density, it must completely contain an -dimensional subspace.  (This is a quantification of the “multidimensional Sperner” argument on the wiki, I think.)</t>
  </si>
  <si>
    <t>C2537</t>
  </si>
  <si>
    <t>857.  Varnavides version of multidimensional Sperner, Ryan, it was amusing to see just how many similarities there were between our near-simultaneous comments. While we’re waiting for a response, here’s roughly how I expected to fill in the details with the appeal to DHJ(2.5). The obvious worry, which you have expressed before in a different context, is that you have to ensure that the wildcard sets can take plenty of different sizes: it’s not enough to go for “easy” combinatorial subspaces where they all have size 1, since  could be the set of all sets of even size., The thought I had was that one could define the measure in a way that more or less guaranteed that the proof worked. You would first find an M such that every subset A of density  in  contained a subspace of dimension m where you got an element of A whenever you fixed the wildcards to be 1 or 2. Then you would choose your random wildcard sets  as follows. First choose a random “easy” combinatorial subspace of dimension M, with ground set F, and then pick, uniformly at random, m disjoint non-empty subsets of F. I’m not 100% sure that works but it feels as though a double-counting argument should now do the trick.</t>
  </si>
  <si>
    <t>C2538</t>
  </si>
  <si>
    <t>858.   Density increment, I’m going to try to approach this question in small stages, proving little lemmas without being sure they are useful — though I will try to explain why I think they should be., Suppose that one tries to build up a subspace inductively on which  has a density increment. The problem one faces is this. We can assume that for every  there are too many  such that , and we can even find a combinatorial subspace of such , but we do not have a good grip on what happens when we convert that into a combinatorial subspace in ., Let’s just look at combinatorial lines. I’d like to find a subset  and a combinatorial line inside  such that for all its three points we get too many ways of completing them with 2s and 3s to form an element of . The problem is that while I may be able to find several  with too many completions, at some point I’m going to need  such that not only do they both have too many s, but if I fill  with 2s or 3s then there are still too many s., Now there might be some hope of that if I could say that for almost every  it was the case that for almost all small sets , if I fill  with 2s or 3s, then there are still too many s that complete to a combinatorial line. Why? Because then I could use the fact that there is a positive density of lines (all this depends on the appropriate measures being used) to find a combinatorial line such that  behaved itself., So can we say that about ? Well, suppose that for a positive proportion of the  there is a positive proportion of small sets  that have too few extensions when you fill them with 2s. Then there must be a positive proportion of small sets  such that you get too many extensions when you fill them with 2s. And then you can pick a random  and get a dense set of s such that you get too many extensions. So if we drop down to  then we have a strengthening of our original hypothesis in that combinatorial subspace., So now suppose we’ve reached the point where we can’t play this game any more. Then my hope is that you get that for almost every  (and therefore all once you chuck out the bad ones) it is the case that for almost all  you can fill them with 2s or 3s and still get roughly the right number of extensions. But with positive probability  also belongs to  (by one of our Varnavides-versions of Sperner) and then perhaps we have something., That’s written quickly and carelessly, so I’m not sure it’s right. But if it is, then maybe one can run more or less the same argument with m-dimensional subspaces instead.</t>
  </si>
  <si>
    <t>C2539</t>
  </si>
  <si>
    <t>855, 856, 837.2</t>
  </si>
  <si>
    <t>858.  Dense fibres argument, Responding to 855, 856, etc., Firstly, I forgot to define A” in 837.2, as pointed out by Ryan.  A” is the union of the V(w) as w ranges over all good words.  It has a smallish density that depends on the density of the original 1-set A,  the constants in DHJ(2.5), the number m, and the size of the wildcard sets , but – crucially – the density does not depend on the size of the pre-existing bad coordinate set I’.  And this is important, because the size of I’ is going to explode (but, importantly, will always be of size O(1) as far as n is concerned)., As noted by Tim, if A’ is an (I’,1) set, then  is not going to be an (I’,1) set – it’s going to be merely an -set, where .  I like to think of the coordinates  as being “consumed” or “used up” by the procedure of passing from A’ to , in that the operation of interchanging 1 to 2 on these coordinates has been “spent”.  But the remaining  interchanging operations remain “unspent”, and that’s good enough for our purposes.  (This is the “IP” philosophy from ergodic theory; it’s OK if each operation can only be performed once, so long as one has a huge number of essentially identical copies of that operation to spend.), I don’t think we can just fix I’ in advance and maximise some mass over all (I’,1) sets; one has to do some greedy algorithm of the following sort:, 1.  We start with a 1-set A on which the function  has mass , and a desired dimension m that one wants to get a c/4-density increment on., 2.  DHJ(2.5) should tell us that any 1-set of density at least c/100 should contain a lot of m-dimensional combinatorial subspaces in which the wildcard sets  have size at most r for some .  Indeed, if one chooses a random such subspace (using an appropriate measure), the probability that the entire subspace lies in the set should be at least  for some .  , 3.  One should be able to localise DHJ(2.5) to (I,1)-sets rather than 1-sets, so long as |I| is much smaller than n, by the first moment method., 4.  Initialise  and A’ = A.  , 5.   is a (I’,1) set with .  In particular, A’ has density at least c/2., 6.  Suppose that there exists disjoint  in  of size at most r, and a -set A” of density at least  in A’, where  such that B has density at most  on A”.  Then replace I’, A’ by I”, A”; this increases  by at least .  Now return to Step 5., 7.  We can only loop  times, and so the net size of I’ at the end of the day is , and we end up with an (I’,1) set A’ of density at least c/2 such that B has density at least  on every subset A” of the form discussed in Step 6.  Now invoke DHJ(2.5) to find an A” of this form which is the union of m-dimensional subspaces, and we obtain the desired density increment., Amazing how much messier the finitary argument is from the ergodic theory argument, where one simply takes the set where the conditional expectation of  to the sigma-algebra of 02-invariant sets is bigger than  to be A’!, A small correction: the  in Step 6 should actually be .  (The set of good w has density , but the set A’, formed from the union of the V(w), could have a slightly smaller density of .  But this is no big deal – as long as it doesn’t depend on n or the size of the wildcard set I’, one is OK.)</t>
  </si>
  <si>
    <t>C2555</t>
  </si>
  <si>
    <t>864. Speculative reply to 862., From the ergodic perspective, it looks like correlation with a dense 12-set implying a mass increment is still on the order of double recurrence. However, the picture I seem to be getting is that maybe it’s worth pursuing anyway. Here is the idea. Say we assume some fancy double recurrence result (FDR) that is not, on the face of things, as general as DHJ (3). Like for example, what are called IP Szemeredi or IP Roth on the Wiki (comments 2 and 469, respectively). And say we can use this to show that correlation with a dense 12-set implies a density increment on a subspace. Then, assuming that really was all that was needed in the first place, we will have reduced DHJ to FDR, which might not be close to finishing, but might at least be progress. , The reason I think this might be feasible is, in the ergodic world the projection P onto the asymptotically 02 invariant sets commutes with the projection Q onto the asymptotically 01 invariant sets. So, PQ ought to project to L^2 of some larger sigma-algebra. Correlating with something measurable with respect to this sigma-algebra gets you big fibers, you just need a way to bring these fibers back to themselves along a subspace. That’s where FDR comes in. I think you can probably work in a product space with genuine corners now. The idea is you want to show that A intersect T_{01}A intersect T_{02}A is non-empty (I suppress alpha in the notation, which tells you which coordinates to flip…also you want only to flip things that are zero; strictly speaking the notation I am using probably doesn’t mean anything taken literally, it’s only meant to be suggestive.) Well, on the horizontal coordinate, 1s and 2s are interchangeable, so T_{01}=T_{02} (more or less). On the vertical coordinate, 0s and 1s are interchangeable, so T_{01}=Id (more or less). So basically, you have T_{01} acting on each coordinate, and you need the putative corners type result (FDR) to bring sets in the Cartesian product back to themselves., Dear Randall, I think in fact that double recurrence for 12-sets collapses to single recurrence by the argument sketched out in 862.  It’s easiest to explain for the corners problem: to find corners (x,y), (x+r,y), (x,y+r) in a Cartesian product , it suffices to just find the latter two points (x+r,y), (x,y+r) of the corner inside this product, as this will automatically place the third guy inside the corner as well.  So the corners theorem in this case follows trivially from the pigeonhole principle; and for similar reasons, DHJ(3) for 12-sets follows from DHJ(2)., In ergodic language: if , where  is S-invariant and  is T-invariant, then the double recurrence integral  collapses to the single recurrence integral .   In the DHJ world, if ,  is -invariant, and  is -invariant, then , , at least for words w that are sufficiently “large”., 864.2 Clarification., The set A I am trying to bring back is not a 12-set. It is a set that is measurable with respect to the sigma-algebra of 12-sets. (Notice that, unlike i-sets, ij-sets do not form an algebra.) , In general, the aim of my last post was to outline a method for obtaining a density increment on a subspace for a set that correlates with a 12-set. If I understand Tim correctly, that may be the last piece. What I hope is possible is to fill in that gap with a double recurrence theorem that is, on the face of things, weaker (and hopefully easier to prove directly) than DHJ (3)., 864.3 Obviously I meant “measurable with respect to the sigma algebra generated by the 12-sets”; although what I actually typed is an amusing oxymoron.</t>
  </si>
  <si>
    <t>C2541</t>
  </si>
  <si>
    <t>where is the step 6 he is correcting?</t>
  </si>
  <si>
    <t>A small correction: the  in Step 6 should actually be .  (The set of good w has density , but the set A’, formed from the union of the V(w), could have a slightly smaller density of .  But this is no big deal – as long as it doesn’t depend on n or the size of the wildcard set I’, one is OK.)</t>
  </si>
  <si>
    <t>C2542</t>
  </si>
  <si>
    <t>860.  Multidimensional Sperner, I believe one can get the right sort of multidimensional Sperner just by iterating the right sort of DHJ(2)., If A is a subset of  of density , then there should exist an  such that if one picks a random r’ between 1 and r, then picks a random wildcard set I of size r’, then picks a random combinatorial line with that wildcard set, then with probability at least , the line will lie in A.  (In fact one can probably take r to be about  and  to be about , using the usual chain proof of Sperner.  If one uses equal-slices measure then things may be particularly favourable.), In particular, if we pick r’ and I randomly, then the set , defined as the set of all words  whose associated combinatorial line with wildcard set I lies in A, will have density at least  with positive probability.  In particular there exists r’, I for which this statement is true., If we iterate this m times (replacing  by  at each stage) we conclude that there exist disjoint wildcard sets  of size  such that the proportion of combinatorial m-spaces with these wildcards that completely lie in A is at least  for some ., This is the multidimensional DHJ(2).  The standard derivation of DHJ(2.5) from DHJ(2) should then give the multidimensional DHJ(2.5) needed for my argument., The argument here, of course, is identical to the usual proof of the Szemeredi cube lemma (that dense subsets of n contain high-dimensional cubes), by first iterating the fact given that a subset A of n of density  one can find a positive h such that  has density ., Terry, I’m not sure that I understand what are you saying here. Would it lead to a Varnavides-type result? Here are the numbers that I see; If a set of subsets of n has at least  elements, then it contains a d-dimensional subspace. This bound is close to be sharp. Using this we see that a c-dense subset of  contains at least  d-dimensional subspaces, which is not much. Your calculation suggests much more., Dear Jozsef,, One has to count the subspaces in an appropriate equal-slices fashion to get the right Varnavides-type result.  (This was discussed quite a while back, I think in the 1-199 thread, but no harm in reviving it here.), Let’s start with m=1: if A has density c in , then a random maximal chain  in  will intersect A in about  positions in the middle  of the chain.  The calculation is a little simpler here if one uses equal-slices density for A instead of uniform density, but never mind that.  The pigeonhole principle then tells us that if we randomly choose an r between 1 and O(1/c), and randomly pick i = n/2 + O(\sqrt{n}), then  will both land in A with probability about c^2., To put it another way, if we pick r randomly between 1 and O(1/c), and then randomly select from all the  combinatorial lines with r wildcards, then the probability that this line will lie in A is  (there may be some logarithmic losses of  due to the Chernoff inequality etc.)    Note that this is not the same as choosing a combinatorial line uniformly at random among all  such lines, or even amongst all such lines with  wildcards., This Varnavides-type theorem gives a weighted count of combinatorial lines in the set; a line with r wildcards has a weight proportional to .  This is the one which I think one should iterate, and not the theorem based on raw (unweighted) cardinality of lines., Thank you Terry!</t>
  </si>
  <si>
    <t>C2543</t>
  </si>
  <si>
    <t>this is like that</t>
  </si>
  <si>
    <t>The argument here, of course, is identical to the usual proof of the Szemeredi cube lemma (that dense subsets of n contain high-dimensional cubes), by first iterating the fact given that a subset A of n of density  one can find a positive h such that  has density .</t>
  </si>
  <si>
    <t>C2544</t>
  </si>
  <si>
    <t>Well, when I taught Hahn decomposition a few weeks ago, I thought to myself “Ah, another density/mass increment argument!  These arguments are everywhere!”.  But other than reinforcing my (already quite strong) belief that energy/density/mass increment arguments are an essential tool in analysis, I don’t think it directly helped me except in the a posteriori sense, when my attempts to explain Randall’s argument more coherently begin to ring a bell and I consciously went back to look at the proof of Hahn decomposition.    But perhaps there was indeed some unconscious “priming” due to the fact that I have been spending the last few weeks revisiting the foundations of soft analysis to teach to the UCLA freshman graduate students., (Certainly, in order to convert ergodic theory arguments to finitary ones, one does have to think really hard about deconstructing extremely basic notions in measure theory and functional analysis – for instance, deconstructing the construction of conditional expectation, or the Riesz representation theorem, or the approximation of measurable sets by open sets, or the fact that every bounded monotone sequence converges, are essential first exercises before one can do anything even remotely nontrivial, e.g. finitising the mean ergodic theorem.)</t>
  </si>
  <si>
    <t>C2545</t>
  </si>
  <si>
    <t>Terry, I’m not sure that I understand what are you saying here. Would it lead to a Varnavides-type result? Here are the numbers that I see; If a set of subsets of n has at least  elements, then it contains a d-dimensional subspace. This bound is close to be sharp. Using this we see that a c-dense subset of  contains at least  d-dimensional subspaces, which is not much. Your calculation suggests much more.</t>
  </si>
  <si>
    <t>C2546</t>
  </si>
  <si>
    <t>Dear Jozsef,, One has to count the subspaces in an appropriate equal-slices fashion to get the right Varnavides-type result.  (This was discussed quite a while back, I think in the 1-199 thread, but no harm in reviving it here.), Let’s start with m=1: if A has density c in , then a random maximal chain  in  will intersect A in about  positions in the middle  of the chain.  The calculation is a little simpler here if one uses equal-slices density for A instead of uniform density, but never mind that.  The pigeonhole principle then tells us that if we randomly choose an r between 1 and O(1/c), and randomly pick i = n/2 + O(\sqrt{n}), then  will both land in A with probability about c^2., To put it another way, if we pick r randomly between 1 and O(1/c), and then randomly select from all the  combinatorial lines with r wildcards, then the probability that this line will lie in A is  (there may be some logarithmic losses of  due to the Chernoff inequality etc.)    Note that this is not the same as choosing a combinatorial line uniformly at random among all  such lines, or even amongst all such lines with  wildcards., This Varnavides-type theorem gives a weighted count of combinatorial lines in the set; a line with r wildcards has a weight proportional to .  This is the one which I think one should iterate, and not the theorem based on raw (unweighted) cardinality of lines.</t>
  </si>
  <si>
    <t>C2547</t>
  </si>
  <si>
    <t>Thank you Terry!</t>
  </si>
  <si>
    <t>C2548</t>
  </si>
  <si>
    <t>861.  Density increment., I’m going to have yet another go at expressing the argument in terms that I understand. Or rather, I’m going to try to prove the result, using what Terry has written as a huge hint as to what kind of argument I can expect to work. However, I do not plan to give anything like full details in this comment: I just want to convince myself of the argument., The set-up once again: I have a 1-set  (I’d better call it , following Terry, to avoid confusion, though earlier I’ve been calling it  and the dense set that correlates with it ) defined as the set of all  such that ; I have a set  of density  such that the density of  inside  is at least ; I want a density increase for  on a combinatorial subspace with dimension tending to infinity., Step 1. For every  define  to be the probability that if you randomly partition  into two sets  then the point  belongs to . Then we are assuming that the average of  over all  is  (One of the details I’m going to be very non-explicit about is what measures I am using.) By an easy averaging argument we may pass to a dense subset of  such that  for every  in the dense subset. Let’s replace  by this subset and  by  and still call them  and . , Step 1.5. The obvious thing to do next is pass to an m-dimensional combinatorial subspace (in the  sense) that lives inside . Let us write it as , which stands for the set of all sets , where  is a union of some of the . (The F stands, unnecessarily, for “finite”.) But if we do that then we find ourselves wondering why we bothered, since if we treat  as a fixed set of 1s and the  as wildcard sets and try to fix the remaining coordinates to get a combinatorial subspace of  with a density increase, then we simply don’t succeed. It could be that as soon as we fill the  with constant strings of 2s or 3s, we end up with sequences that give rise to hardly any extensions that belong to . (Just to explain slightly more, our aim is to find a combinatorial subspace such that the average density of possible extensions to a point in  is too high, so that then we can turn things round and say that a random extension comes from too many points in the combinatorial subspace, which gives us our density increment.), Step 2. At this point, we say to ourselves, “Yes, but if that disaster happened all the time, then surely it would have to be compensated for by exploitable density increases elsewhere.” So now we are trying to produce an averaging argument. At this stage, let’s forget that m is supposed to tend to infinity, and treat it as a very large fixed constant. (This is a standard move — if we can always do it for sufficiently large n, then we simply work out what n we needed in terms of m, invert that function, and we’ve got our function of n that tends to infinity. Terry has been using this trick a lot — in fact, easy though it is, it should go on the Tricki.) , Given that we are trying to produce an averaging argument, we had better look not just for one combinatorial subspace, but for a dense set of combinatorial subspaces. So now let’s assume we’ve got a Varnavides-type result for multidimensional Sperner that tells us that with positive probability (depending on the density of  and on m but not on n) if we choose our  randomly (according to some carefully chosen probability distribution) then  Here I’m thinking of  as being a fairly typical  and  as being very small sets., Now let’s suppose that however we do that we find that, to our annoyance, there is some way of assigning 1s, 2s and 3s to the sets  and filling  with 1s, such that the density of ways of filling the rest of  with 2s and 3s to get an element of  is a bit less than  (by some rather small amount that depends on ). So each  is associated with a positive density (depending on m) of “bad” sequence fragments, formed by taking some small sets  and assigning 1s, 2s and 3s to them. Turning this round we can find a many fragments with a lot of “bad” s., Now if I generate a sequence by picking  randomly, filling  with 1s the rest with 1s, 2s and 3s and the rest of  with 2s and 3s, then I get almost exactly the same distribution as if I had just chosen a random sequence (or at least, I believe that one can easily ensure this). And I think we can use that to argue that if many fragments give rise to several “bad” s (by which I mean that the density of extensions by 2s and 3s that give rise to elements of  is too low) then there must be many fragments that give rise to several “good” s. But then by averaging we can fix one of those fragments and pass to a -codimensional subspace inside which we have a 1-set consisting of sets  for which  has gone up very very slightly (by an amount that depends on m)., Step 3. And now we just iterate. If the density goes up by  each time, and if our sets  have size bounded above by , then we need something like  to be distinctly less than . If that is the case, then the iteration will stop at some point where we can find a combinatorial subspace  inside  with no possible bad assignments of 1s, 2s and 3s to the  with . And that means that for every element of that combinatorial subspace we get too many 2,3-extensions that belong to . Turning that round, we pick 2s and 3s randomly outside  and get on average a density increase in the subspace., Terry, I’d be interested to know whether you think that’s exactly the same as your argument, or roughly the same, or the same apart from an error that I’ve introduced, or correct and slightly different, or wrong for a reason that’s hard to correct but once you manage to correct it you get precisely your argument, or what., 861.1, Tim, I think this is essentially the same argument, but I like how you use an additional pigeonhole principle to freeze (and then discard) all the “bad” coordinates, thus avoiding the need to distinguish between global and local 1-sets.  It’s not as if there was anything I was planning to do with those bad coordinates anyway, so one may as well pigeonhole them away., (Incidentally, if one does some Ramsey-theoretic preprocessing of the set, it may turn out that one has enough “stationarity” that one does not need to pass to subspaces at all… but this is overkill and would in any event produce worse quantitative bounds.), I guess the bounds will in fact end up being reasonably civilised at this stage; the bad set I of coordinates is only increasing linearly with the number of iterations, as you point out, not exponentially or anything., Some minor remarks:, – I don’t think the averaging argument in Step 1 is actually needed; one can work with the global density of B in A rather than the local densities d(U) of B associated to U.  (If it later turns out that there are lots of Us in A with too low of a B-density, then this will only help us when the time comes to make our density/mass increment.), – In order not to have to keep balancing the density of B in A, against the density of A, it is probably better to stare at the mass  rather than the density, as this (a) seems to go up by a non-trivial amount at every stage of the iteration, and (b) it automatically provides a lower bound on the density of A, which is needed to stop the amount removed from A at each stage of the iteration from shrinking to zero.</t>
  </si>
  <si>
    <t>C2549</t>
  </si>
  <si>
    <t>861.1, Tim, I think this is essentially the same argument, but I like how you use an additional pigeonhole principle to freeze (and then discard) all the “bad” coordinates, thus avoiding the need to distinguish between global and local 1-sets.  It’s not as if there was anything I was planning to do with those bad coordinates anyway, so one may as well pigeonhole them away., (Incidentally, if one does some Ramsey-theoretic preprocessing of the set, it may turn out that one has enough “stationarity” that one does not need to pass to subspaces at all… but this is overkill and would in any event produce worse quantitative bounds.), I guess the bounds will in fact end up being reasonably civilised at this stage; the bad set I of coordinates is only increasing linearly with the number of iterations, as you point out, not exponentially or anything.</t>
  </si>
  <si>
    <t>C2550</t>
  </si>
  <si>
    <t>where is step 1? is it connected to the step 6 mentioned in C2541?</t>
  </si>
  <si>
    <t>Some minor remarks:, – I don’t think the averaging argument in Step 1 is actually needed; one can work with the global density of B in A rather than the local densities d(U) of B associated to U.  (If it later turns out that there are lots of Us in A with too low of a B-density, then this will only help us when the time comes to make our density/mass increment.), – In order not to have to keep balancing the density of B in A, against the density of A, it is probably better to stare at the mass  rather than the density, as this (a) seems to go up by a non-trivial amount at every stage of the iteration, and (b) it automatically provides a lower bound on the density of A, which is needed to stop the amount removed from A at each stage of the iteration from shrinking to zero.</t>
  </si>
  <si>
    <t>C2551</t>
  </si>
  <si>
    <t>862.  Density increment., I want to throw out another thought, which is that there is something we would be silly not to try to do, though it may turn out not to be feasible. Actually, it may be one of those cases where Randall and Terry will be able to give an informed guess whether it has any chance of working by looking at things from an ergodic perspective. It looks as though we now know that correlation with a 1-set implies a density increase, but what about correlation with a 12-set?, What is a 12-set? It is what on the wiki I called a special set of complexity 1: you take set systems  and  and define  to be the set of all x with 1-set in  and 2-set in . Equivalently, it is the set of (U,V,W) with  and . (Thus, a 1-set is a 12-set where ), If the argument on the wiki that says that line-free sets correlate with 12-sets is correct, and if correlation with a 12-set implies correlation with a subspace, then the whole problem is solved, so the motivation for this question is rather obvious., A few preliminary thoughts. First, I think it is easy to prove (by imitating the DHJ(2.5) argument) that a dense 12-set  contains multidimensional subspaces. You just choose some random copy of  inside  (where  is small enough for a random point in this random copy to be approximately uniformly distributed). In that copy,  will on average be dense, and therefore contain a multidimensional subspace in the  sense. And then, since  is a 12-set, we can allow the wildcards to be 3 and we still live inside . (I think this argument has probably appeared several times already in our discussions — I may even be one of the people to have given it.), That proof should give a Varnavides-type statement too. So what would the next stage be? , Let’s choose a random combinatorial subspace as follows. First we choose random large sets  and . Then we choose random small wildcard sets  And then we … er … hope that the density of  inside the resulting subspace (where we assign values 1 to , 2 to , anything we like to the , and 3 to the rest) is at least  , If that always fails to be the case, then we argue as follows. With some small but positive probability p, the random combinatorial subspace is a subset of . That means that for some random assignment of 1s, 2s and 3s to the  we get too few pairs  belonging to  out of the ones that belong to . (By the way, I should confess that I’m losing the thread here and don’t really know whether what I’m writing is correct. But I’ll just plough on.) So that should be balanced by some other random assignment that gives too many pairs. And then we can get a subspace with a small density increase on a 12-set. , I must go to bed in the knowledge that that argument could be anywhere along the spectrum that goes from complete nonsense at one end to a proof of DHJ(3) at the other. (For now I’ll leave unspecified what measure I am placing on that spectrum.) Perhaps someone will be able to tell me by the time I get up tomorrow.</t>
  </si>
  <si>
    <t>CTao_36277</t>
  </si>
  <si>
    <t>786. , First note that there are eight extremal solutions to :, Solution I: remove 300, 020, 111, 003
Solution II: remove 030, 111, 201, 102
Solution III (and 2 rotations): remove 030, 021, 210, 102
Solution III’ (and 2 rotations): remove 030, 120, 012, 201, Also consider the same triangular lattice with the point 020 removed, making a trapezoid. Solutions based on I-III are
Solution IV: remove 300, 111, 003
Solution V: remove 201, 111, 102
Solution VI: remove 210, 021, 102
Soltuion VI’: remove 120, 012, 201, Suppose we can remove all equilateral triangles on our 7x7x7 triangular lattice with only 10 removals., The triangle 141-411-114 must have at least one point removed. Remove 141, and note because of symmetry any logic that follows also applies to 411 and 114. (1 removal total), There are three disjoint triangles 060-150-051, 240-231-330, 042-132-033, so each must have a point removed., (Now only six removals remaining.), The remainder of the triangle includes the overlapping trapezoids 600-420-321-303 and 303-123-024-006.
If the solutions of these trapezoids come from V, VI, or VI’, then 6 points have been removed.
Suppose the trapezoid 600-420-321-303 uses the solution IV (by symmetry the same logic will work with the other trapezoid). Then there are 3 disjoint triangles 402-222-204, 213-123-114, and 105-015-006. Then 6 points have been removed.
Therefore the remaining six removals must all come from the bottom three rows of the lattice., Note this means the “top triangle” 060-330-033 must have only four points removed so it must conform to solution either I or II, because of the removal of 141., Suppose the solution of the trapezoid 600-420-321-303 is VI or VI’. Both solutions I and II on the “top triangle” leave 240 open, and hence the equilateral triangle 240-420-222 remains. So the trapezoid can’t be VI or VI’., Suppose the solution of the trapezoid 600-420-321-303 is V. This leaves an equilateral triangle 420-321-330 which forces the “top triangle” to be solution I. This leaves the equilateral triangle 201-321-222. So the trapezoid can’t be V., Therefore the solution of the trapezoid 600-420-321-303 is IV., Since the disjoint triangles 402-222-204, 213-123-114, and 105-015-006 must all have points removed, that means the remaining points in the bottom three rows (420, 321, 510, 501, 312, 024) must be left open. 420 and 321 force 330 to be removed, so the “top triangle” is solution I. This leaves triangle 321-024-051 open, and we have reached a contradiction.</t>
  </si>
  <si>
    <t>CTao_36287</t>
  </si>
  <si>
    <t>787. Any Moser set with at least 42 points in the middle slice has at most 124 points.,      There are two cases one the c value of the middle slice is 17 or more.
Then these points have 34 or more coordinate values not equal to 2 divided
among four coordinates one of these must have 9 of these coordinates
at most six of these  can have value 1 or 3 thus at least 3 must be 3 and three must be one and also there must be more than 5 of either one or three. Now we slice at this coordinate then both slices have three points with three coordinates equal to 2. Then they must have at most 41 points.
Now since the most points with three coordinates equal to 2 in a slice
of 41 is 4 and we have one slice with 5 or more of these points that slice
must have at most 40 points. Now since one slice is of size 40 or less the other
41 or less and the remain slice trivially has 43 or less we have at most 124 points.</t>
  </si>
  <si>
    <t>C2553</t>
  </si>
  <si>
    <t>863.  Density increment, Here’s a slightly more precise, but still far from checked, version of what I said in 862., 1. This is a way that one could choose a random point . You choose a random disjoint pair  and some random small wildcard sets . You assign values to the wildcards, fill  with 1s,  with 2s and put 3s everywhere else. That gives you your point, and it’s more or less uniformly distributed., 2. Now let’s condition on  and the assignment of their values. (I’ll call this a random sequence fragment.) If the probability that  given the random sequence fragment is ever more than  (plus a tiny tiny amount) then we’ve got a density increase on a 12-set in a subspace, and can iterate., 3. Therefore, this conditional probability cannot be more than  or we’re done., 4. But there is a positive probability that  and  Moreover, the density of  inside the subspace  (I hope it’s easy to guess what that means) is at most  or we’re done. So, turning things round, there is in fact a positive probability that the conditional probability in 3 is somewhat less than  , 5. Therefore, by 1 (I think) there is a positive probability that it is somewhat more than  and we’re done., Again, that sort of feels as though it could be correct, but it also feels as though it could collapse when I try to write it out properly., 863.2  I see now that Step 2 is not very clear because I am not mentioning  and . , If in Step 1 we discard the point and try again unless  and  then we end up with a roughly uniformly distributed point in . (That is, the restriction of the distribution to  is roughly uniform.), Then in Step 2 I want to fix , and the probability I’m talking about is the probability of being in  given that you are in . It is this that cannot go above  unless it is possible to get a density increase and an iteration., If nobody sees an obvious flaw in this approach by tomorrow morning (my time) then I suppose I’ll try to work out some details properly. I’m slightly suspicious of Steps 4 and 5. , One tiny remark for clarification: this is not supposed to be the Ajtai-Szemerédi approach: it’s a different argument that would combine the density increase on a 12-set (as given on the wiki) with a Randall/Terry style argument to get from that to a density increase on a subspace. My dream for the project as a whole is that we’ll end up with lots of different proofs …</t>
  </si>
  <si>
    <t>C2559</t>
  </si>
  <si>
    <t>864.2 Clarification., The set A I am trying to bring back is not a 12-set. It is a set that is measurable with respect to the sigma-algebra of 12-sets. (Notice that, unlike i-sets, ij-sets do not form an algebra.) , In general, the aim of my last post was to outline a method for obtaining a density increment on a subspace for a set that correlates with a 12-set. If I understand Tim correctly, that may be the last piece. What I hope is possible is to fill in that gap with a double recurrence theorem that is, on the face of things, weaker (and hopefully easier to prove directly) than DHJ (3).</t>
  </si>
  <si>
    <t>C2556</t>
  </si>
  <si>
    <t>Randall double recurrence?</t>
  </si>
  <si>
    <t>Dear Randall, I think in fact that double recurrence for 12-sets collapses to single recurrence by the argument sketched out in 862.  It’s easiest to explain for the corners problem: to find corners (x,y), (x+r,y), (x,y+r) in a Cartesian product , it suffices to just find the latter two points (x+r,y), (x,y+r) of the corner inside this product, as this will automatically place the third guy inside the corner as well.  So the corners theorem in this case follows trivially from the pigeonhole principle; and for similar reasons, DHJ(3) for 12-sets follows from DHJ(2)., In ergodic language: if , where  is S-invariant and  is T-invariant, then the double recurrence integral  collapses to the single recurrence integral .   In the DHJ world, if ,  is -invariant, and  is -invariant, then , , at least for words w that are sufficiently “large”.</t>
  </si>
  <si>
    <t>C2557</t>
  </si>
  <si>
    <t>865.  Structure Theorem/FK-McCutcheon approach., I know we have been making progress lately on Tim’s Ajtai-Szemeredi approach, but I’ve been thinking also about Terry’s approach, started in #818, of finitising Randall’s proof of the Furstenberg-Katznelson argument.  Call me craven, but there’s something nice about also working an angle that “in principle” is known to succeed.  Perhaps we might even end up with a glorious amalgam of the two approaches., The crux of Terry’s wiki version seems to be a proposed structure theorem which splits any function  into a “01-almost periodic relative to 12-low influence” part and a “01-uniform relative to 12-low influence” part.  It’s slightly tricky for me to keep even the definitions in mind, and I had a moment of despair contemplating actually executing such a structure theorem.  , Hence I fantasise that some kind of simple structure theorem (a la #821 and #826) might also do the job.  Let me throw this fantasy out there and see if it can survive for a bit., Put a graph on  where vertices are connected by an edge if they have Hamming distance 1.  Define an operator  on functions  by , where  is formed from  by choosing a random coordinate and flipping it between 0 and 1 (if it is not 2).  Similarly define the operator .  For , define also the operator , and similarly .  Note for intuition that if we had defined  for functions on , we would have gotten the operator  (as used in #822).  These operators form a semigroup., So my hope is to have the structure theorem be , , for some carefully chosen small quantities , .  Let me give an extraordinarily non-rigorous argument for why this might work out., First, is  “01-almost periodic relative to 12-low influence”?  Well, in fact perhaps it’s even 01-low influence.  The idea here is that if  and  are both very small, then hopefully  and  approximately commute.  Then , and the latter function has 01-low influence because it has an  out front., And what about ?  Is it “01-uniform relative to 12-low influence”?  At the grossest level, I take this to mean, is it true that  is small for any 12-low influence ?  (Note that  should be self-adjoint so this should be the same as asking if  is small for 12-low influence .)  By definition, this correlation is , ., Again, in the second term here we hope to commute the  operator to the front, use self-adjointness to put it on the other side, and get, ., Now I again fantasise that perhaps by picking  and/or  carefully (at a “plateau in the energy spectrum”) we can say that .  Then we’d get , , which equals , ., But  is 12-low influence so  and hence this is indeed small., —, I’m normally much soberer than this post would suggest., Dear Ryan,, I’m hopeful on this long-term strategy too, but from experience with finitising the ergodic proof of Szemeredi’s theorem, I’m pretty sure that the proof is going to be yuckier than the Ajtai-Szemeredi-flavoured approach., 01-uniformity of a function f relative to 12-low influence is a bit stronger than what you’re saying.  It’s the assertion that ,  (1), is small for all bounded g and all 12-low influence h, where  ranges over lines.  The point here is that h depends not only on the fixed coordinates of h, but also on the location of the wildcards.  The statement you’re saying is roughly equivalent to saying that (1) is small in the case when h doesn’t depend on the location of the wildcards., Perhaps I can motivate things a bit better by considering the analogous notion when counting three-term progressions.  Here, the analogue of “12-low influence” is simply “constant”, and a function  is “uniform” (the analogue of “01-uniform relative to 12-low influence”) if one has, , small for all bounded g and all bounded h which are independent of n., Unfortunately, the structure theorems that show up in ergodic theory, once one leaves the “1-step” world and moves to the “higher-step” or “relative” world, are a bit messy, especially in the finitary world.  In principle the machinery from my paper will be relevant here, but I’m reluctant to unpack it all now; I’m hoping that the Ajtai-Szemeredi thread may lead to some new insights or simplifications first.  (Also, Tim Austin may soon be coming out with some new work that could also assist with this; more on this once it is more firm.), I forgot to say that the key point in the length three progressions example was that while h did not depend on the n parameter (which roughly corresponds to the “fixed positions” of the line), it still depended on the r parameter (which correspond to the “wildcards” of the line).  Because of this, I don’t see an easy structure theorem here… the cheapest way is to take Fourier transforms and extract out the large Fourier modes, but this can’t really be done just by heat operators., 865.3, Ryan, it might help to consider the functions, ,, ,, ., Then  for all variable words , so your structure theory had better not be counting  as “01-uniform relative to 12-low-influence” or some similar category. On the other hand,  looks like it may be orthogonal to 12-low-influence.</t>
  </si>
  <si>
    <t>C2558</t>
  </si>
  <si>
    <t>863.2  I see now that Step 2 is not very clear because I am not mentioning  and . , If in Step 1 we discard the point and try again unless  and  then we end up with a roughly uniformly distributed point in . (That is, the restriction of the distribution to  is roughly uniform.), Then in Step 2 I want to fix , and the probability I’m talking about is the probability of being in  given that you are in . It is this that cannot go above  unless it is possible to get a density increase and an iteration., If nobody sees an obvious flaw in this approach by tomorrow morning (my time) then I suppose I’ll try to work out some details properly. I’m slightly suspicious of Steps 4 and 5. , One tiny remark for clarification: this is not supposed to be the Ajtai-Szemerédi approach: it’s a different argument that would combine the density increase on a 12-set (as given on the wiki) with a Randall/Terry style argument to get from that to a density increase on a subspace. My dream for the project as a whole is that we’ll end up with lots of different proofs …</t>
  </si>
  <si>
    <t>CTao_36298</t>
  </si>
  <si>
    <t>788. HOC(3)
I have now found the extremal solutions for the weighted problem in the hyper-optimistic conjecture, again using integer programming.
The first few values are
c^{\mu}_2=4  with 3 solutions
c^{\mu}_3=6  with 9 solutions
c^{\mu}_4=9  with 1 solution
c^{\mu}_5=12 with 1 solution, The solution for n=5 is here
http://abel.math.umu.se/~klasm/solutions-n=5-k=3-HOC, The solution for n=4 is here
http://abel.math.umu.se/~klasm/solutions-n=4-k=3-HOC, I’ll see if I can do n=6 as well.</t>
  </si>
  <si>
    <t>CTao_36299</t>
  </si>
  <si>
    <t>789 HOC(3), The solutions for n=3 are here
http://abel.math.umu.se/~klasm/solutions-n=3-k=3-HOC, The solutions for n=2 are here
http://abel.math.umu.se/~klasm/solutions-n=2-k=3-HOC</t>
  </si>
  <si>
    <t>C2560</t>
  </si>
  <si>
    <t>funny slip</t>
  </si>
  <si>
    <t>864.3 Obviously I meant “measurable with respect to the sigma algebra generated by the 12-sets”; although what I actually typed is an amusing oxymoron.</t>
  </si>
  <si>
    <t>C2564</t>
  </si>
  <si>
    <t>865.3, Ryan, it might help to consider the functions, ,, ,, ., Then  for all variable words , so your structure theory had better not be counting  as “01-uniform relative to 12-low-influence” or some similar category. On the other hand,  looks like it may be orthogonal to 12-low-influence.</t>
  </si>
  <si>
    <t>C2561</t>
  </si>
  <si>
    <t>Dear Ryan,, I’m hopeful on this long-term strategy too, but from experience with finitising the ergodic proof of Szemeredi’s theorem, I’m pretty sure that the proof is going to be yuckier than the Ajtai-Szemeredi-flavoured approach., 01-uniformity of a function f relative to 12-low influence is a bit stronger than what you’re saying.  It’s the assertion that ,  (1), is small for all bounded g and all 12-low influence h, where  ranges over lines.  The point here is that h depends not only on the fixed coordinates of h, but also on the location of the wildcards.  The statement you’re saying is roughly equivalent to saying that (1) is small in the case when h doesn’t depend on the location of the wildcards., Perhaps I can motivate things a bit better by considering the analogous notion when counting three-term progressions.  Here, the analogue of “12-low influence” is simply “constant”, and a function  is “uniform” (the analogue of “01-uniform relative to 12-low influence”) if one has, , small for all bounded g and all bounded h which are independent of n., Unfortunately, the structure theorems that show up in ergodic theory, once one leaves the “1-step” world and moves to the “higher-step” or “relative” world, are a bit messy, especially in the finitary world.  In principle the machinery from my paper will be relevant here, but I’m reluctant to unpack it all now; I’m hoping that the Ajtai-Szemeredi thread may lead to some new insights or simplifications first.  (Also, Tim Austin may soon be coming out with some new work that could also assist with this; more on this once it is more firm.)</t>
  </si>
  <si>
    <t>C2562</t>
  </si>
  <si>
    <t>I forgot to say that the key point in the length three progressions example was that while h did not depend on the n parameter (which roughly corresponds to the “fixed positions” of the line), it still depended on the r parameter (which correspond to the “wildcards” of the line).  Because of this, I don’t see an easy structure theorem here… the cheapest way is to take Fourier transforms and extract out the large Fourier modes, but this can’t really be done just by heat operators.</t>
  </si>
  <si>
    <t>C2563</t>
  </si>
  <si>
    <t>866.  12-sets, Randall raises a good point about 12-sets not being closed under union, though they are still closed under intersection.  To borrow a notation I floated a while back, one should make a distinction between “basic 12-sets” (the intersection of a 1-set and a 2-set, which to continue the topological analogy might be thought of as “sub-basic 12-sets”), and “general 12-sets”, which are unions (a bounded number of) of basic 12-sets.  In the iterative process that is carving out the 12-set A’ on which to locate a density increment, we are removing basic 12-sets from A’ at each iteration, and so the complexity of the 12-set A’ (i.e. the number of basic 12-sets needed to union together to make A’) increases with the iteration., This is going to cause a problem.  Some sort of regularity lemma might be needed here (the ergodic analogue of this would be the Lebesgue differentiation theorem: every general 12-set is very dense inside a basic 12-set).  But this might not be enough., The other alternative is to take advantage of the freedom in the finitary world to restrict to smaller subspaces in one’s hunt for a density increment; this is a trump card that the ergodic world doesn’t really have with current technology.  There is a chance that by continually restricting, one may only have to work with basic 12-sets and not general 12-sets.  I’ll think about it…, 866.1  This connects in an amusing way with a terminological difficulty I had, and that you picked up, on the wiki. A basic 12-set is like a rank-1 tensor, and at one point I tried to use the word “rank” instead of “complexity” for that reason. But I was inconsistent about it. , If we went on to DHJ(4) things would get more complicated still. For example, there’s an important distinction between a 12-set (an intersection of a 1-set and a 2-set) and a {1,2}-set (a set A such that whether or not (U,V,W,X) belongs to A depends only on the pair (U,V)). Then a {1,2}-function of rank at most k would be a sum of at most k basic {1,2}-functions, etc. etc., 866.2, Terry, having read Tim’s very exciting posts more carefully, I see what you meant now. Yes, I raised the point of the 12-sets not forming an algebra, but apparently I was too caught up in the ergodic paradigm to ignore it, as I should have. In the ergodic setting one develops a habit of thinking not about how one function correlates with another, but rather how a function projects to a subspace. Hence my counterproductive impulse to immediately go searching for an algebra on which to project.</t>
  </si>
  <si>
    <t>C2570</t>
  </si>
  <si>
    <t>866.2, Terry, having read Tim’s very exciting posts more carefully, I see what you meant now. Yes, I raised the point of the 12-sets not forming an algebra, but apparently I was too caught up in the ergodic paradigm to ignore it, as I should have. In the ergodic setting one develops a habit of thinking not about how one function correlates with another, but rather how a function projects to a subspace. Hence my counterproductive impulse to immediately go searching for an algebra on which to project.</t>
  </si>
  <si>
    <t>CTao_36302</t>
  </si>
  <si>
    <t>note</t>
  </si>
  <si>
    <t>part 1 of ?</t>
  </si>
  <si>
    <t xml:space="preserve">790. A super-optimist conjecture, For , </t>
  </si>
  <si>
    <t>CTao_36303</t>
  </si>
  <si>
    <t>Marc</t>
  </si>
  <si>
    <t>part 2 of ?</t>
  </si>
  <si>
    <t>791.  , 028,046,055,064,073,118,172,181,190,208,217,235,262,
316,334,352,361,406,433,442,541,550,604,613,622,
721,730,901,1000</t>
  </si>
  <si>
    <t>CTao_36309</t>
  </si>
  <si>
    <t>CTao_36303; CTao_36302; Jakobsen.813</t>
  </si>
  <si>
    <t>792. , Well, *that* was a short-lived conjecture. (re: Marc.791 in response to Dyer.790 — I just confirmed, and changed the spreadsheet) Was that done with random fiddling or was there a method?, Also I would like to remind people of the optimist conjecture in Jakobsen.813, which seems quite (well, moreso than other things) reasonable to prove.</t>
  </si>
  <si>
    <t>CTao_36310</t>
  </si>
  <si>
    <t>Kristal, Klas, Marc; Jason</t>
  </si>
  <si>
    <t>793.  Various, A lot of progress!  I will have to start a new thread soon, this one is being used up., Kristal: it seems the second case (when c(2****) &lt; 17) is missing from your 787.  I’ve tentatively updated Lemma 2 on the wiki to reflect this improved bound, but we’ll need to check that second case., Assuming this improvement, it means that 125-point Moser sets have at most 41 points in the middle slice, which forces them to have at least 41 points in the side slices.  This is good news, because we’ve got a computer list of all of these points.  In fact I have the following strategy to propose.  We know that a 125-point Moser set does not contain 22222, and so all the points in the Moser set are contained in at least one side slice.  More precisely, points with four 2s are contained in one side slice, points with three 2s are contained in two side slices, and so forth up to points with no 2s, which are contained in five side slices.  Double-counting this fact, we see that, 125 = sum_S a(S)/5 + b(S)/4 + c(S)/3 + d(S)/2 + e(S), where S ranges over the 10 side slices.  Dividing the side slices into five pairs (1****,3****), etc., and using the pigeonhole principle, we may thus assume without loss of generality that, a(1****) + 5 b(1****)/4 + 5 c(1****) / 3 + 5 d(1****) / 2 + 5 e(1*****), and, a(3****) + 5 b(3****)/4 + 5 c(3****) / 3 + 5 d(3****) / 2 + 5 e(3*****), sum to at least 125.  , Now, we know (contingent on Kristal’s lemma) that the 1**** and 3**** slices have at least 41 points.  On the spreadsheet, http://spreadsheets.google.com/ccc?key=p5T0SktZY9DuqNcxJ171Bbw&amp;hl=en, I’ve computed a+5b/4+5c/3+5d/2+5e for the 43 and 42-point solutions.  Encouragingly, the largest this quantity is is 63, and almost all of these numbers are less than 62; only the (4,16,23,0,0), (3,16,24,0,0), (4,15,24,0,0), (2,16,24,0,0) configurations are 62 or higher.  I haven’t entered in the 41-point data but I would assume the quantity is smaller than 62 in all those cases.  If so, that pins down the 1**** and 3**** slices quite precisely, and I would hope that this gets us close to finishing off the problem., Klas: Great!  I’ve updated the hyper-optimistic conjecture page and the spreadsheet to reflect your new data.  Thus far the HOC is holding up very nicely, we’ve verified it up to n=5.  If we get n=6 for either c^\mu_n or \overline{c}^\mu_n then it might be time to send this sequence to the OEIS also.  (The latter sequence is an integer sequence, and if HOC is true, the former is also.), Marc: I’ve added your example to the wiki and spreadsheet too.  Looks like Jason’s super-optimistic conjecture didn’t make it, unfortunately.</t>
  </si>
  <si>
    <t>CTao_36311</t>
  </si>
  <si>
    <t>794. HOC
From the comment in the wiki on using Behrend sets we have a super-linear lower bound for Fujimuras problem. So the nice pattern behind the super-optimistic conjecture is a small n effect., The HOC for n=6 seems a lot harder than the previous cases but I’ll see what I can do.</t>
  </si>
  <si>
    <t>CTao_36313</t>
  </si>
  <si>
    <t>spreadsheet update</t>
  </si>
  <si>
    <t>795. Moser(3), I’ve updated the Moser spreadsheet,, http://spreadsheets.google.com/ccc?key=p5T0SktZY9DuqNcxJ171Bbw&amp;hl=en, to input the 41-point data, and as expected the “score” a+5b/4+5c/3+5d/2+5e never reached 62 (though the anomalous d=3 solution got close, at 61.5).  Assuming Kristal’s lemma, this implies that there is a coordinate whose two side slices have one of the following statistics:, * (4,16,23,0,0) score: 62 1/3
* (3,16,24,0,0) score: 63
* (4,15,24,0,0) score: 62 3/4
* (2,16,24,0,0) score: 62, and furthermore the total score must add up to at least 125.  (For comparison, in the known 124 point example, the side slices have statistics (3,16,24,0,0), (2,16,24,0,0), or (1,16,24,0,0), with scores 63, 62, and 61 respectively.)  This looks like quite a bit of information with which one can work with.</t>
  </si>
  <si>
    <t>C2565</t>
  </si>
  <si>
    <t>866.1  This connects in an amusing way with a terminological difficulty I had, and that you picked up, on the wiki. A basic 12-set is like a rank-1 tensor, and at one point I tried to use the word “rank” instead of “complexity” for that reason. But I was inconsistent about it. , If we went on to DHJ(4) things would get more complicated still. For example, there’s an important distinction between a 12-set (an intersection of a 1-set and a 2-set) and a {1,2}-set (a set A such that whether or not (U,V,W,X) belongs to A depends only on the pair (U,V)). Then a {1,2}-function of rank at most k would be a sum of at most k basic {1,2}-functions, etc. etc.</t>
  </si>
  <si>
    <t>C2566</t>
  </si>
  <si>
    <t>commentary on previous thread</t>
  </si>
  <si>
    <t>867.  Density increment, I’m going to give a sort of commentary on 863 (which I reproduce here) as a first step towards either making it more precise or discovering a problem with it., 1. This is a way that one could choose a random point . You choose a random disjoint pair  and some random small wildcard sets . You assign values to the wildcards, fill  with 1s,  with 2s and put 3s everywhere else. That gives you your point, and it’s more or less uniformly distributed., I don’t foresee any problems with this step. It would use the uniform measure on  and exploit the fact that slices near  all have roughly the same size. The size of the wildcard sets would be some large constant that depended on the density of ., 2. Now let’s condition on  and the assignment of their values. (I’ll call this a random sequence fragment.) If the probability that  given the random sequence fragment is ever more than  (plus a tiny tiny amount) then we’ve got a density increase on a 12-set in a subspace, and can iterate., Here is a more precise formulation of what I mean, taking into account comment 863.1. Let me establish my terminology. A sequence fragment is a set  and a function  from  to  An extension of a sequence fragment  is a sequence  such that the restriction of  to  is  If  is any subset of , I shall write  for the set of all extensions of  that belong to , which can be naturally identified with a subset of , The precise statement of Step 2 is now this. If we can ever find a sequence fragment  such that  is a bit bigger than  then we can restrict the coordinates in  to  and iterate. Or at least, we can do that as long as  isn’t too small., One thing that makes me slightly anxious is the fact that the densities of the sets  may vary quite widely. But it occurs to me here that we may be able to do some kind of regularization by passing to a sequence fragment that maximizes this density and observing that the relative density of  must also be preserved or we would have found a density increment somewhere along the line. I’m pretty convinced this can be done if it’s needed, so I think for now I won’t worry about this problem too much (which makes me much more confident about the double counting arguments later on).  , I have to go so will continue this later.</t>
  </si>
  <si>
    <t>CTao_36319</t>
  </si>
  <si>
    <t>We have already shown that if
the center slice is 42 or 43 and it has
17 or more points then there at most 124., Case 2,      The center slice is 42 c less that 17
Then we must have c is 12
And we must have on of the 8
(6, 24, 12, 0, 0) sets.
without less of generality
we can assume it to be 
In particular the middle slice
Contains the points
2122 21212 21221
23322 23232 23223 and the *1*** and *3*** slices
have a d value of at least three and so have at most
41 points now if the center slice is 42 we have 124 points
and we are done so it must be 43 but then it has value 18 or more
and and by case 1 we have 124 points or less so we are done.</t>
  </si>
  <si>
    <t>CTao_36323</t>
  </si>
  <si>
    <t>Kristal; 795</t>
  </si>
  <si>
    <t>700-&gt;900</t>
  </si>
  <si>
    <t>796.  Moser(3), Thanks Kristal!  Looks like we are in very good shape now.  In particular we now have the situation described in 795; I’ll put that argument on the wiki now., As this thread is now basically full, I am closing it and we will be moving to the 900 thread at, https://terrytao.wordpress.com/2009/03/04/dhj3-900-999-density-hales-jewett-type-numbers/</t>
  </si>
  <si>
    <t>CTao_36324</t>
  </si>
  <si>
    <t>Tao_5</t>
  </si>
  <si>
    <t>double post</t>
  </si>
  <si>
    <t>reposting on a new thread</t>
  </si>
  <si>
    <t>adding something from the 700 thread to the 900 thread</t>
  </si>
  <si>
    <t>900. I have posted this to the old thread but in case I should
have put it in the new thread I am posting it here again., We have already shown that if
The center slice is 42 or 43 and it has
17 or more points then there at most 124
Case 2
The center slice is 42 and c is less that 17
Then we must have c is 12
And we must have on of the 8
(6, 24, 12, 0, 0) sets.
Without less of generality
We can assume it to be 
In particular the middles slice
Contains the points
2122 21212 21221
23322 23232 23223 and the *1*** and *3*** slices
have a d value of at least three and so have at most
41 points now if the center slice is 42 we have 124 points
and we are done so it must be 43 but then it has value 18 or more
and and by case 1 we have 124 points or less so we are done.</t>
  </si>
  <si>
    <t>C2568</t>
  </si>
  <si>
    <t>threading (870 is attached here)</t>
  </si>
  <si>
    <t>868. Density increment., 4. But there is a positive probability that  and  Moreover, the density of  inside the subspace  (I hope it’s easy to guess what that means) is at most  or we’re done. So, turning things round, there is in fact a positive probability that the conditional probability in 3 is somewhat less than  , This is a bit easier to say in the new language. If  are disjoint sets, let’s write  for the sequence fragment that takes the value  on  (so ). And if  then let’s write  for the extension of this fragment that takes value  at each ., For any given  let  be the intersection of all the sets . That is,  consists of all  such that  for every . It is easy to check (and I’ve done so — I promise) that  is a 12-set. In fact, I think I’ll need to give a quick proof of that later on., At this point we use the multidimensional Sperner type result to say that if we choose  at random then the expected density of  is positive (meaning bounded below  by a positive constant that depends only on  and the sizes of the sets  This is saying that if  is a dense 12-set, then a positive density of all possible m-dimensional combinatorial spaces (with very small wildcard sets) is contained in . This bit is not thoroughly checked, but I don’t think there’s much doubt that it can be with a bit of effort., Now let’s suppose that  Let  be the 1-set of  and let  be the 2-set of . Then we must have that the union of  and any subcollection of the  belongs to , and similarly for  and . And the converse is true too, since  is a 12-set. Let  be the set of all  such that  (to use my notation above), and similarly for . Then  is (naturally identified with) the set of all  with 1-set in  and 2-set in  So it really is a 12-set in , Now let’s fix a choice of  such that  has positive density. And let’s write  for , and similarly for  and . , For every  the subspace of all points  contains at most  points in  or we have our density increase on a subspace. Therefore, if we choose a random , the proportion of  such that  is on average at most . So choose  such that this proportion is at most ., Now let’s suppose that  has near maximal density  in , which I will denote by . This set naturally partitions into four parts, according to whether the 1-set/2-set of x belongs/does not belong to /. The density of  in the — part is too small, so elsewhere it must be too big. That gives us a density increase for  on a 12-set and we can iterate., All that can go wrong is if  does not have near maximal density in . But that would have to happen with positive probability, which means that somewhere we would get a density increase. , Metacomment., At the moment, as is clear, I haven’t quite got to the point of plunging in and writing things up formally, but the formality is increasing and I’m still not getting any sense that it’s on the point of collapse. This raises questions about how we should proceed if we get to the writing-up stage. The wiki has been great for that, but I think the inconvenience of it would start to bite quite hard if one were actually writing things up in complete detail. (Unfortunately, Luca hasn’t yet written a LaTeX2wiki converter …), What I’d ideally like is to start writing things in LaTeX but in such a way that others can edit it. I’m not sure if that is technically feasible, however. Another possibility would be to write a skeleton version on the wiki, with statements of the main lemmas and things like that, and then work on the proofs in LaTeX. Or I could just go ahead and do what Ryan did and post a link to a pdf, which anybody could comment on, and which I’d happily send to anyone if they wanted to add to it or make changes (though we would then have to know at all times who was in charge of the latest version). Or we could do something like that but split it into a number of subfiles, one for each section., 870. Metacomment, Perhaps using the wiki for LaTeX may not be that cumbersome, the wiki has the great advantage of being a common repository already, plus it has the tools to compare changes between versions.  , The idea would be to use the wiki simply as a storing device for the latest common LaTeX version, not a place to edit or view the paper.  Each time one user A would like to read and/or change something in the LaTeX (say one section at a time as you suggest), A would simply copy-paste the latest wiki version of that section into a blank LaTeX template file on A’s computer and continue editing and monitoring the pdf locally. When done A would simply: (1) copy-paste that new LaTeX section onto the current wiki version;  (2) check whether some changes to that section by some other user B have been made during A’s local editing. , If not, then no problem: A’s version is now the common current one and appears as such on the wiki. On the other hand if A sees that a new version by B had appeared in between, then A would quickly edit the wiki of that section and add as first line “merging in progress” (a signal preventing disciplined other users to make further changes). Then A and B would need to dicuss their respective version in the wiki discussion page or a blog thread, reach a satisfactory common one, add it to the wiki, and finally remove the “merging in progress” tag., Since only a few people are working on the project this situation should be fairly rare and localized, so that independent parts of the common overall LaTeX file would progress quickly.  Archived versions of the whole pdf file, say one per day, might  be storable on a separate blog thread for example.</t>
  </si>
  <si>
    <t>C2569</t>
  </si>
  <si>
    <t>is this relevant</t>
  </si>
  <si>
    <t>869. Here is a variant on Sperner that I wonder what is the situation for it, and if our discussion is relevant., Supposet that for every k dimensional discrete cube you have a specific “forbidden” pair of maximal distance elements. E.g. for k=5 you can exclude the pair {(10100),(010111)} How large can be a subset of {0,1}^n so that for every k whenevr you fix n-k coordinates you do not have the forbidden pair for the remaining k coordinates. (The case that for every k you forbid {(000…),(11,..,1)} is Sperner., we can try even to forbid pairs which depend on the identity of the n-k coordinates or on the contant of the n-k coordinates (but not both as a random large density subset shows).</t>
  </si>
  <si>
    <t>CTao_36330</t>
  </si>
  <si>
    <t>793; 795</t>
  </si>
  <si>
    <t>901.  Moser(3), I think we are now quite close to classifying all the 125 point Moser sets (if any) and thus computing  precisely., From Kristal’s lemma and the averaging argument from my 793, 795 comments, we now know that (after rotating a 125 point Moser set) that the 1****, 3**** slices have (a,b,c,d,e) distribution from the following four choices:, * (4,16,23,0,0) score: 62 1/3
* (3,16,24,0,0) score: 63
* (4,15,24,0,0) score: 62 3/4
* (2,16,24,0,0) score: 62, with total score at least 125.  The maximal or near-maximal “c” values of these slices force the “c” value of the middle slice 2**** to be at most 1.  , Now let A, B, C, D, E, F be the number of points in the Moser set with no 2s, one 2, …, five 2s respectively.  We already know that E=F=0; the above discussion shows that D is at most 1, and also A is at most 4+4=8.  Meanwhile, a double counting argument shows that 2B+C is at most 160 (details on the wiki).  Since, , we thus have, . (1), But this looks quite hard to satisfy; C can at most be 80!  Furthermore, if D is 1 (e.g. if 11222 is in the set), then C can be at most 77, because of the three lines (e.g. 11×22, 112×2, 1122x) going through the D-point that have their other vertices as C-points.    Also, as pointed out by Michael in 784, if C is 80, then A is at most 4.  So it’s looking quite hard to actually satisfy the equation (1).  Perhaps just a little more case analysis will finish the problem off for good… (and then we might look at how one can reduce the reliance on computer proofs, and perhaps even hope for a completely human proof).</t>
  </si>
  <si>
    <t>CTao_36331</t>
  </si>
  <si>
    <t>reference to the spreadsheet</t>
  </si>
  <si>
    <t>902.  Moser(3), Actually, I think I can show that D=1.  Suppose not (e.g. if 11222 was in the set); then there would be two choices of coordinates in which one of the side slices would have d=1 (e.g. 1**** and *1****).  But the table at, http://spreadsheets.google.com/ccc?key=p5T0SktZY9DuqNcxJ171Bbw&amp;hl=en, shows that such slices have a score of at most 59 7/12, so that the total score from those two coordinates is at most 63 + 59 7/12 = 122 7/12.  On the other hand, the other three slices have a net score of at most 63+63 = 126.  This averages out to at most 124.633… &lt; 125, a contradiction.  So D=0.</t>
  </si>
  <si>
    <t>CTao_36332</t>
  </si>
  <si>
    <t>903. , (The solutions I-VI are defined as in my last proof.), Here, “upper triangle” means the first four rows of the triangular lattice (with 060 at top) and “lower trapezoid” means the bottom three rows., Suppose 11 removals leave a triangle-free set., First, suppose that 5 removals come from the upper triangle and 6 come from the lower trapezoid., Suppose the trapezoid 600-420-321-303 used solution IV. There are three disjoint triangles 402-222-204, 213-123-114, and 105-015-006. The remainder of the points in the lower trapezoid (420, 321, 510, 501, 402, 312, 024) must be left open. 024 being open forces either 114 or 015 to be removed. , Suppose 114 is removed. Then 213 is open, and with 312 open that forces 222 to be removed. Then 204 is open, and with 024 that forces 006 to be removed. So the bottom trapezoid is a removal configuration of 600-411-303-222-114-006, and the rest of the points in the bottom trapezoid are open. All 10 points in the upper triangle form equilateral triangles with bottom trapezoid points, hence 10 removals in the upper triangle would be needed, so 114 being removed doesn’t work., Suppose 015 is removed. Then 006-024 forces 204 to be removed. Regardless of where the removal in 123-213-114, the points 420, 321, 222, 024, 510, 312, 501, 402, 105, and 006 must be open. This forces upper triangle removals at 330, 231, 042, 060, 051, 132, which is more than the 5 allowed, so 015 being removed doesn’t work, so the trapezoid 600-420-321-303 doesn’t use solution IV., Suppose the trapezoid 600-420-321-303 uses solution VI. The trapezoid 303-123-024-006 can’t be IV (already eliminated by symmetry) or VI’ (leaves the triangle 402-222-204). Suppose the trapezoid 303-123-024-006 is solution VI. The removals from the lower trapezoid are then 420, 501, 312, 123, 204, and 015, leaving the remaining points in the lower trapezoid open. The remaining open points is forces 10 upper triangle removals, so the trapezoid 600-420-321-303 doesn’t use solution VI. Therefore the trapezoid 303-123-024-006 is solution V. The removals from the lower trapezoid are then 420, 510, 312, 204, 114, and 105. The remaining points in the lower trapezoid are open, and force 9 upper triangle removals, hence the trapezoid 303-123-024-006 can’t be V, and the solution for 600-420-321-303 can’t be VI., The solution VI’ for the trapezoid 600-420-321-303 can be eliminated by the same logic by symmetry., Therefore it is impossible for 5 removals come from the upper triangle and 6 come from the lower trapezoid.
Therefore 4 removals come from the upper triangle and 7 come from the lower trapezoid., At this point note the triangle 141-411-141 must have one point removed, so let it be 141 and note that any logic that follows is also true for a removal of 411 and 141 by symmetry., This implies the upper triangle must have either solution I or II., Suppose it has solution II. Note there are five disjoint triangles 600-510-501, 411-321-312, 402-222-204, 213-123-114, and 105-015-006., Suppose 420 and 024 are removed. Then, noting 303 must be open, 606 must be removed, leaving 510 open. 510-240 forces 213 to be removed, and 510-150 force 114 to be removed. 213 are 114 are in the same disjoint triangle. Hence both 420 and 024 both can’t be removed., So at least either 420 or 024 is open. Let it be 420, noting by symmetry identical logic will apply if 024 is removed. Then 321, 222, and 123 are removed based on 420 and the open spaces in the upper triangle. This leaves four disjoint triangles 600-501-510, 402-303-312, 213-033-015, 204-114-105. So 411 and 420 are open, forcing the removal of 510. This leaves 501 open, and 501-411 forces the removal of 402. 600-303, and 330 are then open, forming an equilateral triangle. Therefore 420 isn’t open, therefore the upper triangle can’t have solution II., Therefore the upper triangle has solution I., Suppose 222 is open. 222 with open points in the upper triangle force 420, 321, 123, and 024 to be removed. This leaves four disjoint triangles 411-501-402, 213-303-204, 015-105-006, and 132-312-114. This would force 8 removals in the lower trapezoid, so 222 must be closed., Therefore 222 is removed. There are six disjoint triangles 150-420-123, 051-321-024, 231-501-204, 132-402-105, 510-150-114, and 312-042-015. So 600, 411, 393, 114, and 006 are open. 600-240 open forces 204 to be removed and 600-150 open forces 105 to be removed. This forces 501 and 402 to be open, but 411 is open, so there is the equilateral triangle 501-411-402., Therefore the solution of the upper triangle is not II, and we have a contradiction. So .</t>
  </si>
  <si>
    <t>C2605</t>
  </si>
  <si>
    <t>877. More speculation, I had a look on the wiki at the Ajtai-Szem proof page (I am somewhat embarrassed to admit I had never seen this proof before), and I have a few initial thoughts that may or may not lead in a positive direction. , First, I don’t see how multidimensional DHJ (2) can be the analog for Szemeredi’s theorem, given the disparity in depth between the results. In particular, it seems to me that whatever the analog for Szem is going to be, it has got to be a multiple recurrence theorem. I can’t think of what that would be in the DHJ setup, though. Now, as it happens I have long been pushing for a reduction of the problem to something else anyway, so thinking along these lines, here is a general proof strategy., Step 1. Reduce DHJ (3) to IP Roth using the “density increment on a subspace for a set correlated with a 12-set” strategy I tried to outline in a speculative fashion in 864. (This step is indeed speculative; I have no idea whether or how it can work.), Step 2. Reduce IP Roth to “IP* Szemeredi” via the Ajtai-Szemeredi argument. (I have not thought about this at all. It might be really easy, though, if the analogs are the right ones, given how easy the Ajtai-Szem argument is.) , Step 3. Come up with a combinatorial proof of IP* Szemeredi. (No real idea how this might go….), IP* Szemeredi: Let . There is an  such that if  with  then    contains a configuration of the form  for some  and some ., 877.1  Randall, that first point of yours is one I’ve mentioned a couple of times, but I haven’t really properly justified my view that it shouldn’t be a problem. So I’m going to think about it now. I may well end up deciding that it is a problem after all., 877.2 , Well there is certainly no reason not to uses subspaces in that way; in fact it’s part of the Furstenberg-Katznelson argument (cf. first three lines of p. 7 of my notes). Something different seems to be going on in the Ajtai-Szemeredi argument, though, where Szemeredi’s theorem seems to be doing virtually all of the work.</t>
  </si>
  <si>
    <t xml:space="preserve">This is a continuation of the 700-799 thread of the polymath1 project, which is now full.  During the course of that thread, we have made significant progress on the three problems being focused on:
1.  Upper and lower bounds for  for small n.
Let  be the largest size of a set in  without a combinatorial line.   We now have both human and computer-assisted proofs of the first few values of this sequence:
.
The current best-known bounds for  are .  Given the gap involved here, and the rate at which the complexity of the problem has increased with n, it seems unlikely that we will be able to compute  exactly any time soon, but it is possible that some improvement can still be made here.
2.  A hyper-optimistic conjecture
Consider a variant of the above problem in which each element of  with a 1s, b 2s, and c 3s is weighted by the factor ; this gives  a total weight of .  Let  be the largest weight of a line-free set of , and let  be the largest size of a subset of
which contains no upward-pointing equilateral triangles  with r&gt;0.  It is known that ; the “hyper-optimistic conjecture” is that one in fact has .  This would imply density Hales-Jewett for k=3.
Currently, the conjecture is verified for , where the values of  for  are 1,2,4,6,9,12 respectively; see this page and this page for details.  It seems feasible to handle .  Currently we know that  and .
3.  Asymptotics for Moser’s cube problem
Moser’s cube problem asks to compute the largest size  of a subset of the cube  without geometric lines.  The first few values of  are known:
.
The best asymptotic lower bound known is still of the order of .  Improving this bound seems related to the well-known problem of improving the bounds in Behrend’s construction of an AP-3 free set of integers.
We are quite close now to pinning down ; we know that it is equal to either 124 or 125, and it is looking increasingly unlikely that it is 125.
Comments on this thread should start at 900.
Share this:PrintEmailMoreTwitterFacebookRedditPinterestLike this:Like Loading... </t>
  </si>
  <si>
    <t>CTao_36333</t>
  </si>
  <si>
    <t>Kareem Carr</t>
  </si>
  <si>
    <t>902. Terry had previously mentioned that a GA (Genetic Algorithm) based solution might be something to try so I implemented one.  The best results were:,  3^5,     150
 3^6,     450
 3^7,   1302
 3^8,   3780
 3^9, 11340, The GA fairly easily found the first three.  It starts getting challenging around 8 and 9.  I have run the program several times on each example and the results are replicable.   I am having trouble with 3^10.  The best result so far is 32272.  I feel some confidence in the results for 7,8 and 9 as I’ve attained them several times (the smaller ones more often than the large ones due to computational restraints)., At this point, it might be reasonable to conjecture that the procedure used to predict 1302, 3780 and 11340 will continue to be valid for larger n., I will put the solutions on my blog.</t>
  </si>
  <si>
    <t>CTao_36338</t>
  </si>
  <si>
    <t>903.  Genetic algorithms, Kareem, this is very interesting!  One is tempted to see how the algorithm would cope with the other three quantities  we are studying (and in particular to see what it does with ).  One difficulty with the Moser problem is that there are substantially more lines (the cube  has  combinatorial lines, but  geometric lines)., It would also be great to have some details on implementation and various statistics (e.g. population size, number of iterations needed to reach the solution, etc.).</t>
  </si>
  <si>
    <t>CTao_36342</t>
  </si>
  <si>
    <t>wiki update could be anonymous</t>
  </si>
  <si>
    <t>Metacomment., Someone (Marc again?) posted lower bound improvements to  and . I have modified the spreadsheet to match., Since the editor didn’t log in to the wiki, all we have is the IP address. This brings up the odd notion that someone could contribute to the project yet be entirely anonymous.</t>
  </si>
  <si>
    <t>CTao_36343</t>
  </si>
  <si>
    <t>904. Scores for , It might be possible to adapt Terry’s score to limit the possible values of ., The following argument assumes f=g=0, which is likely to be correct., Consider the sixty corners 11****, 13**** and so on.
Give the  arrangements the score .  The total of the scores equals the number of points in the solution., Of the 41-point, 42-point and 43-point solutions, the highest score is 5.833
If that were the highest possible score,  would be at most 350.</t>
  </si>
  <si>
    <t>CTao_36344</t>
  </si>
  <si>
    <t>lookup table</t>
  </si>
  <si>
    <t>905. Genetic Algorithm Details, ** Lookup Table **, I created a lookup table for each c_n on which I ran the genetic algorithm.  This speeds up checking if a chromosome is line-free tremendously, making this tractable.  (Any ideas about efficient ways to do this will have a very large effect on the speed of the algorithm)., ** Encoding Solutions **, Chromosome structure: I code the solutions as a list of ones and zeros of length 3^n.   The elements are ordered in this way 1…11, 1…12, 1…13, 1…21 and so on.  A 0 in position 1 means element 1…11 is not in the set, otherwise it is., ** Making a new generation **, Selection: Any solutions below the mean of the population are completely ignored.  The rest are selected with a probablity related to their score., Crossover operator:  I pick a random number, m between 2 and (3^n) – 1 and I make a new chromosome with the first m elements of a one chromosome and the last (3^n) – m elements of another chromosome., Mutation operator:  I pick a few points at random and flip them., I check any new chromosomes to make sure they are valid.  I do this by going through the chromosome elements in a random order (visiting each one) and removing points that conflict with other points. , ** Population size **, I use elitism. (I keep the best 5 or sometimes 10 between generations.), Population size: 60, I make more children than I can use (somewhere between 60-80) making the algorithm somewhat Malthusian.   I take the best of the children and use them to replace the rest of the population. , ** Non-standard addition **, An extremely effective trick has been to use a greedy algoritm on the list of all solutions to:, 1. pick a small but fixed number of points in each chromosome and flip them if they improve the score., 2. run the greedy algorithm on the whole chromosome, going through all positions in a random order, and flipping any that make an improvement., I vary the number of times I use 1 versus 2 in order to control the computational costs of this step., I have found that without this step the algorithm is dramatically less good., ** Adaptive Elements **, The mutation rate is adaptive.  I keep statistics on whether there are any repetitions in the chromosomes I generated and if there are, I increase the mutation rate until they disappear.  Thus the mutation rate is just high enough to make sure a maximum number of novel solutions are being explored.  If I have increased the rate twice in a row then I double the increment size and if I decrease the rate twice in the row then I half the increment size. (This allows quick changes in the rate if necessary.), I also keep statistics on the probability that crossover and the probability that mutaton improve the score.  I randomly choose one or the other in proportion to their effectiveness in the last generation., ** Cataloging solutions **, I set a criteria for when I think the genetic algorithm is stuck (200 generations with no change in the best performer).  If there is no improvement then I restart the algorithm and I store the best solution., ** Final comments **, For n less than 8, this works very quickly.  For n=5, a quick look at a few examples shows 150 is attained within 40 generations.  This gets faster after the program has attained the solution once because a better mutation rate than my default guess is found.</t>
  </si>
  <si>
    <t>CTao_36345</t>
  </si>
  <si>
    <t>906., In a previous thread, I saw that 12 solutions were found for c_5.  I was also able to find these solutions.  In addition, I found 12 solutions for c_7.  I only found a single solution for c_8 and c_9.  Could this mean that if n is a prime larger than 3, there are 12 solutions?, I am not sure if this is already known but the 12 solutions for c_5 can be constructed from 9 smaller units: 6 of length 5 and 3 of length 70.  Each solution contains four disjoint units: two of length 70 and two of length 5., The 12 solutions for c_7 can be similarly constructed from 9 smaller units: 6 of length 21 and 3 of length 630.   Each solution again contains four disjoint units: two of length 630 and two of length 21., I will put the units used to make the solutions on my website along with the solutions as soon as soon as I have enough time to organize the data.</t>
  </si>
  <si>
    <t>CTao_36346</t>
  </si>
  <si>
    <t>906.  Scores for , Michael: this is a nice observation!  The proposed upper bound of 350 is close enough to the current lower bound of 344 that one can hope that  may actually be feasible to compute exactly.  (It would be interesting to see how the genetic algorithm performs on this problem.), There may be three ways to establish rigorously that 5.833 is the highest -score of all four-dimensional Moser sets.  Firstly, I would assume that Klas’s integer programming methods (which were able to find the maximal value of , namely 43) would also be able to find the maximal value of this score in a comparable amount of time (and even classify extremisers, etc.).  Secondly, it may be that for 40-point sets and below one can use the inequalities that one already has on a,b,c,d,e (some are collected at the wiki page) together with the inequality .  A third way is to iterate the score strategy.  One can presumably dispose of the e=1 case (we know already, for instance, that such sets have at most 39 points).  Once e is gone, we can bound the score of a 4D Moser set by an average of a different type of score for 3D Moser sets.  Now, the set of possibilities of statistics (a,b,c,d) of a 3D Moser set should be computable more or less exactly.  Actually, come to think of it, this is a worthwhile project to do anyway, as it may help us a lot in obtaining a human proof of Klas’s very valuable computer-generated facts about 4D Moser statistics that we have been relying heavily on in our 5D analysis.  I guess a warmup is to first completely understand the (a,b,c) statistics of a 2D Moser set.</t>
  </si>
  <si>
    <t>CTao_36347</t>
  </si>
  <si>
    <t>907., I have noticed that each group of 70 seems to have two possible groups of 5 which are associated with it.  Thus to construct a solution, we pick two groups of 70 (of the three possible) and then for each selected group of 70, we pick one of the two possible associated groups of 5.  (Again, if this is repetition, I apologize.), I think the same principle applies to the c_7 solutions.</t>
  </si>
  <si>
    <t>CTao_36349</t>
  </si>
  <si>
    <t>908.  Moser statistics, I’ve started on the wiki a proposal to control the statistics (a,b,c,…) of Moser sets in low dimensions.  Some definitions:, * A statistic (a,b,c,…) is attainable if there is a Moser set with that statistic.  For instance, (2,4,0) is attainable due to the Moser set {11, 12, 21, 23, 32, 33}., * An attainable statistic is Pareto-optimal if it is not pointwise dominated by another attainable statistic.  For instance (2,4,0) is Pareto-optimal, but (2,3,0) is not.,  * An attainable statistic is extremal if it is not the convex combination of other attainable statistics; this is stronger than Pareto-optimal.  For instance (3,2,0) is Pareto-optimal but not extremal (it’s a convex combination of (2,4,0) and (4,0,0)., If one wants to maximise a linear score (or more generally, a convex score) over all statistics, it suffices to check it on extremal statistics.  So it looks like a worthwhile task to classify extremal statistics for small n. So far I have, * n=0: The extremal statistics are (1).
* n=1: The extremal statistics are (2,0), (1,1).
* n=2: The extremal statistics are (4,0,0), (2,4,0), (2,2,1).  There is also an additional Pareto-optimal statistic (3,2,0)., It looks like n=3 should be completely computable, and then (perhaps with the assistance of the known statistics for 41+ points) n=4 should be also.</t>
  </si>
  <si>
    <t>CTao_36350</t>
  </si>
  <si>
    <t>Odonnell.832</t>
  </si>
  <si>
    <t>909. Alternate cube problem type, Back in the other thread in the replies to O’Donnell .832 I mentioned using alternate wildcard types to produce variations of Moser’s., In patricular consider one with two wildcards * and #, such that * gives 1, 2, 3 and # gives 2, 3, 1. (In other words, rather than the permutation between the wildcards being a 2-cycle, it’s a 3-cycle.) The leads to lines like for example **# which gives 112, 223, and 331., I was curious how this looked so I tried a picture for 3^3:, Picture of 3 cycle permutation of wildcards, I did not add in the standard combinatorial lines from having only a single wild card., How many removals are needed so there are no more lines? Is this a known problem, or a new one?, And if it’s a new problem, what would it be called? “3-cycle cube problem” doesn’t make me entirely happy.</t>
  </si>
  <si>
    <t>CTao_36352</t>
  </si>
  <si>
    <t>910.  Alternate cube problem, Dear Jason,, I haven’t seen this problem before, but if you allow six wildcards that encode all 3! permutations of 123, then this is basically the capset problem (i.e. computing )., Randall McCutcheon and Seva Lev independently proposed what we now call the “Strong Roth theorem” on the wiki, which corresponds to using the three wildcards 123, 231, 312 (i.e. cyclic permutations of 123).  This problem, like the capset problem has the advantage of being translation-invariant with respect to the addition structure of ., I’ll put something to this effect on the wiki.</t>
  </si>
  <si>
    <t>CTao_36358</t>
  </si>
  <si>
    <t>911. If a Moser set has 124 points or less and its center slice is of side 41
It must have 11 points or less with two twos in its center slice.,      Suppose it has 12 or more then all 12 points have values
not equal to 2 divided among 4 coordinates there are 24 such values
So one coordinate must have six of these values.,       Now if four of these are are equal to one or four equal to three
we have one side slice equal to 40 (since a 41 point slice can have
at most d equal to three) and combined with
the fact we have shown the center slice must be 41 or lower and the third slice must be 43 or less we have the total points sum to 124
 or less and we are done so they must be divided 3 3 and then each side
slice must be 41 or less and that combined with the center slice being 41 or less we 124 points or less and we are done.</t>
  </si>
  <si>
    <t>CTao_36360</t>
  </si>
  <si>
    <t>912. If  the center slice of a Moser set is size 41 or more the set must have
124 or less points.,      Because we have shown c of the center slice must be less than 12
we are left only with case where there are c = 6, note that these points have three 2’s
overall in the configuration . We will first show that there must
be three or more points with three  twos outside the center slice, Now since c = 6 the 6 points have
12 coordinates with value 1 or 3 divided among 4 coordinates
one coordinate must have at least three of these coordinates now if we slice
at this coordinate we will three coordinates which will not be in the
center slice then if there are less than three coordinates with three twos
outs we will end up with c for the center slice being less than 6
and hence the center slice will have to have 40 points or less and the three points
with two threes that moved outside the center will if they lie
in one slice lower its value to 41 hence lower the total value to or less
if they are split among two slices those slices will have value 42 or less
and combined with 40 or less of the center will give 124 or less.,      So we have must 9 points then we must have one cut with side slices 43 or more and since d=0 for the side slices we have all 9 points with three twos
In the center slice then we have 18 values not equal to 2 divided among
4 coordinates one must have 5 values  we cut along that coordinate
and if one of the side slices has 4 or more points then that slice will have 40 or
less points and that combined with the 41 points of the center slice
and the fact the remaining slice must have 43 or less points gives 124
and we are done. So we must have 3 such points in one outside slice
and two in another. That gives at most 41 points in the center slice
at most 42 points in one side slice and at most 41 points in the other slice
which gives less than 124 points and we are done.</t>
  </si>
  <si>
    <t>CTao_36362</t>
  </si>
  <si>
    <t>913. If a Moser set contains a point with three twos it has 124
points or less.
     We have there is cut which gives one slice with
43 points on each outside slice thus the point with three twos
must lie in the center slice of this cut we slice at a value where this point
does not equal two then in the new set of slices the center slice
must have 40 points or less and the point with three twos must
lie on one of the outside slices if it has value 41 the we must have
a total of 124 points and we are done if it has value 42 it must have
two points with three twos and one coordinate at which these points
have values 3 and 1 we slice at this value and get that the center slice
must have 40 points or less and since the two side slices have at least
one point with three two’s each they must have 42 points or less and
the total is 124 or less and we are done.</t>
  </si>
  <si>
    <t>C2574</t>
  </si>
  <si>
    <t>Jon</t>
  </si>
  <si>
    <t>870. Metacomment, Perhaps using the wiki for LaTeX may not be that cumbersome, the wiki has the great advantage of being a common repository already, plus it has the tools to compare changes between versions.  , The idea would be to use the wiki simply as a storing device for the latest common LaTeX version, not a place to edit or view the paper.  Each time one user A would like to read and/or change something in the LaTeX (say one section at a time as you suggest), A would simply copy-paste the latest wiki version of that section into a blank LaTeX template file on A’s computer and continue editing and monitoring the pdf locally. When done A would simply: (1) copy-paste that new LaTeX section onto the current wiki version;  (2) check whether some changes to that section by some other user B have been made during A’s local editing. , If not, then no problem: A’s version is now the common current one and appears as such on the wiki. On the other hand if A sees that a new version by B had appeared in between, then A would quickly edit the wiki of that section and add as first line “merging in progress” (a signal preventing disciplined other users to make further changes). Then A and B would need to dicuss their respective version in the wiki discussion page or a blog thread, reach a satisfactory common one, add it to the wiki, and finally remove the “merging in progress” tag., Since only a few people are working on the project this situation should be fairly rare and localized, so that independent parts of the common overall LaTeX file would progress quickly.  Archived versions of the whole pdf file, say one per day, might  be storable on a separate blog thread for example.</t>
  </si>
  <si>
    <t>C2576</t>
  </si>
  <si>
    <t>progress report</t>
  </si>
  <si>
    <t xml:space="preserve">skeleton proof exists somewhere??? </t>
  </si>
  <si>
    <t>870. Progress report., No time to do anything more today. This is to say that I’ve written a skeleton proof on the wiki and will try to flesh it out in the near future.</t>
  </si>
  <si>
    <t>CTao_36379</t>
  </si>
  <si>
    <t>914. Pareto set of , There seem to be 22 Pareto-optimal statistics:, (3,6,3,1),(4,4,3,1),(4,6,2,1),(2,6,6,0),(3,6,5,0),(4,4,5,0),(3,7,4,0),(4,6,4,0), (3,9,3,0),(4,7,3,0),(5,4,3,0),(4,9,2,0),(5,6,2,0),(6,3,2,0),(3,10,1,0),(5,7,1,0), (6,4,1,0),(4,12,0,0),(5,9,0,0),(6,6,0,0),(7,3,0,0),(8,0,0,0), If I use the same argument as in 904,  is only restricted to 132 or below, which is not very effective.  Even excluding points with three 2s, as Kristal has achieved, this argument only restricts  to 128 or below.</t>
  </si>
  <si>
    <t>CTao_36394</t>
  </si>
  <si>
    <t>915. Hi everyone,, Sorry about the delay.  Judging from the traffic there has been a lot of interest.  There is now a zip file on my website with the solutions that I have managed to compute so far.  I tried to make it as complete as I could., http://twofoldgaze.wordpress.com/2009/03/06/hales-jewett/</t>
  </si>
  <si>
    <t>CTao_36395</t>
  </si>
  <si>
    <t>warning</t>
  </si>
  <si>
    <t>916. Just one warning, there is an error in the long form of the disjoint sets which generate the solutions for 3^7.  The elements listed are of length 5 and not the expected 7 (a consequence of not setting a parameter n=7 somewhere after I had finished doing the 12 solutions of n=5.)  I will get it fixed.</t>
  </si>
  <si>
    <t>CTao_36397</t>
  </si>
  <si>
    <t>Kristal, Michael, Kareem</t>
  </si>
  <si>
    <t>917., I’m a bit busy today, so only some quick comments here:, Kristal: I haven’t had time to verify your results yet, but they look very interesting!  If you have time you might want to merge them with the lemmas on the wiki page., Michael: Nice! Your list shows, by the way, that the previous computation that a 3D Moser set with 222 has at most 13 points is sharp.  (This is one of the reasons it’s nice to have a list of extremal triples)., Presumably if one reduces from Pareto-optimal triples to extremal triples then one should have a much smaller (and hence more tractable) set of triples to work with.  Once one has those, one should be able to describe the sharp linear inequalities between a,b,c,d in 3D.  For instance, in 2D, where the extremals are (4,0,0), (2,4,0), (2,2,1), there is only one non-trivial sharp linear inequality  between the a,b,c, together of course with the trivial inequalities , , ., Once we have the sharp linear inequalities in 3D, the averaging trick should then give us a bunch of useful linear inequalities in 4D.  These are probably not optimal in themselves (in particular, they probably won’t be able to recover the sharp bound of 43, which still does not have a short human proof) but I’m hoping in conjunction with the data on 41, 42, and 43 point sets, we can do things like verify your conjecture that 4D Moser sets have a 5D score of at most 5.833., Kareem: thanks for the data and the details of the GA!</t>
  </si>
  <si>
    <t>CTao_36399</t>
  </si>
  <si>
    <t>918. , Finishing  will take some time, so here’s a quick chunk off of ., I’m using the same eight extremal solutions to  as previous proofs:, Solution I: remove 300, 020, 111, 003
Solution II: remove 030, 111, 201, 102
Solution III (and 2 rotations): remove 030, 021, 210, 102
Solution III’ (and 2 rotations): remove 030, 120, 012, 201, Suppose the 8x8x8 lattice can be triangle-free with only 13 removals., Slice the lattice into region A (070-340-043) region B (430-700-403) and region C (034-304-007). Each region must have at least 4 points removed. Note there is an additional disjoint triangle 232-322-223 that also must have a point removed. Therefore the points 331, 133, and 313 are open. 331-313 open means 511 must be removed, 331-133 open means 151 must be removed, and 133-313 open means 115 must be removed. Based on the three removals, the solutions for regions A, B, and C must be either I or II. All possible combinations for the solutions leave several triangles open (for example 160-520-124). So we have a contradiction, and .</t>
  </si>
  <si>
    <t>CTao_36400</t>
  </si>
  <si>
    <t>919. …and I completely blanked on the rotations of II (fixing 151 helps nullify the III cases, but allows II to be rotated), which means I need to go back and fix my previous proofs. The proof of 918 is still fine, although a complete listing of cases might be in order.</t>
  </si>
  <si>
    <t>CTao_36401</t>
  </si>
  <si>
    <t>920. For n=6 a Moser set must contain 373 or less points.,      We have from 912 that if n=5 a 125 point set must have its center slice
40 or less. Then slice arbitrarily call the coordinate i if the Moser set is 374
or more two of the slices  must have 125 points and those slices must
have a center slice of 40 then if we slice again call that coordinate j so we have 9
sets of 81 points with each set representing one choice of two coordinates i, j
by the above For the two values of  i with 125 points the center slices must be forty or less
which means the center slice of the set with respect to j has at most
40 + 40 + 43 points and by looking at the j slices we get 125 + 125 + 123 = 373 points or less.</t>
  </si>
  <si>
    <t>CTao_36404</t>
  </si>
  <si>
    <t>921. If a Moser set has 125 points then the number of points with
exactly two 2’s is either 78 or 79. ,      It must be less than 80
by lemma three in the section of the wiki dealing with Moser
sets for n=5.,      If it is 77 or less then the three or more missing points must have
6 or more values equal to 2 divided among 5 coordinates
one coordinate must have two such values. Then in
that coordinate b must be equal to 30 or less. Now
if this center slice is 38 or less then we have 38 + 43 + 43 is less than 125 and we are done. So it must be 39 or more. We have
4a + b is less than or equal to 64 from the section of the
wiki on Moser sets devoted to n = 4. so we have a + b
is 39 or more and 4a + b is 64 or less we can subtract
and get 3a is less than 25 so a is less than 9 but that combined
with b is thirty or less gives a total set size of 38 or less which results in a contradiction as noted above., So the number of points with exactly 2 2’s in a Moser set with n=5
With 125 or more points is greater than 77 and not equal to 80.
So it must be 78 or 79.</t>
  </si>
  <si>
    <t>CTao_36405</t>
  </si>
  <si>
    <t>922. I am going to have to redo 912 I made a mistake in which I assumed their
had to be two side slices in one cut with 43 points or more.
However it can be easily fixed. Here is the corrected version:,      If the center slice of a Moser set is size 41 or more the set must have
124 or less points.,      Because we have shown c of the center slice must be less than 12
we are left only with case where there are c = 6, note that these points have three 2’s
overall in the configuration . We will first show that there must
be three or more points with three twos outside the center slice, Now since c = 6 the 6 points have
12 coordinates with value 1 or 3 divided among 4 coordinates
one coordinate must have at least three of these coordinates now if we slice
at this coordinate we will three coordinates which will not be in the
center slice then if there are less than three coordinates with three twos
outs we will end up with c for the center slice being less than 6
and hence the center slice will have to have 40 points or less and the three points
with two threes that moved outside the center will if they lie
in one slice lower its value to 41 hence lower the total value to or less
if they are split among two slices those slices will have value 42 or less
and combined with 40 or less of the center will give 124 or less.
So we have must 9 points then we must have one cut with side slices in one of the four categories
   1.  (2,16,24,0,0) 42 points, score: 62
   2. (4,16,23,0,0) 43 points, score: 62 1/3
   3. (4,15,24,0,0) 43 points, score: 62 3/4
   4. (3,16,24,0,0) 43 points, score: 63
See the wiki on Moser sets, the section n = 5 lemma four and following discussion
for the details of this.,      This implies d=0 for the side slices of this cut we have all 9 points with three twos
in the center slice then we have 18 values not equal to 2 divided among
4 coordinates one must have 5 values we cut along that coordinate
and if one of the side slices has 4 or more points then that slice will have 40 or
less points and that combined with the 41 points of the center slice
and the fact the remaining slice must have 43 or less points gives 124
and we are done. So we must have 3 such points in one outside slice
and two in another. That gives at most 41 points in the center slice
at most 42 points in one side slice and at most 41 points in the other slice
which gives less than 124 points and we are done.</t>
  </si>
  <si>
    <t>CTao_36406</t>
  </si>
  <si>
    <t>923 Fujimura’s problem
Earlier today coded up Fujimura’s problem for integer programming. Here are the results, n=3, maximum 6 points,  10 solutions
n=4, maximum 9 points,  1 solution
n=5, maximum 12 points,  1 solution
n=6, maximum 15 points,  4 solutions
n=7, maximum 18 points,  85 solutions
n=8, maximum 22 points,  72 solutions
n=9, maximum 26 points,  183 solutions
n=10, maximum 31 points,  6 solutions
n=11, maximum 35 points,  576 solutions
n=12, maximum 40 points,  876 solutions, Here are the solutions for n=3
http://abel.math.umu.se/~klasm/solutions-n=3-k=3-FUJ, Here are the solutions for n=4
http://abel.math.umu.se/~klasm/solutions-n=3-k=3-FUJ</t>
  </si>
  <si>
    <t>CTao_36407</t>
  </si>
  <si>
    <t>924.
Here are the solutions for n=5
http://abel.math.umu.se/~klasm/solutions-n=5-k=3-FUJ, Here are the solutions for n=6
http://abel.math.umu.se/~klasm/solutions-n=6-k=3-FUJ</t>
  </si>
  <si>
    <t>CTao_36408</t>
  </si>
  <si>
    <t>925
Here are the solutions for n=7
http://abel.math.umu.se/~klasm/solutions-n=7-k=3-FUJ, Here are the solutions for n=8
http://abel.math.umu.se/~klasm/solutions-n=8-k=3-FUJ</t>
  </si>
  <si>
    <t>CTao_36409</t>
  </si>
  <si>
    <t>926
Here are the solutions for n=9
http://abel.math.umu.se/~klasm/solutions-n=9-k=3-FUJ, Here are the solutions for n=10
http://abel.math.umu.se/~klasm/solutions-n=10-k=3-FUJ</t>
  </si>
  <si>
    <t>CTao_36410</t>
  </si>
  <si>
    <t>927
Here are the solutions for n=11
http://abel.math.umu.se/~klasm/solutions-n=11-k=3-FUJ, Here are the solutions for n=12
http://abel.math.umu.se/~klasm/solutions-n=12-k=3-FUJ</t>
  </si>
  <si>
    <t>CTao_36414</t>
  </si>
  <si>
    <t>928., Hi everyone,, I have been computing the first few c’_prime numbers and I got an extremal that was too large for n=3.  Can someone help me find the geometric line in this solution?, {112, 113, 121, 123, 131, 132, 211, 213, 231, 233, 311, 312, 321, 323, 332, 333}, Thank you., (I apologize if this is a repeated comment, something seems like it went wrong with my submission.)</t>
  </si>
  <si>
    <t>CTao_36415</t>
  </si>
  <si>
    <t>929.  , Oops, I think that was my fault; I wrote  on the blog post when it should be .  Corrected now…</t>
  </si>
  <si>
    <t>CTao_36417</t>
  </si>
  <si>
    <t>guest</t>
  </si>
  <si>
    <t>Kareem</t>
  </si>
  <si>
    <t>have we tried x</t>
  </si>
  <si>
    <t>930., Kareem,, Have you tried a version of your genetic algorithm *without* crossover? In other words, a randomized version of hill-climbing based on your mutation operator? (run many times with different starting points.) I’ve heard several people who have worked with GAs report that sometimes switching to randomized hill-climbing, iterated with different initial conditions, gives results more efficiently., (if nothing else, this is easy to test–just comment out the crossover step!)</t>
  </si>
  <si>
    <t>C2590</t>
  </si>
  <si>
    <t>871.  Passing between measures., I noted that Tim’s skeleton proof on the wiki at one point sketches why, if you have density  in the equal-slices measure, you can pass to a largish combinatorial subspace on which you have density  in the uniform measure., I wrote up this proof carefully on the wiki.  I tried to make it crisp; hopefully that didn’t introduce major mistakes.  , Nothing unexpected happened; the result is that you can pass to a subspace of dimension at least  while losing only  additively in the density., If someone wants to amuse themselves, they can try to evaluate this quantity that arises: .  It’s not hard to check that this is  (I think), but is it in fact ?, 871.1.  In the amusement, it should be  out front, not ., 871.2 2 questions: How general is the passing between measure phenomenon goes. When there is a group action say for the cup set problem, whenever you prove a bound for any measure the same bound apply to the uniform measure by averaging. What is the situation here? It looks ok for moving from equal slice to uniform (when you pass the a larger subspace) but how general measures you can start with., I am probably trying to get away with not reading some detailed proofs and missed some crucial postings, but let me still ask: on the very conceptual and general level, what is the main ingredient that allows fourier proofs to work after all the initial examples of various sets with irregular number of lines and no large fourier coefficients?</t>
  </si>
  <si>
    <t>C2591</t>
  </si>
  <si>
    <t>871.1.  In the amusement, it should be  out front, not .</t>
  </si>
  <si>
    <t>C2592</t>
  </si>
  <si>
    <t>871.2 2 questions: How general is the passing between measure phenomenon goes. When there is a group action say for the cup set problem, whenever you prove a bound for any measure the same bound apply to the uniform measure by averaging. What is the situation here? It looks ok for moving from equal slice to uniform (when you pass the a larger subspace) but how general measures you can start with., I am probably trying to get away with not reading some detailed proofs and missed some crucial postings, but let me still ask: on the very conceptual and general level, what is the main ingredient that allows fourier proofs to work after all the initial examples of various sets with irregular number of lines and no large fourier coefficients?</t>
  </si>
  <si>
    <t>C2593</t>
  </si>
  <si>
    <t>872.  Fourier etc., Gil, I’m not quite certain to which Fourier proofs you are referring. But if you mean how can a density-increment strategy have a chance of working if it is not the case that the wrong number of lines implies a large Fourier coefficient, then the answer is (i) that one can keep localizing to subspaces and (ii) that one can directly prove correlation with a 12-set (on a suitable subspace) rather than via some kind of expansion. If you are referring to Fourier approaches to Sperner, the answer (depending on which approach you are talking about — both are written up on the wiki) is either that some non-Fourier ingredients are included, or that equal-slices measure is used so that some of the troublesome examples no longer work. , Basically though, if I had to choose a one-word answer to your question, it would be “localization”., 872.1 (just trying to catch up) I suspect this “localization” means that at the end the emerging argument has a strong (probably central) ingredient of Szemeredi-like-regularity-lemma; so we have a distinction between Roth-like-density-increment and Szemeredi-like-density-increment.</t>
  </si>
  <si>
    <t>C2595</t>
  </si>
  <si>
    <t>837.2 Terry</t>
  </si>
  <si>
    <t>873. Probable collapse., I was beginning to think that the argument sketched out on the wiki had the ring of truth about it. But as so often happens the effort of writing it up has thrown up a problem that seems serious. I’ve only just realized it, so I’m not sure that it can’t be got round by some sort of trick, or more elaborate argument, but at the moment it feels to me as though a new idea is still needed., Here, in brief, is the difficulty, which I noticed when trying to write up Step 5 in full detail. The basic idea, which I got from Terry’s 837.2, was to have two iterations going on, one in which one tries to get a density increase on a subspace, and the other in which one tries to get a density increase on a 12-set. The problem, which escaped me before, is that the density increase on the 12-set depends on the density of that 12-set. (It comes from the Varnavides density of multidimensional subspaces that you can find in the 12-set.) So there is no guarantee that this inner iteration will terminate. And unfortunately, at least as the argument goes at the moment, the density of the 12-set may drop quite a bit when one does the inner iteration., I’ll probably think a bit more about whether something can be done about this, but I think progress is more likely to come either from returning to the Ajtai-Szemerédi template or from a new approach to getting from increased density on a 12-set to increased density on a subspace., Incidentally, one might wonder whether Terry’s argument has the same problem, but it doesn’t, and the reason it doesn’t is instructive. He makes use of the principle that if you have a function f defined on a set X and can find a small subset Y where f is less dense than average, then you can remove that subset from X. If Y is small, then you will get only a small density increase on the complement of Y, but you will have removed only a small set from X so things are OK. Now contrast that with a situation where you have a function  defined on a set  and it is less dense on a subset . By averaging, we get a density increase on one of   or . However, if  and  both have density  and the density increase is in the last of these sets, then we get a density increase that’s proportional to  but have to drop to a subset of size around  times the size of the original set. And this is too expensive if you do it over and over again. Basically the difference is that  converges to a positive limit while  converges to zero., 873.1   Actually, the situation is slightly worse: I now see that the problem that I discussed in the last paragraph above is precisely the problem that Terry was talking about in 866 and Randall in 864.2. , A question that occurred to me just now was whether one might be able to deal with low-complexity members of the sigma-algebra of 12-sets. But I now see that that still creates problems, since then we don’t get a multidimensional Sperner-type theorem that just depends on the density of the set (or rather, finding such a result doesn’t seem any easier than DHJ(3) itself).</t>
  </si>
  <si>
    <t>C2596</t>
  </si>
  <si>
    <t>873.1   Actually, the situation is slightly worse: I now see that the problem that I discussed in the last paragraph above is precisely the problem that Terry was talking about in 866 and Randall in 864.2. , A question that occurred to me just now was whether one might be able to deal with low-complexity members of the sigma-algebra of 12-sets. But I now see that that still creates problems, since then we don’t get a multidimensional Sperner-type theorem that just depends on the density of the set (or rather, finding such a result doesn’t seem any easier than DHJ(3) itself).</t>
  </si>
  <si>
    <t>C2597</t>
  </si>
  <si>
    <t>874. , Unfortunately I won’t have much time to devote to this project for the next few days, but one possible way around the problem may be to factor the density increment into two pieces.  Suppose that f has a density increment on , then roughly speaking this means that  has a density increment on .  One could try to hold  fixed and start passing to subspaces to increment the density of  until it reaches some saturation point, and then f would have some sort of “relative density increment” on , and then one could pass to subspaces again to clean up .  This is terribly vague and there are a large number of issues, including the fact that 1-sets and 2-sets are not independent (so the analogy with Cartesian products is slightly misleading), though perhaps some preliminary regularity lemma type arguments might deal with that problem., 874.1  Terry, I don’t think I understand your suggestion even vaguely. For instance, if in the  world we choose random sets  and take all points  such that , then we have a density increase on , but it doesn’t seem to be possible to do much by looking at each variable separately.</t>
  </si>
  <si>
    <t>CTao_36421</t>
  </si>
  <si>
    <t>931 Details of Moser(3), 3-dim, Following on from 914. and 917., the extremal statistics are, (3,6,3,1),(4,4,3,1),(4,6,2,1),(2,6,6,0),(4,4,5,0),(4,6,4,0),(4,12,0,0),(8,0,0,0), Their sharp linear bounds are :
2a+b+2c+4d &lt;= 22
3a+2b+3c+6d &lt;= 36
7a+2b+4c+8d &lt;= 56
6a+2b+3c+6d &lt;= 48</t>
  </si>
  <si>
    <t>C2600</t>
  </si>
  <si>
    <t>875., Now that this has happened, I want to suggest another question, which I had been slightly suppressing. It was always a bit of a worry that we were trying to get from a density increase on a 12-set to a density increase on a subspace when we did not know an analogous argument in  I had persuaded myself that this might be OK because we were passing to combinatorial subspaces instead of long APs, but in retrospect that was not a very convincing argument. So my question is this. Suppose we allow ourselves to use Szemerédi’s theorem as a black box and we have a subset  of density  that correlates with a dense Cartesian product . Can we get a density increase on a grid (defined to be a product , where  and  are APs with the same common difference and length tending to infinity)?, If we use arguments that would also prove a functional version, then it’s fairly easy to prove that what we are really trying to do here is prove that the characteristic function of  can be approximated by a positive linear combination of characteristic functions of grids. Roughly, the argument goes like this. If you can’t approximate it (in ) then the Hahn-Banach theorem gives you a bounded function  that has average at most zero on all grids but average 1 on . Taking  to be  for some small  we get a function with a density increase on  but no density increases on grids. Conversely, if the approximation is possible, then an easy averaging argument gets you from a density increase on  to  a density increase in one of the grids., In one dimension, the analogous question is easy to answer. If you have a dense subset  then you can apply Szemerédi’s theorem to find an arithmetic progression . If you remove  from  you still have a dense set, so can repeat. Keep going until you’re left with just a small proportion of  and you have then approximated  by a union of arithmetic progressions., The problem in two dimensions is that while it is not too hard to find a single grid inside  (by averaging find  such that  is dense and apply Szemerédi’s theorem), when you remove this grid, you no longer have a Cartesian product. And perhaps it is also worth mentioning that the trivial argument does not work: if you approximately partition both  and  into APs and take their Cartesian products, you won’t get grids, because the common differences in the two directions will not necessarily be the same., It is for this reason that I think our best hope is to go back to Ajtai-Szemerédi, because they avoided this problem.</t>
  </si>
  <si>
    <t>C2601</t>
  </si>
  <si>
    <t>874.1  Terry, I don’t think I understand your suggestion even vaguely. For instance, if in the  world we choose random sets  and take all points  such that , then we have a density increase on , but it doesn’t seem to be possible to do much by looking at each variable separately.</t>
  </si>
  <si>
    <t>CTao_36431</t>
  </si>
  <si>
    <t>932. If a Moser set has 125 points or more then it must have at least one cut where the center slice has 39 points or less.  ,      If not all points must have center slice exactly equal to 40, Now one set of outside slices must have scores that sum to 125 or more then by the discussion following lemma 4 of the Wiki on Moser sets in the section devoted to n=5 and the slices must be chosen from the following
•  (2,16,24,0,0) 42 points, score: 62
•  (4,16,23,0,0) 43 points, score: 62 1/3
•  (4,15,24,0,0) 43 points, score: 62 3/4
•  (3,16,24,0,0) 43 points, score: 63,      Now since the slice has 40 points the slice must
Contain the slice with 42 points and one of the slices
With 43 points however since the sum is 125 or more
It must contain the bottom slice thus the following is forced
As statistics of slices, (2,16,24,0,0) 42 points, score: 62
(3,16,24,0,0) 43 points, score: 63 , Now the sum of these two slices is 125
Since the sum of all 5 sets of slices is 625
By lemma 4 of the section devoted to n=5
So we can subtract and get the sum of the
Four remaining slices is 500 but then we can repeat the
Process getting another cut with the same set of statistics of slices
And the three remaining sets of slices equal to 375 we can repeat
The process until we are done and get all 5 slices have the
Following statistics
(2,16,24,0,0) 42 points, score: 62
(3,16,24,0,0) 43 points, score: 63, The presence in the above of the 24 in the third position
means that the configuration must have all 80 points
with exactly two twos but by lemma 3 of the Wiki
in the section devoted to n=5 we have that implies
that the configuration has 124 points or less and we are done.</t>
  </si>
  <si>
    <t>CTao_36432</t>
  </si>
  <si>
    <t>933. If a configuration has 125 or more points
then it must have 6, 7 or 8 points with
no twos., There must be a cut of the configuration whose outside slices sum to
125 or more.
If it has 40 points it must sum to exactly 125
and since we have the sum of all 5 sets of outside slices
is 125 we can subtract and get the remaining sets of slices
has sum 500 we keep repeating this step until a cut with
center slice 39 or less is chosen this must happen because
we will eventually run out of cuts with center slice 40.
We have shown that there is at least one cut
with center slice 39 or less. Then we will eventually get
a cut whose side slices sum to 125 or more whose
center slice is less than 40 then since we have the side slices
Must be, 1.	(2,16,24,0,0) 42 points, score: 62
2.	(4,16,23,0,0) 43 points, score: 62 1/3
3.	(4,15,24,0,0) 43 points, score: 62 3/4
4.	(3,16,24,0,0) 43 points, score: 63
The center slice must be of size 39 and the choice of the outside slice
with 42 points is not possible then since the values of the remaining
possible slices have a=3 or 4 we must have 6, 7 or 8 points with
no coordinates equal to 2 in the configuration and we are done.</t>
  </si>
  <si>
    <t>CTao_36433</t>
  </si>
  <si>
    <t>934. If a Moser set with exactly 125 points  has exactly 78 points
with two 2’s it must have either 7 or 8 points
with no twos.,      We know that it must have 6, 7 or 8 points with
no twos, if it has 6 then it must have 125 minus 78 minus 6
equals 41 points with exactly one two.,      Then one of the center slices must contain 9 or more
points with exactly one two in the configuration. But that leads to
A contradiction since the slice is equal to 39 or 40
Take the case where it is equal to 39 We have 4a + b is less than or equal to 64 from the section of the wiki on Moser sets devoted to n = 4. so we have a + b is 39  and 4a + b is 64 or less we can subtract and get 3a is less than 25 so a is less than 9 and we have a contradiction so the center slice must have 40 points
Then again we have 4a + b is less than or equal to 64 from the section of the wiki on Moser sets devoted to n = 4. so we have a + b is 40  and 4a + b is 64 or less we can subtract and get 3a is less than 24 so a is less than 8 but that gives a contradiction so we are done.</t>
  </si>
  <si>
    <t>CTao_36436</t>
  </si>
  <si>
    <t>935.  Moser(3), I reorganised the Moser wiki page a bit to incorporate the recent progress (and also simplified some of the arguments).  It now seems that we have the distribution (A,B,C,D,E,F) of 125-point Moser sets in 5D pinned down to just three possibilities:,     * (6,40,79,0,0,0)
    * (7,40,78,0,0,0)
    * (8,39,78,0,0,0) , It seems that we are reaching the limit of what we can do by analysing slices, and we will have to start understanding sphere packing better…</t>
  </si>
  <si>
    <t>CTao_36437</t>
  </si>
  <si>
    <t>didn't work before, any ideas?</t>
  </si>
  <si>
    <t>guest:  “Have you tried a version of your genetic algorithm *without* crossover?”, Thanks for the suggestion.  This is only my second genetic algorithm project so I appreciate the input.   I tried it without crossover and crossover does seem to help.  In the beginning, I tried crossover on the chomosomes with regular crossover points at the one third and two thirds mark.  That did seem to be disasterous, leading to very early convergence. , Do you happen to know why it was suggested that crossover not be used?  I measure the probability that a particular operator can improve solutions so bad operators are not over used.  However, if the issue is early convergence then I have no ideas on defending against that other than automated restarting of the algorithm.</t>
  </si>
  <si>
    <t>C2604</t>
  </si>
  <si>
    <t>876. Ajtai-Szemerédi, My natural instinct is to go off and have a hard think about how to adapt the Ajtai-Szemerédi proof, but I want to try to do things the polymath way, which may well mean a few comments that are vague, or go nowhere, or where I can’t quite explain properly what I’m trying to do. However, here goes., What we appear to be able to do is choose  such that there are many pairs  with , and with the additional property that for almost all of the  involved in those pairs we have almost the expected density of  such that . Having fixed such a , we can also find a combinatorial subspace in  consisting entirely of  with both properties., What we would like to do at that point is say that there are many combinatorial subspaces in  that project down to this combinatorial subspace in . , Temporarily forgetting that last paragraph, let’s rephrase the Ajtai-Szemerédi argument as follows. By the usual averaging argument, we may assume that almost all grids have almost the right density. But if we choose a random grid, then with positive probability we find that it has a positive proportion of horizontal lines that are forbidden, because all the vertical lines point to points in a dense diagonal, and several horizontal lines point to points in the same dense diagonal. In other words, with positive probability, we get a density increment on a 1-set rather than a 12-set., I have to go for a little while, but I’m going to think along these lines for a bit.</t>
  </si>
  <si>
    <t>C2616</t>
  </si>
  <si>
    <t>877.2 , Well there is certainly no reason not to uses subspaces in that way; in fact it’s part of the Furstenberg-Katznelson argument (cf. first three lines of p. 7 of my notes). Something different seems to be going on in the Ajtai-Szemeredi argument, though, where Szemeredi’s theorem seems to be doing virtually all of the work.</t>
  </si>
  <si>
    <t>C2606</t>
  </si>
  <si>
    <t>878. Ajtai-Szemerédi, Hmm, what I said above is actually not the Ajtai-Szemerédi argument because they don’t choose a random grid like that. Instead, they choose a single set of vertical lines and a random grid that runs across in the other direction., So let’s think more like that. I’ll start by ignoring the requirement that the vertical lines have to have roughly the right density. Moving over to the  world, I find my “dense diagonal” — that is, a  such that many  belong to . Now I want to look for a combinatorial subspace with a good property of some kind. What should that property be? , Let  be the set of all  such that  and let  be the set of all  such that  Then a good property would be if all the points in the combinatorial subspace had their 1-sets in . Then we would know that no point with its 2-set in  could belong to , or something along those lines, which would give us correlation with a 2-set. That would give us a density increase as long as we also knew that the density of  in the combinatorial subspace was almost maximal., I’m finding this boringly hard to do on screen. I’ll allow myself a little bit of offline time to try to clarify what I’m saying.</t>
  </si>
  <si>
    <t>C2607</t>
  </si>
  <si>
    <t>877.1  Randall, that first point of yours is one I’ve mentioned a couple of times, but I haven’t really properly justified my view that it shouldn’t be a problem. So I’m going to think about it now. I may well end up deciding that it is a problem after all.</t>
  </si>
  <si>
    <t>CTao_36443</t>
  </si>
  <si>
    <t>any ideas?</t>
  </si>
  <si>
    <t>genetic algorithm</t>
  </si>
  <si>
    <t>937. GA improvement, I created a lookup table for each c_n on which I ran the genetic algorithm. This speeds up checking if a chromosome is line-free tremendously, making this tractable. (Any ideas about efficient ways to do this will have a very large effect on the speed of the algorithm)., Could you go into detail about how you do this now?</t>
  </si>
  <si>
    <t>C2608</t>
  </si>
  <si>
    <t>879.  Correlation with 1-sets, Nothing conclusive to report, so instead I want to revisit the question of showing that correlation with a 1-set implies a density increase on a subspace. In particular, I want to get a feel for whether the double iteration is necessary., It occurs to me that a Hahn-Banach argument ought to prove that the question is equivalent to showing that the characteristic function of a 1-set can be approximated in  by a positive linear combination of characteristic functions of subspaces. At some point I’ll check that, and maybe even put it on the wiki, but for now I’ll assume it. So how should we write an arbitrary dense 1-set as a positive combination of subspaces? , I think I see a way. No time to be fully detailed, but I’m aiming for something that’s equivalent to what we did above. The first step would be to choose small wildcard sets  such that a positive proportion (depending on m) of the combinatorial subspaces with those wildcard sets are subsets of the given 1-set., All these combinatorial subspaces are disjoint, so we can safely remove them. Let  and partition the rest of  according to how points restrict to . , For every sequence , let  be the set of all sequences  such that  belongs to the 1-set . Also, let  be the set of all  such that  for every  that is constant on all the . The precise partition we shall take is this. For each  that is not constant on all the  we take the set . And for each  that is constant on all  we take the set ., This has given us a 1-set inside each combinatorial subspace obtained by fixing the coordinates in . And the average density of those 1-sets is down by a small factor (depending on m) from the density of the original 1-set. So we can iterate the procedure., I think that’s a nice clean way of presenting the Randall/Terry result about 1-sets. Of course, it’s still using something similar to the double iteration.</t>
  </si>
  <si>
    <t>CTao_36447</t>
  </si>
  <si>
    <t>sharing idea (initial code)</t>
  </si>
  <si>
    <t>938.  Jason Dyer:, For each element, I figured out the two other elements that are needed to make a line.  For instance, 123 means that both 122 and 121 can’t be in the set.  For each element, I have all possible pairs that would conflict if they were both elements of the set.  If I do a simple transformation of 1-&gt;0,2-&gt;1 and 3-&gt;2 then I get numbers in base three which can then of course be representable as numbers in base 10.  Thus I can represent each pair that I need to avoid as two numbers.  (This is good as integers can be stored easily in a big table.)  So that’s how I store them, I number everything from 0 to 3^n-1 and for each element I have a list of pairs that I have to check for.  I store all this in an array where the nth row contains each pair in order., The solutions are represented as binary numbers of length 3^n where if the mth element of 3^n is a member of the set then the mth binary digit is set to 1 otherwise it is set to zero., To check if a solution valid, for each position p, I check row p of my lookup table.   I check pair by pair looking at the binary digits corresponding to each pair and making sure they aren’t both set to 1., For example, my look up table for c_2 is the following:, 1	2	3	6	 4	 8
0	2	4	7	-1	-1
0	1	5	8	-1	-1
0	6	4	5	-1	-1
0	8	1	7	 3	 5
2	8	3	4	-1	-1
0	3	7	8	-1	-1
1	4	6	8	-1	-1
0	4	2	5	 6	 7, The -1’s mark the end of the list so my program knows when the list of pairs has ended.</t>
  </si>
  <si>
    <t>C2609</t>
  </si>
  <si>
    <t>880. Shelah’s v.s. DHJ, It seems to be a serious difficulty to follow the double iteration in a density incremental argument. It might be helpful to check what would be a Shelah-like density proof look like for k=3. The first step is actually the same; prove that for any 2-colouring of  there are (many) “flip-flop” subspaces. A d-dimensional subspace of  can be represented by d classes of wildcards, the elements from same class always have the same characters. Two elements in the subspace are neighbours if they differ only in one wildcard class where one is 2 and the other is 1. The subspace is flip-flop if any pair of neighbours have the same colour. The second step would be to show that there is a monochromatic line in . In our case it would mean to show that there is a flip-flop d-subspace with at least  elements where we allow  to go to 0 slowly. There are two advantages; first that we allow  to go to 0, second that the number of flip-flop subspaces is independent of the original density as it follows from the two colouring of .
This looks quite promising to me, but let me check first what did I write here…
The first part of Shelah’s proof shows that, 880.1  Jozsef, can you explain where the 2-colourings come in?, The points are red or blue depending if they are in our dense set or not. I will write more details soon.</t>
  </si>
  <si>
    <t>C2610</t>
  </si>
  <si>
    <t>880.1  Jozsef, can you explain where the 2-colourings come in?</t>
  </si>
  <si>
    <t>C2611</t>
  </si>
  <si>
    <t>The points are red or blue depending if they are in our dense set or not. I will write more details soon.</t>
  </si>
  <si>
    <t>C2612</t>
  </si>
  <si>
    <t>880.2  For DHJ, we say that a subspace is flip-flop if there are no neighbours that one is in our set and the other isn’t. (One might think that we can’t gain anything from this if most of the pairs are not from the set, however we will never make any statistics on the number of neighbour pairs inside or  outside of our set in a subspace.) To prove that there are many flip-flop subspaces we can follow the original colouring proof; Colour every element of our dense subset by red and the points in the complement by blue. I will try to find a link to the proof or I will write it up myself. Then, the Varnavides type argument gives many flip-flop subspaces. The number of d-dimensional flip-flop subspaces is independent of the density of our pointset, but it certainly depends on the dimension d. The second observation is that every flip-flop subspace is sparse or there is a line. I think I should write up this part., 880.2 For the proof of the existence of flip-flop subspaces I have find two books on Google, “Ramsey Theory” by Ronald L. Graham, Bruce L. Rothschild, Joel H. Spencer, and Jukna’s “Extremal Combinatorics”. There is a nice paper  A. Nilli,   “Shelah’s proof of the Hales–Jewett theorem” , Mathematics of Ramsey theory (Algorithms Combin.) , 5 , Springer  (1990)  pp. 150–151, but I was unable to find it online. I think that the original name was “fliptop” for a colouring of a subspace where top neighbours received the same colour, but the top isn’t special, the bottom pair would work as well, so I’ve changed it to flip-flop as it’s more appropriate (and funny), All proofs I know for the existence of flip-flop subspaces are recursive. (see the references above) For a d-dimensional flip-flop subspace one needs the recursion  with .  n should be at least  to guarantee a d-dimensional flip-flop subspace in . This was also the type of proof I knew for the Sperner subspace theorem, but checking Tim’s write up in the Wiki, I realized that his proof is somewhat different., Well, Tim’s proof in the Wiki isn’t significantly different from the “traditional” proof but it’s elegantly written. Note that the recursive proofs give very uneven subspaces; the sizes of wildecards are increasing recursively as well. It isn’t a problem when one considers HJ where every point has its colour, however this property makes it difficult the use of such subspaces for density problems., After the second reading of Tim’s proof I see now that one can choose p, q, and  that one can get “balanced” subspaces.</t>
  </si>
  <si>
    <t>C2613</t>
  </si>
  <si>
    <t>idea - might be nonsense</t>
  </si>
  <si>
    <t>881.  Correlation with 12-sets, I’ve got to go to bed, but an idea has occurred to me. Maybe I’ll see by the morning that it’s nonsense. But a 12-set is just an intersection of a 1-set with a 2-set. So maybe one can use 879 to partition (almost all of) the 1-set into subspaces, and then use 879 again to partition the intersection of the 2-set with each of those subspaces into further subspaces, thereby ending up with a partition of the 12-set into subspaces., For Cartesian products in grids it would work like this. Given , you first partition  into grids, which is easy. And then inside each of those grids you partition the intersection of that grid with  into further grids., If that second argument is correct then (i) I don’t know why I didn’t spot it before and (ii) it suggests that the first one has a good chance of being correct. And if the first one is correct, it seems to do DHJ(3). , Off to bed while this still feels good …, 881.2, This looks like it would work in the  world, and give an answer to your 875 (and would also formalise my 874, for that matter).  The one thing to bear in mind is that Szemeredi allows one to take the spacing of the long arithmetic progressions in X or in Y to be of size O(1) rather than O(n), by working locally.  (Meanwhile, the length of the progressions is something like .)  That way, you don’t lose too much when taking the GCD of two different spacings., Of course, in the Hales-Jewett world, we don’t have GCD, but the trick of rendering a few coordinates “bad” and working with local 1-sets, etc. rather than global ones may help.  (We may eventually have to also break out the Ramsey theory to make the local statistics match the global statistics; this is related to Furstenberg-Katznelson’s “strong stationarity” which, after talking to Tim Austin a bit, I suspect we may have to exploit to finish off this problem.), 881.3 Terry, I think I don’t need to worry about GCDs of spacings. In the corners world I just partition a 1-set into grids, and then the restriction of the 2-set to each grid is still a 2-set, so I partition its restriction to each grid into further grids. What’s more, this can be seen as a sort of dualized version of what Ajtai and Szemerédi do themselves. I’ve woken up still feeling very good about this, and plan to get wikifying straight away.</t>
  </si>
  <si>
    <t>C2614</t>
  </si>
  <si>
    <t>READING</t>
  </si>
  <si>
    <t>880.2 For the proof of the existence of flip-flop subspaces I have find two books on Google, “Ramsey Theory” by Ronald L. Graham, Bruce L. Rothschild, Joel H. Spencer, and Jukna’s “Extremal Combinatorics”. There is a nice paper  A. Nilli,   “Shelah’s proof of the Hales–Jewett theorem” , Mathematics of Ramsey theory (Algorithms Combin.) , 5 , Springer  (1990)  pp. 150–151, but I was unable to find it online. I think that the original name was “fliptop” for a colouring of a subspace where top neighbours received the same colour, but the top isn’t special, the bottom pair would work as well, so I’ve changed it to flip-flop as it’s more appropriate (and funny)</t>
  </si>
  <si>
    <t>C2624</t>
  </si>
  <si>
    <t>C2622</t>
  </si>
  <si>
    <t>review of earlier proof</t>
  </si>
  <si>
    <t>882.1, I have looked at your new proof of corners and it really does make less mysterious what Szemeredi is doing. When I initially read the original proof of Ajtai/Szemeredi yesterday, it struck me that Szemeredi’s theorem was being used not once but twice…what was confusing was that it was used once on the diagonal, then again on one of the coordiates. The use on the diagonal gave an impression that DHJ (2) would go proxy for it in the DHJ (3) case. This struck me (everyone else too, I gather) as odd, given the disparity in depth, etc…. Something had to explain the fact that one wasn’t doing something about “compactness relative to the diagonal” or some such, and Szemeredi was the only culprit on offer. Your proof uses Szemeredi’s theorem twice also, once on each of the coordinates; indeed, it now appears that what Szemeredi’s theorem is actually doing in that proof is going proxy for a relative compactness over the diagonal notion. And, in the DHJ (3) case, what you have in mind to fill in here is the idea of partitioning a dense 1 set into dense subspaces, if I understand correctly. (So it’s that which corresponds to the use of Szemeredi after all, not DHJ (2)). And this isn’t all that surprising anymore, given that the proof of that seemed to involve (at least at the very superficial level I understand it at) a look at the decomposition over the diagonal. , Aesthetically, all of this seems dead on, so I will not take your bet (and will indeed be quite depressed if something else is amiss).</t>
  </si>
  <si>
    <t>C2617</t>
  </si>
  <si>
    <t>881.2, This looks like it would work in the  world, and give an answer to your 875 (and would also formalise my 874, for that matter).  The one thing to bear in mind is that Szemeredi allows one to take the spacing of the long arithmetic progressions in X or in Y to be of size O(1) rather than O(n), by working locally.  (Meanwhile, the length of the progressions is something like .)  That way, you don’t lose too much when taking the GCD of two different spacings., Of course, in the Hales-Jewett world, we don’t have GCD, but the trick of rendering a few coordinates “bad” and working with local 1-sets, etc. rather than global ones may help.  (We may eventually have to also break out the Ramsey theory to make the local statistics match the global statistics; this is related to Furstenberg-Katznelson’s “strong stationarity” which, after talking to Tim Austin a bit, I suspect we may have to exploit to finish off this problem.)</t>
  </si>
  <si>
    <t>C2618</t>
  </si>
  <si>
    <t>proof</t>
  </si>
  <si>
    <t>All proofs I know for the existence of flip-flop subspaces are recursive. (see the references above) For a d-dimensional flip-flop subspace one needs the recursion  with .  n should be at least  to guarantee a d-dimensional flip-flop subspace in . This was also the type of proof I knew for the Sperner subspace theorem, but checking Tim’s write up in the Wiki, I realized that his proof is somewhat different.</t>
  </si>
  <si>
    <t>CTao_36463</t>
  </si>
  <si>
    <t xml:space="preserve">939. , Use the classification of 3-dim solutions., The  cube has 160 corner cubes, eg 111***,
240 edge cubes, eg. 112*** and 120 face cubes, 122***, Give the corner cubes a score 
Give the edge cubes a score 
Give the face cubes a score , From the list of extremal solutions, , The total score is </t>
  </si>
  <si>
    <t>C2619</t>
  </si>
  <si>
    <t>not traditional but elegant</t>
  </si>
  <si>
    <t>Well, Tim’s proof in the Wiki isn’t significantly different from the “traditional” proof but it’s elegantly written. Note that the recursive proofs give very uneven subspaces; the sizes of wildecards are increasing recursively as well. It isn’t a problem when one considers HJ where every point has its colour, however this property makes it difficult the use of such subspaces for density problems.</t>
  </si>
  <si>
    <t>C2620</t>
  </si>
  <si>
    <t>After the second reading of Tim’s proof I see now that one can choose p, q, and  that one can get “balanced” subspaces.</t>
  </si>
  <si>
    <t>C2621</t>
  </si>
  <si>
    <t>still feel good in the morning so time to wiki-fy</t>
  </si>
  <si>
    <t>881.3 Terry, I think I don’t need to worry about GCDs of spacings. In the corners world I just partition a 1-set into grids, and then the restriction of the 2-set to each grid is still a 2-set, so I partition its restriction to each grid into further grids. What’s more, this can be seen as a sort of dualized version of what Ajtai and Szemerédi do themselves. I’ve woken up still feeling very good about this, and plan to get wikifying straight away.</t>
  </si>
  <si>
    <t>CTao_36465</t>
  </si>
  <si>
    <t>940.  Possible lower bounds for c_6 and c_7, I just wanted to give a bit of an update concerning c’_n.  My best solutions are:, c’_5: 124  (399 unique solutions – 3 million generations)
c’_6: 353  (26 unique solutions   – 3 million generations)
c’_7: 978  (1 solution                   – 5.4 million generations), I will put these on my website when I can so that the solutions can be doublechecked.  At this point, I can say this is a much harder problem than c_n.  I have included the amount of computation that I have thrown at each problem in order to indicate the diminishing returns with increasing n.   I think it’s entirely possible that there are larger solutions., (Sorry I keep forgetting to put the numbers, Terry.)</t>
  </si>
  <si>
    <t>CTao_36469</t>
  </si>
  <si>
    <t>Kareem; 904</t>
  </si>
  <si>
    <t>solutions</t>
  </si>
  <si>
    <t>941.  , Kareem, it seems that your 6D and 7D solutions are better than those we already had, it will be interesting to analyse their structure.  (It occurred to me that one might be able to “seed” a GA by throwing in some decent solutions that we already have and seeing whether evolution will improve it… so perhaps it’s still worth compiling a pool of reasonably good solutions here even if they are non-optimal.), Incidentally, your 353-point example example shows that the conjecture in 904 is incorrect; either the score a/15+b/10+c/6+d/3+e for 4D sets can exceed 5.8333, or the 353-point example has a nonzero value of f or g.  I guess what is going on here is that large values of d or e, which don’t show up in the 41+ point examples, can occur for smaller examples and result in a score larger than that for the big examples.</t>
  </si>
  <si>
    <t>882. Progress report, I am in the middle of wikifying the latest DHJ(3) attempt. This time I would actually be prepared to put money on the argument working (unlike last time, when there were too many slightly complicated bits that I felt I didn’t fully understand). So far, I’ve written up a new proof of the corners theorem to serve as a template for the new DHJ(3) argument. The new proof of the corners theorem is not totally new: it is more like a reorganization of the ideas that go into the Ajtai-Szemerédi argument. Nevertheless, it simplifies things in a way that is crucial for the DHJ(3) proof., 882.1, I have looked at your new proof of corners and it really does make less mysterious what Szemeredi is doing. When I initially read the original proof of Ajtai/Szemeredi yesterday, it struck me that Szemeredi’s theorem was being used not once but twice…what was confusing was that it was used once on the diagonal, then again on one of the coordiates. The use on the diagonal gave an impression that DHJ (2) would go proxy for it in the DHJ (3) case. This struck me (everyone else too, I gather) as odd, given the disparity in depth, etc…. Something had to explain the fact that one wasn’t doing something about “compactness relative to the diagonal” or some such, and Szemeredi was the only culprit on offer. Your proof uses Szemeredi’s theorem twice also, once on each of the coordinates; indeed, it now appears that what Szemeredi’s theorem is actually doing in that proof is going proxy for a relative compactness over the diagonal notion. And, in the DHJ (3) case, what you have in mind to fill in here is the idea of partitioning a dense 1 set into dense subspaces, if I understand correctly. (So it’s that which corresponds to the use of Szemeredi after all, not DHJ (2)). And this isn’t all that surprising anymore, given that the proof of that seemed to involve (at least at the very superficial level I understand it at) a look at the decomposition over the diagonal. , Aesthetically, all of this seems dead on, so I will not take your bet (and will indeed be quite depressed if something else is amiss).</t>
  </si>
  <si>
    <t>CTao_36475</t>
  </si>
  <si>
    <t>If a Moser set for n=5 has 125 points
It must have the following statistics:
•  (7,40,78,0,0,0) or
•  (8,39,78,0,0,0),      Assume it has statistics (6,40,79,0,0,0),
the only remaining case
Now look at the 6 points with all coordinates not
equal to 2. Any set of 5 of these has one pair of
points that differ in exactly two coordinates
See the proof of lemma 3 in the Moser wiki
We start with 5 of these points and get at least one
pair that differs in exactly two coordinates if there is more than
one we choose a pair
Then we remove one of the points the pair and add the
additional point to replace then we have two pairs.,      Then we note that each of these pairs of points
has the potential of forming a line with the
point p that has two twos in the coordinates i and j that the pair
of points differ and where the points of the pair have
the same coordinate p has that coordinate now
each such point p has the possibility of blocking two
such lines names those pairs nameless the pair
of points that has 11 and 33 in the coordinates where
p has two twos and the same coordinates as p elsewhere
and the points that have 13 and 31 in the points where
p has two 2’s and the same coordinates elsewhere,      Now in the case of this Moser set with
Statistics (6,40,79,0,0,0)
We have two such pairs and since one of 80
Points with two twos is missing to avoid
A line the missing point must block both lines for the two
Pairs as above. ,      Now we have the from the above
four points which agree
On three coordinates and take on all
possible values on the remaining two coordinates.
They have the potential of forming lines
with those points with one two, namely those
points which agree which agree with the four
points on the the three coordinates mentioned
above and have one two and one arbitrary
value on the remaining two coordinates
there are four such points. The point p
mentoned earlier which agrees with the above
points in the three coordinates mentioned earlier
and has 2’s in the remaining coordinate
forms two lines with these points.
These lines are empty since p or any
of the other four points are in the Moser
set they form a a line with the points
in the two pairs.,      The two lines were counted in the
Inequality 2B + C is less than or equal to
160 with weight  one half. which is lemma three in the Wiki section n=5
we can remove these two lines and count over the remaining lines
since they are empty 2B +C will not be effected but the 160
will be reduced to 158 so then we will have
2B +C is less than or equal to 158
but 2B+C is 159 in the case with statistics
Statistics (6,40,79,0,0,0)
So only the remaining two statistics are possible and we are done.</t>
  </si>
  <si>
    <t>CTao_36481</t>
  </si>
  <si>
    <t>alternate proof</t>
  </si>
  <si>
    <t>943.  An alternate proof of , Here is a relatively short, mostly human proof that  using the extremals from the 3D theory., When e=1 (i.e. the 4D set contains 2222) then we have at most 41 points (in fact at most 39) by counting antipodal points, so assume e=0., Define the score of a 3D slice to be a/4+b/3+c/2+d.  Observe from double counting that the size of a 4D set is the sum of the scores of its eight side slices., But by looking at the extremals (see the spreadsheet, http://spreadsheets.google.com/ccc?key=p5T0SktZY9DuKZ2DyzO9EOg&amp;hl=en#, ) we see that the largest score is 44/8, attained at only one point, namely when (a,b,c,d) = (2,6,6,0).  So the only way one can have a 44-point set is if all side slices are (2,6,6,0), or equivalently if the whole set has statistics (a,b,c,d,e) = (4,16,24,0,0).  But then we have all the points with two 2s, which means that the four “a” points cannot be separated by Hamming distance 2.  We conclude that we must have an antipodal pair among the “a” points with an odd number of 1s, and an antipodal pair among the “a” points with an even number of 1s.    By the symmetries of the cube, we may take the a-set to then be 1111, 3333, 1113, 3331.  But then the “b” set must exclude both 1112 and 3332, and so can have at most three points in the eight-point set xyz2 (with x,y,z=1,3) rather than four (to get four points one must alternate in a checkerboard pattern).  Adding this to the at most four points of the form xy2z, x2yz, 2xyz we see that b is at most 16, a contradiction., This argument also heuristically explains why the 43-point Moser sets have statistics close to (4,16,24,0,0).</t>
  </si>
  <si>
    <t>C2642</t>
  </si>
  <si>
    <t>C2636</t>
  </si>
  <si>
    <t>886.2 General k, I had a look at the FK proof for general k and found some very interesting parallels between their proof and what Tim has been doing in the past 48 hours. (And what he proposes above.) Quite striking, really, right down to the trick of cutting things up in one dimension first, then the other. (I must have forgotten this trick, as I didn’t consider using it for k=3.) At any rate, the general outline suggested for k=4 (and beyond) looks terribly sound.</t>
  </si>
  <si>
    <t>CTao_36487</t>
  </si>
  <si>
    <t>944.  , Michael’s method in 939 can be pushed a little bit.  Given a Moser set in , let  denote the fraction of the points with i 2s in the cube that lie in the set; in terms of the (a,b,c,d,e) notation, we have , etc.  , The double counting argument applied to side slices of  tells us that any linear inequality between the  that holds at dimension n, is also true at dimension n+1.  Applying to middle slices instead, we see that any linear inequality between the  that holds at dimension n, is also true at dimension n+1 after replacing each  with ., For instance, when n=3 a typical inequality is , which in normalized notation is .  This inequality then holds for all higher n.  For  we also get the shifted inequality , for  we get , etc., Throwing all the inequalities descended from n=3 into a big list and using Maple’s linear programming routines, I can get an upper bound of 44 in four dimensions, 126 in five dimensions, and 364 in six dimensions.  Here is the 6D code:, &gt; with(simplex);, &gt; X := 8*a+6*b+6*c+2*d&lt;=11, 4*a+4*b+3*c+d&lt;=6, 7*a+3*b+3*c+d &lt;= 7, 4*b+2*c+d&lt;=4, 4*a+6*c+2*d&lt;=7, 6*a+3*c+d&lt;=5, 2*a+d&lt;=2, 2*b+d &lt;= 2, 2*c+d &lt;= 2, d &lt;= 1, 8*b+6*c+6*d+2*e&lt;=11, 4*b+4*c+3*d+e&lt;=6, 7*b+3*c+3*d+e &lt;= 7, 4*c+2*d+e&lt;=4, 4*b+6*d+2*e&lt;=7, 6*b+3*d+e&lt;=5, 2*b+e&lt;=2, 2*c+e &lt;= 2, 2*d+e &lt;= 2, e &lt;= 1, 8*c+6*d+6*e+2*f&lt;=11, 4*c+4*d+3*e+f&lt;=6, 7*c+3*d+3*e+f &lt;= 7, 4*d+2*e+f&lt;=4, 4*c+6*e+2*f&lt;=7, 6*c+3*e+f&lt;=5, 2*c+f&lt;=2, 2*d+f &lt;= 2, 2*e+f &lt;= 2, f &lt;= 1, 8*d+6*e+6*f+2*g&lt;=11, 4*d+4*e+3*f+g&lt;=6, 7*d+3*e+3*f+g &lt;= 7, 4*e+2*f+g&lt;=4, 4*d+6*f+2*g&lt;=7, 6*d+3*f+g&lt;=5, 2*d+g&lt;=2, 2*e+g &lt;= 2, 2*f+g &lt;= 2, g  Z := 64*a+192*b+240*c+160*d+60*e+12*f+g;, &gt; Z := 64*a+192*b+240*c+160*d+60*e+12*f+g;, &gt; maximize(Z, X, NONNEGATIVE);, &gt; evalf(subs(%,Z));, 364.6984127, Incidentally, the statistics (a,b,c,d,e,f,g) of the maximiser are , 31.49206349, 94.98412698, 121.9047619, 83.80952381, 25.07936508, 7.428571429,  0., or in normalized form , 0.4920634921, 0.4947089947, 0.5079365079, 0.5238095238, 0.4179894180,  0.6190476190, 0., thus one is filling up about half of each Behrend sphere (except for the origin 222222), which seems to be different behaviour from lower dimensions.  Perhaps this is because 6D is the first place where we really have to deal with sets of density less than 1/2., Presumably one could use the 4D and 5D data to generate more inequalities to dump into the pot, which should shave this upper bound downwards a bit.  (But I did try tossing in the fact that 4D sets have at most 43 points, and (optimistically) 5D sets have at most 124 points, but got no improvement in the 6D bound this way.)</t>
  </si>
  <si>
    <t>C2625</t>
  </si>
  <si>
    <t>multiple desired approaches</t>
  </si>
  <si>
    <t>883. Strong Sperner, It is very possible that by now Tim is just polishing the write up of a combinatorial DHJ, but still let me go back to the unevenness of multidimensional Sperner or flip-flop subspaces which one can get by recursive arguments. It would be better to have a control on the arithmetic structure of such subspaces. In his Wiki article Tim describes a strong version of multidimensional Sperner. Unfortunately the argument there uses DHJ what we don’t want to use. On the other hand we might get a similar result by using multidimensional Szemeredi. Given a dense subset of  denoted by A. Take a random permutation of n. An element of A is “d-nice” if it consists of d intervals, each has length , and each interval begins at position  for some . (Suppose that d divides n) Any interval like this can be represented as a point in a d-dimensional  cube. If it’s dense then multidimensional Szemeredi gives us a strong Sperner., Metacomment: I wouldn’t say I’d got to the polishing stage exactly, but if you want to see what’s going on it’s here. At the moment, I simply don’t see anywhere where it can go wrong, but I’ve had that feeling about wrong proofs in the past, so I won’t feel entirely happy until I’ve got a bit further., However, the main point of this comment is to say that I strongly support your idea of looking at flip-flop subspaces. What I would really like is for the polymath collaboration to produce a polyproof. If the Ajtai-Szemerédi approach works, then that’s just the start: I’d like a triangle-removal approach, a Shkredov approach, and an ergodic approach, and if a Shelah-influenced approach is potentially feasible too then I’m very interested.</t>
  </si>
  <si>
    <t>C2626</t>
  </si>
  <si>
    <t>multidimensional Sperner</t>
  </si>
  <si>
    <t>884. Wikification., Here is a short writeup of the multidimensional Sperner stuff roughly following Terry.860, as used in Tim.879.  I will wikify it soon.  In fact, this was more or less already on the wiki, in Tim’s latest additions.  Here are the parameters:, Let  have density  and let  be arbitrary disjoint subsets of  of cardinality ., Choose a random nondegenerate -dimensional subspace as follows.  For each , choose a random nondegenerate combinatorial line in , uniformly from the  possibilities.  (Actually, you can choose the line from virtually any reasonable distribution.)  Form the final subspace by taking the Cartesian product of these lines, and then filling in the coordinates outside the ‘s uniformly at random., Then this entire subspace is contained in  with probability at least, ., The  can more or less be ., 884.1. It is a nice write up! There is a gap between the upper and lower bounds in Gunderson-Rodl-Sidorenko. As I remember, the density is between  and . Ryan, do you think that you can close the gap?, 884.2.  Done; it’s here.  I’d change Tim’s writeup to point to it, but he seems to be editing it currently 🙂, 884.3 I’ve added a link. (I’ve kept what I wrote too because I quite like having different styles of explanation on the wiki, even of the same result.), 884.4.  Hi Joszef — not sure about closing the gap…  Actually, as written it doesn’t quite even match GDR: it requires density approximately  rather than their .</t>
  </si>
  <si>
    <t>C2627</t>
  </si>
  <si>
    <t>"polyproof" what he wants (I would argue was produced)</t>
  </si>
  <si>
    <t>Metacomment: I wouldn’t say I’d got to the polishing stage exactly, but if you want to see what’s going on it’s here. At the moment, I simply don’t see anywhere where it can go wrong, but I’ve had that feeling about wrong proofs in the past, so I won’t feel entirely happy until I’ve got a bit further., However, the main point of this comment is to say that I strongly support your idea of looking at flip-flop subspaces. What I would really like is for the polymath collaboration to produce a polyproof. If the Ajtai-Szemerédi approach works, then that’s just the start: I’d like a triangle-removal approach, a Shkredov approach, and an ergodic approach, and if a Shelah-influenced approach is potentially feasible too then I’m very interested.</t>
  </si>
  <si>
    <t>C2628</t>
  </si>
  <si>
    <t>884.1. It is a nice write up! There is a gap between the upper and lower bounds in Gunderson-Rodl-Sidorenko. As I remember, the density is between  and . Ryan, do you think that you can close the gap?</t>
  </si>
  <si>
    <t>C2629</t>
  </si>
  <si>
    <t>884.2.  Done; it’s here.  I’d change Tim’s writeup to point to it, but he seems to be editing it currently 🙂</t>
  </si>
  <si>
    <t>C2630</t>
  </si>
  <si>
    <t>884.3 I’ve added a link. (I’ve kept what I wrote too because I quite like having different styles of explanation on the wiki, even of the same result.)</t>
  </si>
  <si>
    <t>C2631</t>
  </si>
  <si>
    <t>884.4.  Hi Joszef — not sure about closing the gap…  Actually, as written it doesn’t quite even match GDR: it requires density approximately  rather than their .</t>
  </si>
  <si>
    <t>C2633</t>
  </si>
  <si>
    <t>confidence in partial proof</t>
  </si>
  <si>
    <t>885  DHJ(3), I’m now pretty confident that the modified-Ajtai-Szemerédi-based approach to DHJ(3) is in the bag. I have a complete informal write-up on this page of the wiki, though some of the ingredients (such as getting a density increment on a 12-set in a subspace) are on other pages. A certain amount of work will be needed to get it into an acceptable form for a journal article, but not, I hope, as much as all that., If everyone else shares my belief that it works, then I’d be more interested in pressing on and doing DHJ(k), or at least thinking about its feasibility, than in rushing to write it up with all the numbers put in. Also, it seems to me that the statement about line-free sets correlating locally with 12-sets should be provable using localization rather than equal-slices measure, and that would bring it into line with the rest of the proof. So that’s something else I think we should try to do before writing anything up properly., In my next comment I’m going to speculate a little about DHJ(4)., 885.2.  Hi Tim.  I agree it’s looking pretty solid.  Thanks for all the wikification!  I plan to check it over tonight., 885.3  That’s great — I’ve got to go to bed pretty soon, but I’ll look forward to checking in the morning to see whether it still looks solid to you by then. Thanks for your wikification too!</t>
  </si>
  <si>
    <t>C2635</t>
  </si>
  <si>
    <t>885.2.  Hi Tim.  I agree it’s looking pretty solid.  Thanks for all the wikification!  I plan to check it over tonight.</t>
  </si>
  <si>
    <t>evaluate &amp; generalize</t>
  </si>
  <si>
    <t>886  DHJ(4), How might the argument generalize to DHJ(4)? Probably a good way to think about this is to try to deduce the 3D corners result from the full 2D Szemerédi theorem. This wouldn’t be much use as a proof of the corners theorem because nobody knows a proof of the full 2D Szemerédi theorem that does not also give 3D corners. (Probably one could falsify that last sentence in silly ways, but I think it’s basically true.) However, there is reason to hope that (i) the multidimensional DHJ(3) theorem can be obtained from the one-dimensional theorem by some kind of trickery and (ii) it can be used as an ingredient for proving DHJ(4) in the way that multidimensional Sperner was used for proving DHJ(3). Eventually, of course, I want to come back to (i) and (ii) but for now I’ll stick to the easier world of 3D corners., For 2D corners, the first step is to find a dense diagonal. The nice thing about a dense diagonal is that it gives rise to lots of forbidden points: indeed, if (x,y’) and (x’,y) both belong to the same diagonal, with , then  is not allowed in the set. , Even better, the set of all forbidden points has a nice Cartesian-product structure. (In fact, it’s the points of a Cartesian product that lie below the diagonal, but that will contain a large Cartesian product.), The analogue of a diagonal for 3D corners is a plane of constant . How can a dense diagonal forbid other points? Answer: if you have a suitably aligned equilateral triangle  then you forbid the point . Now the 2D corners theorem tells us that a dense diagonal plane contains many such equilateral triangles, so we end up forbidding a good lot of points. What is rather less clear is what kind of structure that set of points has. In fact, it’s so unclear that I think I’d better stop this comment because I do not immediately have anything useful to say about it., Actually, perhaps I do. What would be very nice would be to get a density increase on a dense (12,23,13)-set. By that I mean a dense set B of the form  That would be nice because it is the natural analogue of a 12-set (natural, that is, for anyone who has thought about hypergraph regularity and that kind of thing)., If the world is a friendly place, it will turn out that the set of points that form the bottom vertex of a 3D corner with the other three vertices in the dense diagonal plane is a dense (12,23,13)-set. Is it? Yes of course it is! It consists of all points (x,y,z) such that three conditions hold. The first is that if you go in the z direction until you hit the diagonal plane, you hit it at a point in A. But that condition depends on (x,y) only. The other two conditions depend on (y,z) and (x,z)., OK, this is looking good. So now we’ve got our dense (12,23,13)-set that’s disjoint from A. By averaging we find one with which A correlates. So now all we have to do is partition a dense (12)-set (where this does not mean the same as a 12-set, but rather it means a set that depends just on (x,y)) into large 3D grids. And that we can easily do using 2D-Szemerédi! If the (12)-set is all (x,y,z) such that  then by 2D Szemerédi we can partition almost all of B into large grids with fairly small width. For each such grid G we can then partition  into large 3D grids, and we’re done. The rest of the argument is almost exactly as before., Obviously, this technique is going to work to show that Szemerédi in d dimensions implies corners in d+1 dimensions., So it looks very promising for DHJ(k). The first target, it seems to me, is to get a multidimensional version of DHJ(3). Somehow the whole thing feels as though it is not going to be too hard …, 886.1  No time to write it now, but I see how to deduce multidimensional DHJ(3) from DHJ(3). And indeed it is not hard., 886.2 General k, I had a look at the FK proof for general k and found some very interesting parallels between their proof and what Tim has been doing in the past 48 hours. (And what he proposes above.) Quite striking, really, right down to the trick of cutting things up in one dimension first, then the other. (I must have forgotten this trick, as I didn’t consider using it for k=3.) At any rate, the general outline suggested for k=4 (and beyond) looks terribly sound.</t>
  </si>
  <si>
    <t>C2637</t>
  </si>
  <si>
    <t>885.3  That’s great — I’ve got to go to bed pretty soon, but I’ll look forward to checking in the morning to see whether it still looks solid to you by then. Thanks for your wikification too!</t>
  </si>
  <si>
    <t>C2638</t>
  </si>
  <si>
    <t>teaser</t>
  </si>
  <si>
    <t>886.1  No time to write it now, but I see how to deduce multidimensional DHJ(3) from DHJ(3). And indeed it is not hard.</t>
  </si>
  <si>
    <t>C2641</t>
  </si>
  <si>
    <t>887.  Wikification., I started going through the proof Tim has sketched from the beginning, trying to fill in a few small details.  , I thought briefly about removing the use of equal-slices density in the first part of the argument, wherein it is shown that line-free sets correlate with 12-sets.  It wasn’t immediately clear to me how to do this.  Therefore I decided to leave it alone, and work out the “technicality” of passing from relative density under equal-slices to relative density under uniform, discussed in the last paragraph of the proof sketch., Specifically, this requires the details in the “more details” section of the currently abortive original density-increment plan., Therefore, I worked for a bit to clean these up.  As usual, no surprises; everything is fine.  Indeed, one can do it passing to subspaces of  dimension.  I added the last 1% to Tim’s sketch and put it in the passing between measures wiki article.  The only minor innovation is noting that you can write equal-slices exactly as a mixture of uniform-distributions-on-subspaces.</t>
  </si>
  <si>
    <t>C2657</t>
  </si>
  <si>
    <t>Tim886</t>
  </si>
  <si>
    <t>895. Book proof of Szemeredi? Or “This is a theorem Harry Furstenberg stole from Szemeredi…we’re stealin’ it back.” , Regarding what Tim (Gowers) said about an easy proof of Szemeredi materializing, as well as what Terry said about avoiding relative almost periodicity (which seems to be exactly what makes this proof easy as well), it seems natural whether one of us should think about writing up carefully a “book proof of Szemeredi’s theorem”. For starters, it seems to me that this might entail proving Jozsef’s comment no. 2 from a multi-dim Sperner type of hypothesis, then pushing an induction to k-dimensional corners ala Tim’s 886. I am hoping it could be easier in the details than DHJk; that should be clear by the end of the first step, though., It may in fact be that, paradoxically, the book proof of Szemeredi may ultimately pass through DHJ.  For instance, observe that the original Ajtai-Szemeredi proof of corners had to pass through Szemeredi, whereas by lifting up from n to cubes, we can substitute (multi-dimensional) DHJ(2) in place of Szemeredi., The hypergraph regularity/removal proof of (multidimensional) Szemeredi is not too bad, actually, despite its reputation.  The ergodic version of it, which Tim Austin wrote up in the arXiv a few months back, is perhaps a touch simpler than the Furstenberg-Katznelson proof based on repeated extensions by relatively almost periodic functions, being instead based on extending the entire system up to a more “pleasant” system enjoying a number of useful relative independence properties., I’ve been thinking about this too, and it may not be as paradoxical as all that — just a bit unexpected at first. For instance, it is generally accepted that the van der Waerden theorem is “really” the Hales-Jewett theorem (at least if you prove it combinatorially), and that starting with a subset of n distracts from what is actually going on. And something like that seems to have been the case here too: for a while the fact that Ajtai and Szemerédi used Szemerédi’s theorem was a distraction, in that it made it seem as though their approach reached a dead end at the corners theorem when in fact the structure they should have been using was a cube. So Jozsef’s comment 2 was spot on., Randall, there may be room for disagreement over your slogan, but I can’t help liking it …</t>
  </si>
  <si>
    <t>C2644</t>
  </si>
  <si>
    <t>888. More wikification: equal-slices., I added the following observation (which I assume was clear to most everyone already) to the wiki entry on equal-slices measure, which helped me understand the “Hang on” part of the proof that line-free sets correlate with 12-sets., Another equivalent way to draw from the equal-slices distribution is as follows.  Start with a string of  “dots” .  Next, place a “bar”  randomly in one of the  “slots” between (and to the left and right of) the dots.  Next, place a second bar randomly in one of the  slots formed by the string of  dots and one bar.  (At this point we have determined the “slice”.)  Next, fill in all the dots to the left of the leftmost bar with ‘s; fill in all the dots between the two bars with ‘s (not ‘s!); and, fill in all the dots to the right of the rightmost bar with ‘s.  Delete the bars.  Finally, randomly permute the resulting string of ‘s, ‘s, and ‘s., With this viewpoint, it may be easier to understand the joint distribution of the 1-set and the 2-set of a string drawn from equal-slices.  Specifically, it is one that is useful for proving density-Sperner’s theorem., Fact: Let  be a string drawn from the equal-slices distribution, in the manner described above.  Let  be the string that would have been formed had we filled in all the dots to the left of the first bar with ‘s and all the dots to its right with ‘s.  Similarly, let  be the string that would have been formed had we filled in all the dots to the left of the second bar with ‘s and all the dots to its right with ‘s.  Then the following should be easy to verify:, (i)  and  are both distributed according to the equal-slices distribution on  (but not independently);, (ii)  form a combinatorial line in ; in particular,  and  are “comparable” in , i.e., either  or  ;, (iii) ., From these facts we can derive the density version of Sperner’s Theorem:, Theorem: Suppose  has equal-slices density .  Then according to the above distribution on , we get a nondegenerate combinatorial line in  with probability at least .</t>
  </si>
  <si>
    <t>C2645</t>
  </si>
  <si>
    <t>889.  Last wikification of the night., Okay, using the above mentality I was able to rewrite in my own words Tim’s proof that line-free sets correlate with 12-sets.  I added these words to the wiki, modulo the passing from uniform density to equal-slices density (which is still in that article and also partially here).  It’s pretty late at night for me, so I hope I got it right.</t>
  </si>
  <si>
    <t>C2646</t>
  </si>
  <si>
    <t>890. Multidimensional DHJ(3), My main teaching days are Mondays and Tuesdays this term, and today and tomorrow are the last two such days of term. So I’ll be fairly busy, but I hope I’ll still have a bit of time for blogging and wikification. Here I want, as a pre-wikification exercise, to sketch a proof that DHJ(k) implies multidimensional DHJ(k). I’ve woken up with the feeling that DHJ(k) is going to go through almost as easily as DHJ(3). If that is the case, it will be unexpected for two reasons. First, it will give a proof of Szemerédi’s theorem that has a strong claim to be the simplest known. (The only rival I can think of is a particularly clean approach via infinitary hypergraphs, due to Elek and Szegedy, but I may be wrong.) Secondly, it would be the first proof of Szemerédi’s theorem for which “the general case is the case k=3”. By that I mean that in all other proofs you have to go at least as far as k=4 before it’s obvious how to generalize, and in some you have to go to k=5. (Perhaps a true understanding of the problem would require a proof that generalizes straightforwardly from the k=2 case …), Back to multidimensional DHJ(k). Here’s what I think works. Let  be a density- subset of  and let  be large enough so that every subset of  of density at least  contains a combinatorial line. Now split  up into  For a proportion at least  of the points y in  the set of  such that  has density at least . Therefore, by DHJ(k) (with ) we have a combinatorial line. Since there are fewer than  to choose from, by the pigeonhole principle we can find a combinatorial line  and a set  of density  in  such that  whenever  and  And now by induction we can find an -dimensional subspace in  and we’re done., This gives a truly horrible bound, and should mean that if DHJ(k) goes through as I expect (and Randall also expects, I’m glad to see from 886.2), the bound that comes out at the end will probably be of Ackermann type, so it will be comparable to the bounds that come out of the hypergraph approach. (A small challenge that I know some people out there would enjoy is to try to see how this approach to Szemerédi fits in with the general philosophy that all the different proofs are at some deep level manifestations of closely related ideas. There are distinct echoes of hypergraphs in this proof, and yet it is far easier than hypergraph regularity and counting — what is going on? Possibly that we are “cheating” by continually passing to subspaces, but why can’t we do that with hypergraphs? Or can we? Perhaps there’s a way of passing to subgraphs without throwing away too many degenerate simplices. Hmm … I quite like that but no time to pursue it just at the moment.), Multidimensional DHJ(3) is now wikified., I did write up the strong multidimensional Sperner proof which uses multidim. Szemeredi on the wiki, however it might be totally uninteresting if DHJ is easier than hypergraph removal.</t>
  </si>
  <si>
    <t>C2647</t>
  </si>
  <si>
    <t>Multidimensional DHJ(3) is now wikified.</t>
  </si>
  <si>
    <t>CTao_36508</t>
  </si>
  <si>
    <t>945. Moser set n=5.,      If a Moser set for n=5 has 125 points
It must have the following statistics:
•  (8,39,78,0,0,0),      Assume it does not then the only remaining case
 is that it must have these statistics:
•  7,40,78,0,0,0),     Now look at the 7 points with all coordinates not
equal to 2 Any set of 5 of these has one pair of
points that differ in exactly two coordinates
see the proof of lemma 3 in the Moser wiki.
We start with 5 of these points and get at least one
pair that differs in exactly two coordinates if there is more than
one we choose a pair
then we remove one of the points the pair and add the
additional point to replace then we have two pairs. We
keep doing this until we have three pairs. ,      If a line is to be avoided there must be a point with
two 2’s not in the in Moser set which has 2’s
where the points of the pair differ and for the
points where the pair agree it also agrees, if this
does not happen we will have a line.,      Now we have the from the above
we have four points which agree
on three coordinates and take on all
possible values on the remaining two
coordinates.,      They have the potential of forming lines
with those points with one two, namely those
points which agree which agree with the four
points on the the three coordinates mentioned
above and have one two and one arbitrary
value on the remaining two coordinates
there are four such points call the a, b,c,d. The point p
mentoned earlier which agrees with the above
points in the three coordinates mentioned earlier
and has 2’s in the remaining coordinate
forms two lines with these points.
these lines are empty since p or any
of the other four points are in the Moser
set they form a a line with the points
in the two pairs.,      The two lines were counted in the
Inequality 2B + C is less than or equal to
160 with weight  one half. which is lemma three
we can remove these two lines and count over the remaining lines
since they are empty 2B +C will not be effected but the 160
will be reduced to 158 so then we will have
2B +C is less than or equal to 158
but 2B+C is 158 in the case with statistics
Statistics (7,40,78,0,0,0),      Now this gives 2B+C for the remaining lines is less
Than or equal to 158 but 2B+C in this case = 158
Which means that every line must have exactly two points
We will use this fact in the proof that follows by starting
With empty points taking lines that aren’t the set that
Have the empty set and hence have to have the remaining
Point in the line we will use these points to force a line
In the set and thus get a contradiction.,      For the empty set we start with the points a, b, c, d
Mentioned earlier have one two we are going
To force the existence of two sets of four points
Similar to a,b,c,d
They are identical to points of a, b, c,d except
In one coordinate. ,     Let us assume that the points
Of p have the following form 111xy where
The fixed coordinates are assumed to be 1
And in the first three places and x and y are
The moving coordinates. Then a b c d
Are of the form 11121, 11123, 11112, 11132.
The two new sets of similar to a b c d
Are 13121, 13123, 13112, 13132 and
11321, 11323, 11312, 11332 we get that
they must be in the Moser set by the above
and looking at lines 1×121, 1×123, 1×112, 1×132
and 11×21, 11×23, 11×12, 11×32
where x denotes a coordinate that may take
any of three values which are
not in the lines removed and hence by the above
must have 2 points and hence give us the 8 new
points mentioned above in the Moser set.
Now we note that the points
13121, 13123, 13112, 13132
together with 13122 forms a monochromatic line
in fact two monochromatic lines so the 13122
must not be in the set since we already have
11122 is not in the set all other points with
two twos must be in the set now
look at the points  11321, 11323, 11312, 11332
which must be in the set
together with 11322 which must be in the set they
form a monochromatic line in the set so we get
a contradiction.,      Similarly we can form 8 such points
from the points p and a, b, c and d above
no matter what the value of the the fixed coordinates
and no matter the position of the fixed coordinates
and force a monochromatic line in the same way
and the get a contradiction so the only case remaining
is: that having statistics (8,39,78,0,0,0) and we are done.</t>
  </si>
  <si>
    <t>CTao_36510</t>
  </si>
  <si>
    <t>946. Note on 945,     I should not have put the word monochromatic before line in several
cases in the second to last paragraph.</t>
  </si>
  <si>
    <t>CTao_36511</t>
  </si>
  <si>
    <t>rewrite</t>
  </si>
  <si>
    <t>947. Rewrite of 942 ,      If a Moser set for n=5 has 125 points
It must have the following statistics:
• (7,40,78,0,0,0) or
• (8,39,78,0,0,0),      Assume it has statistics (6,40,79,0,0,0),
the only remaining case.
Now look at the 6 points with all coordinates not
equal to 2 in the set. Any set of 5 of these has one pair of
points that differ in exactly two coordinates
See the proof of lemma 3 in the Moser wiki.
We start with 5 of these points and get at least one
pair that differs in exactly two coordinates if there is more than
one we choose a pair
Then we remove one of the points the pair and add the
additional point to replace then we have two pairs.,      Then we note that each of these pairs of points
has the potential of forming a line with the
point p that has two twos in the coordinates i and j that the pair of points differ and where the points of the pair have
the same coordinate p has that coordinate.  So p must be absent from the Moser set. Now
each such point p has the possibility of blocking two
such lines.  the pair of points that has 11 and 33 in the coordinates where
p has two twos and the same coordinates as p elsewhere
and the points that have 13 and 31 in the points where
p has two 2’s and the same coordinates elsewhere.,      Now in the case of this Moser set with
statistics (6,40,79,0,0,0)
We have two such pairs and since only one of 80
points with two twos is missing to avoid
a line the missing point must block both lines for the two
pairs as above. ,      Now we have from the above
four points which agree
on three coordinates called fixed coordinates and take on all
possible values on the remaining two coordinates.
They have the potential of forming lines
with those points with one two, namely those
points  which agree with the four
points on the  three fixed coordinates mentioned
above and have one two and one arbitrary
value on the remaining two coordinates.
There are four such points.
They must be absent from the Moser set
to avoid formin a line.
The point p
mentioned earlier which agrees with the above
points in the three fixed coordinates
and has 2’s in the remaining coordinate
forms two lines with these points.
These two lines are empty since p or any
of the other four points are not in the Moser
set .,      The two lines were counted in the
inequality 2B + C is less than or equal to
160 with weight one half. which is lemma three in the Wiki section n=5
we can remove these two lines and count over the remaining lines
since they are empty 2B +C will not be effected but the 160
will be reduced to 158 so then we will have
2B +C is less than or equal to 158
but 2B+C is 159 in the case with statistics
(6,40,79,0,0,0).,       So only the remaining two statistics are possible and we are done.</t>
  </si>
  <si>
    <t>CTao_36512</t>
  </si>
  <si>
    <t>948.  Rewrite of 945.,      If a Moser set for n=5 has 125 points
It must have the following statistics:
• (8,39,78,0,0,0),      Assume it does not then the only remaining case
is that it must have these statistics:
• 7,40,78,0,0,0),      Now look at the 7 points in the set with all coordinates not
equal to 2 Any set of 5 of these has one pair of
points that differ in exactly two coordinates
see the proof of lemma 3 in the Moser wiki.
We start with 5 of these points and get at least one
pair that differs in exactly two coordinates if there is more than
one we choose a pair
then we remove one of the points the pair and add the
additional point to replace then we have two pairs. We
keep doing this until we have three pairs.
If a line is to be avoided there must be a point with
two 2’s not in the in Moser set which has 2’s
where the points of the pair differ and for the
points where the pair agree it also agrees, if this
does not happen we will have a line.,      Now from the above
we have four points which agree
on three coordinates  called fixed coordinates and take on all
possible values on the remaining two
coordinates.,      They have the potential of forming lines
with those points with one two, namely those
points which agree with the four
points on the three fixed coordinates mentioned
above and have one two and one arbitrary
value on the remaining two coordinates
there are four such points call them a,b,c,d. The point p
mentioned earlier which agrees with the above
points in the three coordinates mentioned earlier
and has 2’s in the remaining coordinate
forms two lines with these points.
these lines are empty since if p or any
of the other four points are in the Moser
set they form  a line with the points
in the two pairs.,      The two lines were counted in the
Inequality 2B + C is less than or equal to
160 with weight one half. which is lemma three
we can remove these two lines and count over the remaining lines
since they are empty 2B +C will not be effected but the 160
will be reduced to 158. So then we will have
2B +C is less than or equal to 158
but 2B+C is 158 in the case with statistics
(7,40,78,0,0,0),      Now this gives 2B+C for the remaining lines is less
Than or equal to 158 but 2B+C in this case = 158.
Which means that every one of the remaining lines must have exactly two points.,      We will use this fact in the proof that follows by starting
with the points a, b, c, d which as noted above are not in the Moser set. Taking lines from the remaining lines that
contain a, b, c or d and hence have to have the remaining
point in the line. We will use these points to force a line
In the set and thus get a contradiction.,      We start with the points a, b, c, d
mentioned earlier. We are going
to force the existence of two sets of four points
similar to a,b,c,d
They are identical to points of a, b, c, d except
in one coordinate.,      Let us assume that the points
Of p have the following form 111xy where
The fixed coordinates are assumed to be 1
And in the first three places and x and y are
The moving coordinates. Then a b c d
Are of the form 11121, 11123, 11112, 11132.
The two new sets of similar to a b c d
Are 13121, 13123, 13112, 13132 and
11321, 11323, 11312, 11332 we get that
they must be in the Moser set by the above
and looking at lines 1×121, 1×123, 1×112, 1×132
and 11×21, 11×23, 11×12, 11×32
where x denotes a coordinate that may take
any of three values which are
not in the lines removed and hence by the above
must have 2 points and hence give us the 8 new
points mentioned above are in the Moser set.
Now we note that the points
13121, 13123, 13112, 13132
which by the above must be in the Moser set
together with 13122 forms a monochromatic line
in fact two monochromatic lines so the 13122
must not be in the Moser set.,      Since we already have
11122 is not in the set all other points with
two twos must be in the set now
look at the points 11321, 11323, 11312, 11332
which must be in the set
together with 11322 which must be in the Moser set by the above they
form a monochromatic line in the Moser set so we get
a contradiction.,      Similarly we can form 8 such points
from the points p and a, b, c and d above
no matter what the value of the the fixed coordinates
and no matter the position of the fixed coordinates
and force a monochromatic line in the same way
and the get a contradiction so the only case remaining
is: that having statistics (8,39,78,0,0,0) and we are done.</t>
  </si>
  <si>
    <t>CTao_36515</t>
  </si>
  <si>
    <t>949. A Moser set for n=5 has 124 points,  A Moser set for n=5 has 124 points.
If it doesn’t it must have 125 points since we have shown that a contradiction results if there are more than 126 points. Since it has 125 points
it must have the following statistics:
• (8,39,78,0,0,0), Now look at the 8 points in the Moser set with all coordinates not
equal to 2 Any set of 5 of these has one pair of
points that differ in exactly two coordinates
see the proof of lemma 3 in the Moser wiki.
We start with 5 of these points and get at least one
pair that differs in exactly two coordinates if there is more than
one we choose a pair
then we remove one of the points the pair and add the
additional point to replace then we have two pairs. We
keep doing this until we have four pairs. ,      There must be points with exactly 2 coordinates equal to two for each of the coordinates where the pairs differ with coordinates. We have four pairs and only two possible points absent from the Moser set as we see by looking at the statistics. Now each of these points can block at most two of the lines formed by a pair. Since those coordinates constant in a pair must be constant in the point as well so only pairs which agree with the point on these constant coordinates can be blocked and there are only two such pairs for each set of three constant coordinates. They are the following points those which agree on the constant coordinates and have all 1’s or all 3’s on the remaining coordinates or the remaining two points which agree on the constant coordinates. Since we have four pairs and only two points with exactly two 2’s missing from the Moser set they must block the four lines formed by all four pairs. Each point blocks two lines., Call these two points  and .
Now from the above
we have two sets of four points. Each set agrees
on three coordinates called fixed coordinates and takes on all
possible values on the remaining two
coordinates., Each set has the potential of forming lines
with those points with one two, namely those
points which agree with the four
points on the three fixed coordinates mentioned
above and have one two and one arbitrary
value on the remaining two coordinates
there are four such points for each set. The points  and  mentioned earlier
each form two lines with one set of four points mentioned above. So we have four such lines. These lines are empty since if  or  or any
of the either set of four points are in the Moser
set they form a line with the points
in the four pairs., The four lines were counted in the
Inequality 2B + C is less than or equal to
160 with weight one half. which is lemma three
we can remove these four lines and count over the remaining lines
since they are empty 2B +C will not be effected but the 160
will be reduced to 156. So then we will have
2B +C is less than or equal to 156
but 2B+C is 156 in the case with statistics
(8,39,78,0,0,0)
Now this gives 2B+C for the remaining lines is less
Than or equal to 156 but 2B+C in this case = 156.
Which means that every one of the remaining lines must have exactly two points.
We will use this fact in the proof that follows by starting
with one set of four points with exactly one two which are associated with . Which as noted above are not in the Moser set. Taking lines from the remaining lines that
contain these and hence have to have the remaining
point in the line. We will use these points to force a line
n the set and thus get a contradiction. We will have to do this for two sets of four points because one of the sets formed might be the other set of four points associated with the other two pairs. However this can be dealt with because there are enough degrees of freedom to pick two and in fact three such sets of four points.
Let us assume that the points
Of two pairs forming one of the sets noted above have the following form 111xy where
The fixed coordinates are assumed to be 1
And in the first three places and x and y are
The moving coordinates. Then a b c d
Are of the form 11121, 11123, 11112, 11132.
The two new sets are
13121, 13123, 13112, 13132 and
11321, 11323, 11312, 11332 we get that
they must be in the Moser set by the above
and looking at lines 1×121, 1×123, 1×112, 1×132
and 11×21, 11×23, 11×12, 11×32
where x denotes a coordinate that may take
any of three values which are
not in the lines removed and hence by the above
must have 2 points and hence give us the 8 new
points mentioned above are in the Moser set unless the exception is as noted above that one of the two groups of 4 is the group of four points associated with the other set formed by the points of the other two pairs. In any case we will have one set of four points out of the two sets of four points that must be in the Moser set.
Now we note that these points without loss of generality can 13121, 13123, 13112, 13132. The proof is essentially the same for both cases.
These points by the above must be in the Moser set.
together with 13122 forms a line in fact two lines. Now if 13122 is not in the Moser set it must be one of  or  however by construction it cannot be  and if it were  then the set of four points 13121, 13123, 13112, 13132 would be the second set formed by the second set of two pairs associated with $platex p_2$ but we have chosen these points so that does not occur so it is in the Moser set.
So we have a line in the Moser set so we have a contradiction., Similarly we can form 8 such points
from the four pairs above
no matter what the value of the  fixed coordinates
and no matter the position of the fixed coordinates
and force a monochromatic line in the same way
and the get a contradiction so the only case remaining
is: that having statistics (8,39,78,0,0,0) and we are done.</t>
  </si>
  <si>
    <t>C2648</t>
  </si>
  <si>
    <t>891.  Corrected/expanded a bit the “passing between measures” article on the wiki.</t>
  </si>
  <si>
    <t>C2649</t>
  </si>
  <si>
    <t>892. Wikification., I finished the 1% fleshing out required in the article proving that line-free sets correlate with 12-sets, including all the passing back and forth between uniform and equal-slices measures.  I think the only bit remaining undone here is instantiating all the parameters.</t>
  </si>
  <si>
    <t>C2650</t>
  </si>
  <si>
    <t>I did write up the strong multidimensional Sperner proof which uses multidim. Szemeredi on the wiki, however it might be totally uninteresting if DHJ is easier than hypergraph removal.</t>
  </si>
  <si>
    <t>C2651</t>
  </si>
  <si>
    <t>wiki hacked</t>
  </si>
  <si>
    <t>spammers</t>
  </si>
  <si>
    <t>wiki, Meta comment: Something happened with the wiki. It seems that it has been hacked. Be careful with the links there., Just seems to be spammers changing the page. I reversed it., It wasn’t enough, the page is wrong again. I’m not sure what to do. I changed it back again, but I don’t think it will stay like this for long., I blocked the offending IP.  If that fails, the next step would be to protect the main page by limiting edits to signed in users, I guess.</t>
  </si>
  <si>
    <t>C2652</t>
  </si>
  <si>
    <t>Just seems to be spammers changing the page. I reversed it.</t>
  </si>
  <si>
    <t>C2653</t>
  </si>
  <si>
    <t>It wasn’t enough, the page is wrong again. I’m not sure what to do. I changed it back again, but I don’t think it will stay like this for long.</t>
  </si>
  <si>
    <t>C2654</t>
  </si>
  <si>
    <t>I blocked the offending IP.  If that fails, the next step would be to protect the main page by limiting edits to signed in users, I guess.</t>
  </si>
  <si>
    <t>CTao_36519</t>
  </si>
  <si>
    <t>Kristal</t>
  </si>
  <si>
    <t>submitted to OEIS</t>
  </si>
  <si>
    <t>950.  Moser(3), Kristal, this is great!  I haven’t yet had time to go through the arguments and wikify them but I will get round to it at some point., The next step will be to try to reduce the dependence on computer data.  I think the classification of 3D extremals will help out a lot here.  There are some very specific facts we need from the 4D data (e.g. no 41+ points sets with d &gt;= 4, etc.) and it may well be that the inequalities coming from the 3D theory are enough for this.  This should be checkable with Maple, and then a posteriori we can then write down a human proof., Incidentally, I have submitted  to the OEIS at, http://www.research.att.com/~njas/sequences/A157795</t>
  </si>
  <si>
    <t>C2655</t>
  </si>
  <si>
    <t>progress/project</t>
  </si>
  <si>
    <t>893., I’ve been busy, so I haven’t been able to stop by much recently, but things look pretty good at this point.  I agree that the DHJ(3) Ajtai-Szemeredi sketch looks pretty solid.  (An amusing side note: when I had Ajtai-Szemeredi described to me, I thought that they were already doing what we were doing now, i.e. getting correlation with an unstructured Cartesian product and then partitioning that product into grids.  So I was a little confused when Tim was insisting that what we were doing was not quite Ajtai-Szemeredi… but now I see the subtle difference between the two approaches.), It looks like Tim Austin has come up with an alternate proof that is also based on correlation with 12-sets, etc. but is based on triangle-removal type strategies rather than density-increment strategies.  It also requires a preliminary use of Graham-Rothschild to regularise a large number of statistics so as to make them stable under freezing of coordinates, and so is likely to give poorer bounds.  But it is closer in spirit to the original intent of Polymath1.  I believe Tim will come on here himself to report on this soon (he’s working in an ergodic theory setting), and I will focus on trying to finitise it.  (It’s likely to be cleaner than the finitisation of Furstenberg-Katznelson, because one does not have to deal with relative almost periodicity.), 893.1  Re your amusing aside, I have had a very similar experience, which can sort of be deduced from my initial blog comment on the Ajtai-Szemerédi proof. (It can be found at the end of the article on the wiki.) At that stage I only half remembered their proof, and likewise assumed that they must have started with the dense diagonal, got a global Cartesian product disjoint from A, and deduced a density increment on a grid.</t>
  </si>
  <si>
    <t>CTao_36521</t>
  </si>
  <si>
    <t xml:space="preserve">Kristal </t>
  </si>
  <si>
    <t>951.  Moser(3), I’ve put Kristal’s arguments on the wiki.  It would be good for others to go through the proof and keep an eye out for any corrections or simplifications.  The points where the n=4 data is relied on should be inspected particularly carefully, to see if alternate arguments are available.</t>
  </si>
  <si>
    <t>CTao_36522</t>
  </si>
  <si>
    <t>c’_7
The 978 point solution:
http://twofoldgaze.wordpress.com/2009/03/10/978-element-solution/, c’_6
http://twofoldgaze.wordpress.com/2009/03/10/353-element-solution/</t>
  </si>
  <si>
    <t>CTao_36523</t>
  </si>
  <si>
    <t>953., My program is still running for the next few hours so I can’t access it yet but it seems I just found a 985 solution for c’_7.</t>
  </si>
  <si>
    <t>C2656</t>
  </si>
  <si>
    <t xml:space="preserve">arxiv sources </t>
  </si>
  <si>
    <t>894. I seem to have come to this at a handy moment, following Terry’s post, Having been following progress here (albeit only in fits and starts) and talking with Terry about the ideas that have come out, it struck me late last week that in the infinitary world of stochastic processes that Furstenberg and Katznelson move to, the approach raised here for obtaining obstructions to uniformity that are built from ij-sets can actually be coupled to a lot of machinery that’s already known from other things to give a new infinitary proof of their multiple recurrence result, without anything else being required.  In particular, it uses an infinitary analog of `energy increment’ to improve the structure of a stochastic process, and then an appeal to an `infinitary hypergraph removal lemma’ originally motived by some work of Terry on infinite random hypergraphs, both which I recently used to play a similar game around the multidimensional Szemeredi Theorem (arXiv 0808.2267, in case it’s of interest)., In fact, it turned out that this could be written up completely in just a couple of days by judiciously cutting, pasting and re-notating writeups of other things, so this is now done and on the arXiv: once it becomes publicly visible it’ll be at 0903.1633.  I feel I should possibly offer my assurances that I wouldn’t have rushed from a moment of realization to completing a preprint if it really hadn’t been so very quick and mechanical from that point on, without requiring any input of new ideas from me., For what it’s worth, I’ve thought only briefly about finitizing this approach and Terry has already said most of what I could say.  As it stands it will require a preliminary heavy appeal to Graham-Rothschild (Carlson-Simpson, in the infinitary world) and then proceeding in close analogy with hypergraph removal strategies.  So it is rather removed from the density-increment approach that I think is now mainly being pursued here, and would look set to give much worse bounds unless some other new idea can remove the reliance on Graham-Rothschild., 894.1  Tim, this is great news and very much in the spirit of polymath leading to multiple proofs and all-round improved understanding.</t>
  </si>
  <si>
    <t>C2678</t>
  </si>
  <si>
    <t>Gowers_13</t>
  </si>
  <si>
    <t>1002. 895 again., Okay, maybe the book proof of Szemeredi goes through DHJ, but I hope not…I was trying before to get someone to bite on trying something potentially simpler than DHJ (3) that would still prove the corners theorem via the Ajtai-Szem method. (And in particular didn’t use Szemeredi’s theorem as a lemma.) Of course, being the token ergodic theorist, you can probably guess that I would like someone to bite so I don’t have to try to check myself, because I am woefully slow and error prone when it comes to such things. So let me try again…I’ll just think out loud and if none of this makes any sense, everyone can feel free to ignore., What if I take as my basic object pairs  of . A diagonal is a set , where  is multi-set union and  is some fixed multi-set (of multiplicity no greater than 2 in each element). A corner is a triple of the form , where  can be a set plus an anti-set (an antiset is like a set where every element has a multiplicity of -1). , Okay, let  be a set of pairs of density at least , i.e. . Now, for some rather small, or at least not-so-big , most of the whole space is covered by diagonals whose “multiplicity 2-or-zero” (for the defining multiset ) set of indices has size no bigger than . , Diagonals of this sort have at least  members. Take one of these diagonals  on which  is dense, say of relative density at least . If  is corner-free, then any pair of the form , where  and  is forbidden. That should be something like  forbidden pairs, and these pairs lie in a Cartesian product. This should mean that  has a density increment on some other Cartesian product, call it . , The next step is presumably to use the multidimensional Sperner’s theorem to carve almost all of  up into subgrids of some large but fixed size . (Here a subgrid is a collection .) I wasn’t really anticipating how hard this would be but maybe you can use the iteration method we use to carve 1-spaces up. Now that I am thinking about this finally, maybe one can do it all in one go. Namely, you can always find  with combined size at most  such that the probability that  and  is above some constant . So for those pairs  where you get the containment you were shooting for, remove those grids from  and keep them as part of your partition; partition the other pairs into   classes according to the value taken on the subgrid associated with that pair. Each of these classes is the intersection of  with a subgrid and we iterate…just like in the proof of DHJ. And, I guess that’s it. Assuming all of the above is correct, you get  an increment on a subgrid. , It’s almost 3 here and too late to check so I will apologize in advance if something is amiss., 1002.1  Randall, is your problem the same as Jozsef’s in comment 2? In one of the very early comments I tried to translate that one into set-theoretic language and ended up with something pretty similar. This is mainly to say that I agree that it’s worth seeing whether Szemerédi can be done without going the whole way to DHJ. For now I’m going to concentrate my efforts on DHJ(k) but will follow what you have to say with interest. I suppose there are two issues: can DHJ be avoided, and is the resulting proof substantially simpler?, 1002.2 Yes, it was intended to be the same (not sure whether Jozsef intended to allow inverted corners, but I am here). Oh, yes…I see your comment 7. That looks to be exactly the interpretation I am employing. , Well, perhaps Terry will wake up and say whether the alleged proof I gave is really a proof or can be made into a proof. (And whether it’s simpler than what we have already.) Since he composed and typed the breakthrough post (837?) in eighteen minutes, perhaps he’ll be able to do this despite being very busy with other things. , On a more general philosophical note, Tim, to we ergodic theorists (who have trouble with subscripts appearing on the numbers capital N appearing in proofs), the dynamical proof of van der Waerden (not that of Furstenberg and Weiss but the easy one, due to Blszczyk, Plewik and Turek) is much more pleasant than any proof I have seen of HJ. (Actually, I have long wanted to see a proof, even an unpleasant one, of HJ that made efficacious use of non-metrizable topological dynamics.), 1002.3 Obviously I meant “efficacious use of *metrizable* topological dynamics”. There exist proofs using non-metrizable topological dynamics (e.g. Furstenberg and Katznelson’s proof). It may not be possible, or it may require some non-commutative stuff like in the FK proof of DHJ. There is a Bergelson-Leibman proof that tried to use recurrence for continuous maps of compact metric spaces, but it was realized after the paper appeared that neither continuity of the transformations nor completeness of the space was actually ever used., 1002.4 No induction…., I think the idea I had to prove Szemeredi via Ajtai-Szem type argument using Jozsef’s formulation from comment 2 is dead in the water at k=3.5. The problem I don’t see a way around is that there don’t seem to be enough corners at k=3 to forbid enough points at k=4. Obviously not a problem for DHJ since the number of lines at k=3 is 4^k which is equal to the number of points at k=4. , Oh well…if the above is correct (nobody checked?) it may be the simplest proof of the corner’s theorem, at least., Hmm…I finally had a look at the above myself, and it seems to be complete garbage for (at least) two reasons…. Perhaps now I am convinced that the DHJ proof is the right one for Szemeredi after all. (Maybe.)</t>
  </si>
  <si>
    <t>CTao_36528</t>
  </si>
  <si>
    <t>954.  (It’s hard to keep these posting numbers straight when sleep deprived.), My largest solution for c_7 is 988.  One more caveat, the algorithm I used to display the long form solutions has a bug in it.  I will correct it soon.</t>
  </si>
  <si>
    <t>CTao_36529</t>
  </si>
  <si>
    <t>955., The term c_7 in my last comment should be c’_7.</t>
  </si>
  <si>
    <t>C2658</t>
  </si>
  <si>
    <t>894.1  Tim, this is great news and very much in the spirit of polymath leading to multiple proofs and all-round improved understanding.</t>
  </si>
  <si>
    <t>CTao_36531</t>
  </si>
  <si>
    <t xml:space="preserve">where is Kareem's blog?? </t>
  </si>
  <si>
    <t>956., The good news is that I corrected the bug and the solutions on my blog are correct now.  I updated my 978 solution to a 988 solution.   There is some bad news unfortunately.  The long form solutions that I provided for c_n are probably all wrong in the same way.   So stick with the short form solutions for now.  For a quick fix, if things look wrong just shift the element to the one just below it so 113 -&gt; 112 and so on.  I will fix it as soon as I can.</t>
  </si>
  <si>
    <t>C2659</t>
  </si>
  <si>
    <t>potential additional reading</t>
  </si>
  <si>
    <t>It may in fact be that, paradoxically, the book proof of Szemeredi may ultimately pass through DHJ.  For instance, observe that the original Ajtai-Szemeredi proof of corners had to pass through Szemeredi, whereas by lifting up from n to cubes, we can substitute (multi-dimensional) DHJ(2) in place of Szemeredi., The hypergraph regularity/removal proof of (multidimensional) Szemeredi is not too bad, actually, despite its reputation.  The ergodic version of it, which Tim Austin wrote up in the arXiv a few months back, is perhaps a touch simpler than the Furstenberg-Katznelson proof based on repeated extensions by relatively almost periodic functions, being instead based on extending the entire system up to a more “pleasant” system enjoying a number of useful relative independence properties.</t>
  </si>
  <si>
    <t>C2660</t>
  </si>
  <si>
    <t>893.1  Re your amusing aside, I have had a very similar experience, which can sort of be deduced from my initial blog comment on the Ajtai-Szemerédi proof. (It can be found at the end of the article on the wiki.) At that stage I only half remembered their proof, and likewise assumed that they must have started with the dense diagonal, got a global Cartesian product disjoint from A, and deduced a density increment on a grid.</t>
  </si>
  <si>
    <t>C2661</t>
  </si>
  <si>
    <t>Jozsef comment 2? Randall slogan?</t>
  </si>
  <si>
    <t>Randall slogan - is this the UtahRaptor one?</t>
  </si>
  <si>
    <t>I’ve been thinking about this too, and it may not be as paradoxical as all that — just a bit unexpected at first. For instance, it is generally accepted that the van der Waerden theorem is “really” the Hales-Jewett theorem (at least if you prove it combinatorially), and that starting with a subset of n distracts from what is actually going on. And something like that seems to have been the case here too: for a while the fact that Ajtai and Szemerédi used Szemerédi’s theorem was a distraction, in that it made it seem as though their approach reached a dead end at the corners theorem when in fact the structure they should have been using was a cube. So Jozsef’s comment 2 was spot on., Randall, there may be room for disagreement over your slogan, but I can’t help liking it …</t>
  </si>
  <si>
    <t>C2662</t>
  </si>
  <si>
    <t>stop numbering comments cuz running out of space -- AGAIN, numbered comment != valuable contribution!!!!!!!</t>
  </si>
  <si>
    <t xml:space="preserve">Metacomment: I’m doing my best not to write newly numbered comments here, since this thread is about to run out (at 899) and then we’ll reach an important milestone — comment number 1000. I feel that we deserve a decent-length post before that one. (My main activity at the moment is over at the wiki. I’m currently working on generalizing the local correlation with 12-sets from  to </t>
  </si>
  <si>
    <t>CTao_36533</t>
  </si>
  <si>
    <t>improve solution means x</t>
  </si>
  <si>
    <t>957., Terry:, I thought your suggestion of solution seeding was a great idea so I implemented it using a stock of better than 972 solutions.  Then I spent some time visualizing the solutions and I realize they have patterns.  So I checked to see what parts of the chromosomes are conserved between solutions and that seems to be an effective form of solution seeding also., Click to access visualization1.pdf, Click to access visualization2.pdf, guest:  I thought a little more about your comment and decided to give it a more rigorous evaluation.  I spent some time with a notepad and a pencil carefully noting the effectiveness of crossover.  Paradoxically, without mutation crossover with a stocastic sort of greedy algorithm seemed to improve the solutions 5% of the time which was approximately the same as not doing crosover.  However, when I implement crossover with mutation (with an underlying greedy algorithm to ensure no missed opportunities),  20% of the time crossover improves a solution versus 15% for mutation.   Something about mutation seems to be boosting the effectiveness of crossover.  (When I say it improves a solution, I mean a random solution in the population is improved, not necessarily the best solution.)</t>
  </si>
  <si>
    <t>C2663</t>
  </si>
  <si>
    <t>also tool comment &amp; knowledge artifact updated PLANNED</t>
  </si>
  <si>
    <t>896.  Austin’s proof, I will probably focus the (limited) time I have available for this thread on trying to explicate Austin’s proof in finitary language.  I know you guys don’t actually have access to it yet, but let me try to informally describe some of the details.   Take all this cum grano solis; I have not yet fully digested the argument and some of the details may be slightly or perhaps even massively incorrect., Let me take 3 = {0,1,2} (rather than {1,2,3}) for sake of arbitrarily fixing the conventions (we’ve been a bit inconsistent on this).  Let’s define a trilinear form  on functions  by the formula, , where  varies along combinatorial lines with respect to some measure that I will intentionally leave vague.  DHJ(3) is equivalent to the following “triangle-removalish” type statement:, DHJ(3)’: Let  be such that .  Then ., Roughly speaking, Austin’s strategy is to “regularise” the situation so that 12-sets, 01-sets are “relatively independent” over a common algebra of 1-sets, and similarly for the 12-sets and 02-sets, etc., with the 0-sets, 1-sets, 2-sets themselves being relatively independent over -sets (which, for us, I think means “unions of large subspaces”, and which can be ignored by passing to a large subspace).    I don’t understand this part well yet, but it is analogous to the Szemeredi regularity lemma.  There is also a preliminary reduction to “strong stationarity” which means, roughly, that the statistics of various 01-sets, etc. (e.g. the density of an overlap between a relevant 01-set and a relevant 02-set) doesn’t change of we freeze a bounded number of coordinates.  This reduction is obtained via Graham-Rothschild and is going to be hideously expensive as regards quantitative bounds, but never mind that for now., 1.  Once one has this regularisation, this makes DHJ(3)’ is easy when f is an (indicator of a) (basic) 12-set, g is a basic 02-set, and h is a basic 01-set, much as it is easy to find corners connecting three sets A, B, C in  when those sets are Cartesian products in the right fashion.  Indeed things seem to collapse to DHJ(2.5) in this case.  (This is analogous to the triangle removal lemma for three bipartite graphs when each of the three graphs is a complete bipartite graphs between one cell in each vertex set.), 2.  Next, this implies DHJ(3)’ when f,g,h are non-basic 12-sets, 02-sets, and 01-sets, i.e. finite unions of basic sets (or more precisely finite linear combinations of indicators of basic sets), but where the lower bound depends on the complexity of the partition into basic sets. (This is analogous to the triangle removal lemma for unions of complete bipartite graphs between cells.), 3.  Next, this implies DHJ(3)’ when f (and similarly g, h) are “Borel 12-sets” (to continue the topological analogy much as Borel sets can be approximated by open sets), which means that given any , one can approximate f to within  by a non-basic 12-set of bounded complexity.  This is because pigeonhole ensures that there are a lot of non-basic 12-sets which are 99% occupied by f, and one will be able to get this case from applying Case 2 to these “rich” sets, and using some relative independence properties.  (This is analogous to triangle removal for unions of 99%-complete bipartite graphs between cells.), 4.  Next, we obtain DHJ(3)’ when f (and similarly g,h) is the sum of a Borel 12-set and something which is highly orthogonal to all basic 12-sets, including the very small basic 12-sets coming from the cells of an approximation to the Borel 12-set.  This is basically because the guy which is highly orthogonal to all basic 12-sets is so uniform as to have essentially no contribution to .  (This is analogous to triangle removal for a triplet of bipartite graphs which have been regularised.), 5.  Finally, we have a regularity lemma that tells us that arbitrary f,g,h decompose in this fashion (possibly after localising to a large subspace).  This is a “soft” energy increment argument, analogous to that in the regularity lemma.  One has to keep freezing coordinates while performing this increment argument, so it is important that one has the strong stationarity property first before one sets up the regularity argument., Maybe I’ll try to write a more coherent version of the above on the wiki at some point., Another wordpress bug for your collection: it doesn’t like \varemptyset (so I changed yours to \emptyset).</t>
  </si>
  <si>
    <t>solved probably</t>
  </si>
  <si>
    <t>review of progress</t>
  </si>
  <si>
    <t xml:space="preserve">Without anyone being particularly aware of it, a race has been taking place. Which would happen first: the comment count reaching 1000, or the discovery of a new proof of the density Hales-Jewett theorem for lines of length 3? Very satisfyingly, it appears that DHJ(3) has won. If this were a conventional way of producing mathematics, then it would be premature to make such an announcement — one would wait until the proof was completely written up with every single i dotted and every t crossed — but this is blog maths and we’re free to make up conventions as we go along. So I hereby state that I am basically sure that the problem is solved (though not in the way originally envisaged).Why do I feel so confident that what we have now is right, especially given that another attempt that seemed quite convincing ended up collapsing? Partly because it’s got what you want from a correct proof: not just some calculations that magically manage not to go wrong, but higher-level explanations backed up by fairly easy calculations, a new understanding of other situations where closely analogous arguments definitely work, and so on. And it seems that all the participants share the feeling that the argument is “robust” in the right way. And another pretty persuasive piece of evidence is that Tim Austin has used some of the ideas to produce a new and simpler proof of the recurrence result of Furstenberg and Katznelson from which they deduced DHJ. His preprint is available on the arXiv.Better still, it looks very much as though the argument here will generalize straightforwardly to give the full density Hales-Jewett theorem. We are actively working on this and I expect it to be done within a week or so. (Work in progress can be found on the polymath1 wiki.) Better even than that, it seems that the resulting proof will be the simplest known proof of Szemerédi’s theorem. (There is one other proof, via hypergraphs, that could be another candidate for that, but it’s slightly less elementary.)I have lots of thoughts about the project as a whole, but I want to save those for a different and less mathematical post. This one is intended to be the continuation of the discussion of DHJ(3), and now DHJ(k), into the 1000s. More precisely, it is for comments 1000-1049.  												This entry was posted on March 10, 2009 at 12:21 am and is filed under polymath1.						You can follow any responses to this entry through the RSS 2.0 feed.													You can leave a response, or trackback from your own site.											</t>
  </si>
  <si>
    <t>C2665</t>
  </si>
  <si>
    <t>wordpress bug</t>
  </si>
  <si>
    <t>Another wordpress bug for your collection: it doesn’t like \varemptyset (so I changed yours to \emptyset).</t>
  </si>
  <si>
    <t>C2666</t>
  </si>
  <si>
    <t>897. Progress report, I’ve reached the first point where it isn’t almost trivial to generalize the argument we have for DHJ(3) to an argument for DHJ(k). I think it’s going to be a sort of middling difficulty — that is, you can’t do it in five minutes but you know you’ll get there in at most a few hours. (Actually, I think it may be easier than that, but I haven’t yet tried.) Over on the wiki, I have written up part of an argument that generalizes to  the fact that a dense line-free set (in equal-slices measure) correlates with a dense 12-set. , The problem in the  case is to prove that the lower-complexity set you get is dense. The proof for  uses a quantitative Sperner theorem (namely that you get a positive proportion of all possible combinatorial lines if you start with a dense set — all with respect to equal-slices measure). The proof for  needs a similar statement about combinatorial lines in  It should be obtainable from DHJ(k-1) by a suitable averaging argument, but it’s not one I can do in my head., 897.1  I’ve got a vague outline of an argument, but have to go to bed. Here’s how it goes. We’re given a dense (in equal-slices measure) subset  I claim that it contains a dense set of combinatorial lines (where that means that if you randomly permute  and then randomly divide it up into  subintervals, filling the first  with 1 to k-1 and treating the final one as a wildcard set, and then with positive probability that line lies in your set). I think that follows by an averaging argument where you choose a large subspace randomly by first picking the sizes of the wildcard sets and then choosing the sets themselves, and then you apply DHJ(k-1) and average up. Finally, I think that if you pick an equal-slices random point x in  and consider all the points in  you get by replacing the js of x by 1s, 2s, …, (k-1)s, then the distribution on the resulting combinatorial lines is not radically different from the distribution described above. In particular, I think the probability that all those points lie in the dense subset of  is positive., 897.2  Just realized that “not radically different from” might be better changed to “identical to”.</t>
  </si>
  <si>
    <t>C2667</t>
  </si>
  <si>
    <t>think offline</t>
  </si>
  <si>
    <t>Metacomment: I’m going to think offline for a bit about the problem in 897. Before I clock off for the night I’ll say whether I think I’ve sorted it out, in case anyone else wants to think about it. (It feels as though it might be Ryan territory.) And I’ve now put up a new post in case the comment count reaches 899.  Am clocking off now — see 897.1 above.</t>
  </si>
  <si>
    <t>C2669</t>
  </si>
  <si>
    <t>897.1  I’ve got a vague outline of an argument, but have to go to bed. Here’s how it goes. We’re given a dense (in equal-slices measure) subset  I claim that it contains a dense set of combinatorial lines (where that means that if you randomly permute  and then randomly divide it up into  subintervals, filling the first  with 1 to k-1 and treating the final one as a wildcard set, and then with positive probability that line lies in your set). I think that follows by an averaging argument where you choose a large subspace randomly by first picking the sizes of the wildcard sets and then choosing the sets themselves, and then you apply DHJ(k-1) and average up. Finally, I think that if you pick an equal-slices random point x in  and consider all the points in  you get by replacing the js of x by 1s, 2s, …, (k-1)s, then the distribution on the resulting combinatorial lines is not radically different from the distribution described above. In particular, I think the probability that all those points lie in the dense subset of  is positive.</t>
  </si>
  <si>
    <t>C2670</t>
  </si>
  <si>
    <t>Cantwell.949</t>
  </si>
  <si>
    <t>note timing</t>
  </si>
  <si>
    <t>Metacomment., Appropriate timing of note:
Cantwell.949: A Moser set for n=5 has 124 points</t>
  </si>
  <si>
    <t>C2672</t>
  </si>
  <si>
    <t>897.2  Just realized that “not radically different from” might be better changed to “identical to”.</t>
  </si>
  <si>
    <t>C2674</t>
  </si>
  <si>
    <t>expectation</t>
  </si>
  <si>
    <t>1000.  DHJ(k), A small comment: from experience with hypergraph regularity, I would imagine that DHJ(k) will not follow exactly from DHJ(k-1), but from something more like DHJ(k-1,k), and so the induction hypothesis may need to have an additional parameter than just k.  (For instance, the simplex removal lemma for 3-uniform hypergraphs requires, at base, something resembling the -removal lemma for graphs rather than the triangle removal lemma for graphs.   While the -removal and triangle removal lemmas have nearly identical proofs, I don’t think one can easily deduce the former from the latter if the latter is a black box.), 1000.1  An  comment: you mean of course DHJ(k-2,k). , I think the jury is still out on whether we need to prove the full DHJ(k-2,k) before doing DHJ(k) or whether passing to subspaces the whole time makes it unnecessary. I’m hoping for the latter, but am ready to switch if we have to., An  comment: you are now our official powers-of-ten champion …</t>
  </si>
  <si>
    <t>CTao_36539</t>
  </si>
  <si>
    <t>958. Moser(3), dim-5, There is one step I am not sure of.  The proof of Lemma 7 relies on slices with non-zero d having scores of 59 7/12 or below.  But there are two examples in the list, with d=3 and d=2, with higher scores than that.</t>
  </si>
  <si>
    <t>CTao_36542</t>
  </si>
  <si>
    <t>959.  5D Moser(3), Thanks Michael.  Fortunately one can rule out the d&gt;1 cases by observing from Lemma 7 that there is a way to cut the cube so that the side slices have at most one C-point missing (i.e. one side has c=24 and the other has c at least 23) and no D-points, and hence the middle slice has at most one D-point.  I’ve updated the wiki appropriately., There is also an alternate approach from Cantwell.912, Cantwell.913.  Both approaches rely to some extent on the 4D statistics.  It would be good to have an alternate proof of this fact which relied less on these statistics (e.g. relying more on the 3D inequalities, which are human-verifiable).</t>
  </si>
  <si>
    <t>C2676</t>
  </si>
  <si>
    <t>deanonymized</t>
  </si>
  <si>
    <t>1001.  Line and equal-slice distributions in ., It seems to me that the right generalization of the “another useful equivalent definition” of equal-slices on  is as follows:, Pick  from the equal-slices distribution.  Form  by changing all the ‘s in  into ‘s, for .  Finally, let  be a random permutation of the ‘s.  , Certainly the set  is a combinatorial line, which is degenerate only if  had no ‘s.  , I believe that each  is individually distributed as equal-slices on , but I can’t quite seem to prove it to myself at this late hour.  Anyone want to prove or disprove?  , (If it’s true, there must be some slick way to see it, like “break up a necklace of  beads into  pieces, then pretend you did it in one the  different orders, then…” etc.), 1001.1.  That was me writing; forgot to log in., 1001.2  I’m pretty sure it’s false. In fact, isn’t it obviously false, since the expected number of s in  is twice the expected number of any j for ?, However, I think what can be proved is that the distribution on each individual  is not importantly different from the equal-slices distribution, in that the collection of dense sets is the same in both cases. This is analogous to what happens in the corners problem, where the number of corners containing a point is different from point to point (even if we start off with a triangular grid) but this doesn’t matter because the discrepancy between the uniform measure of a set and the point-in-random-corners measure of a set depends only on the measures and not on ., 1001.3  However, I think I may be misunderstanding what you have written, since I don’t quite see why you bother to permute the s (given that they were already distributed in a way that is permutation-invariant — or at least that’s how it appears to me from what you say)., 1001.4.  Oops, yes, I think what I meant to say was “Pick a permutation  on  and then form , where by  we mean permute the -sets of  according to the permutation .”, I will write a new comment on this topic later today.</t>
  </si>
  <si>
    <t>C2677</t>
  </si>
  <si>
    <t>1001.1.  That was me writing; forgot to log in.</t>
  </si>
  <si>
    <t>C2684</t>
  </si>
  <si>
    <t>1002.2 Yes, it was intended to be the same (not sure whether Jozsef intended to allow inverted corners, but I am here). Oh, yes…I see your comment 7. That looks to be exactly the interpretation I am employing. , Well, perhaps Terry will wake up and say whether the alleged proof I gave is really a proof or can be made into a proof. (And whether it’s simpler than what we have already.) Since he composed and typed the breakthrough post (837?) in eighteen minutes, perhaps he’ll be able to do this despite being very busy with other things. , On a more general philosophical note, Tim, to we ergodic theorists (who have trouble with subscripts appearing on the numbers capital N appearing in proofs), the dynamical proof of van der Waerden (not that of Furstenberg and Weiss but the easy one, due to Blszczyk, Plewik and Turek) is much more pleasant than any proof I have seen of HJ. (Actually, I have long wanted to see a proof, even an unpleasant one, of HJ that made efficacious use of non-metrizable topological dynamics.)</t>
  </si>
  <si>
    <t>C2679</t>
  </si>
  <si>
    <t>1001.2  I’m pretty sure it’s false. In fact, isn’t it obviously false, since the expected number of s in  is twice the expected number of any j for ?, However, I think what can be proved is that the distribution on each individual  is not importantly different from the equal-slices distribution, in that the collection of dense sets is the same in both cases. This is analogous to what happens in the corners problem, where the number of corners containing a point is different from point to point (even if we start off with a triangular grid) but this doesn’t matter because the discrepancy between the uniform measure of a set and the point-in-random-corners measure of a set depends only on the measures and not on .</t>
  </si>
  <si>
    <t>C2680</t>
  </si>
  <si>
    <t>1002.1  Randall, is your problem the same as Jozsef’s in comment 2? In one of the very early comments I tried to translate that one into set-theoretic language and ended up with something pretty similar. This is mainly to say that I agree that it’s worth seeing whether Szemerédi can be done without going the whole way to DHJ. For now I’m going to concentrate my efforts on DHJ(k) but will follow what you have to say with interest. I suppose there are two issues: can DHJ be avoided, and is the resulting proof substantially simpler?</t>
  </si>
  <si>
    <t>C2681</t>
  </si>
  <si>
    <t>1000.1  An  comment: you mean of course DHJ(k-2,k). , I think the jury is still out on whether we need to prove the full DHJ(k-2,k) before doing DHJ(k) or whether passing to subspaces the whole time makes it unnecessary. I’m hoping for the latter, but am ready to switch if we have to., An  comment: you are now our official powers-of-ten champion …</t>
  </si>
  <si>
    <t>C2682</t>
  </si>
  <si>
    <t>1001.3  However, I think I may be misunderstanding what you have written, since I don’t quite see why you bother to permute the s (given that they were already distributed in a way that is permutation-invariant — or at least that’s how it appears to me from what you say).</t>
  </si>
  <si>
    <t>C2683</t>
  </si>
  <si>
    <t>spam requires registration &amp; loging in</t>
  </si>
  <si>
    <t>Metacomment: because of more spam problems on the wiki, you now have to be registered on it and logged in if you want to edit the main page.</t>
  </si>
  <si>
    <t>C2687</t>
  </si>
  <si>
    <t>1002.3 Obviously I meant “efficacious use of *metrizable* topological dynamics”. There exist proofs using non-metrizable topological dynamics (e.g. Furstenberg and Katznelson’s proof). It may not be possible, or it may require some non-commutative stuff like in the FK proof of DHJ. There is a Bergelson-Leibman proof that tried to use recurrence for continuous maps of compact metric spaces, but it was realized after the paper appeared that neither continuity of the transformations nor completeness of the space was actually ever used.</t>
  </si>
  <si>
    <t>C2685</t>
  </si>
  <si>
    <t>1001.4.  Oops, yes, I think what I meant to say was “Pick a permutation  on  and then form , where by  we mean permute the -sets of  according to the permutation .”, I will write a new comment on this topic later today.</t>
  </si>
  <si>
    <t>CTao_36559</t>
  </si>
  <si>
    <t>congratulations</t>
  </si>
  <si>
    <t>Kristal did a huge chunk! way to go</t>
  </si>
  <si>
    <t>5D Moser(3), Congratulations to Kristal on doing three quarters of the proof, and for completing the proof.</t>
  </si>
  <si>
    <t>CTao_36561</t>
  </si>
  <si>
    <t>time to think about the endgame</t>
  </si>
  <si>
    <t>Yes, congratulations!  It looks like this project is achieving many of its intended objectives; by a coincidence of timing, the same is true of the other half of the project at Gowers’ blog.  There is now a retrospective discussion there at, http://gowers.wordpress.com/2009/03/10/polymath1-and-open-collaborative-mathematics, ; I think some feedback from our side of the project would be valuable., There are a few loose ends to tie up, I think: the proof of  could be simplified, with less of a dependence on computer data; and it would be interesting to see how the genetic algorithm performs for some other numbers, whether there are any cheap ways to improve its performance, and what an analysis of its solutions can tell us about what  (say) might look like.  There’s also the hyperoptimistic conjecture to look at; we have some computer data now but our human-level understanding of the problem is fairly primitive still.  But I think we are in general moving to the “endgame” and should begin thinking about issues such as how to write things up (I plan to comment on this over at Tim’s blog in a bit).</t>
  </si>
  <si>
    <t>C2757</t>
  </si>
  <si>
    <t>1002.4 No induction…., I think the idea I had to prove Szemeredi via Ajtai-Szem type argument using Jozsef’s formulation from comment 2 is dead in the water at k=3.5. The problem I don’t see a way around is that there don’t seem to be enough corners at k=3 to forbid enough points at k=4. Obviously not a problem for DHJ since the number of lines at k=3 is 4^k which is equal to the number of points at k=4. , Oh well…if the above is correct (nobody checked?) it may be the simplest proof of the corner’s theorem, at least.</t>
  </si>
  <si>
    <t>C2688</t>
  </si>
  <si>
    <t>meta thread suggestion</t>
  </si>
  <si>
    <t>Metacomment., This might be a good time to set up a “meta” thread to deal with issues not directly related to finishing off the proof of DHJ(3)/DHJ(k) 1000-1049 or of computing DHJ-type numbers in small dimension 900-999.  For instance, this seems like a good time to face issues concerning writing up the results, how to perform proper attribution, etc.  (At a more frivolous level, there was a suggestion on the wiki to come up with a logo for that wiki; I think that might be a fun topic for the meta thread.  More generally, discussion of the strengths and weaknesses of the wiki, or the threaded format, etc. would be apropos at this time, I think.), OK what I’ll do is get on and write a post that I’ve been intending to write, in which I discuss general meta-issues that have arisen out of how things have gone. I think there’s a lot to talk about, so comments on that should be a natural place for discussing these issues amongst others.</t>
  </si>
  <si>
    <t>C2689</t>
  </si>
  <si>
    <t xml:space="preserve">more suggested reading </t>
  </si>
  <si>
    <t>1003.  Austin’s proof, I’ve managed to digest a key ingredient in Austin’s proof (Lemma 6.1 of http://arxiv.org/abs/0903.1633 ) which may be of interest here.  Roughly speaking, it says that 1-sets and 2-sets (say) are always “locally independent” of each other.  A more precise statement is the following.  Let  be 02-insensitive (e.g. it is the indicator function of a 1-set), and let  be 01-insensitive (e.g. it is the indicator of a 2-set).  Suppose also that  is large.  Then f has large average on large-dimensional spaces, or (equivalently) correlates with a 012-low influence function (a function which is almost invariant under any interchanges between 0, 1, and 2)., Proof.  Let x be a random string , let  be a random medium-sized set of indices, and let  be the string in  formed by replacing all occurrences of 0 or 2 in A with 0.  If A is not too large, then  is still roughly uniformly distributed in , and so,  is large., But as f is 02-insensitive, .  As g is 01-insensitive,  , where  is the string formed by sending every digit of x in A to 1.  Thus,  is large., Freezing A, we thus conclude that f has large mean on many |A|-dimensional subspaces; alternatively, we see that f correlates with the 012-low influence function  (if we choose A in a suitably Poisson manner)., A corollary of this is that if one has a 1-set A and a 2-set B which are “strongly stationary” in the sense that their average local density on medium-sized subspaces is close to their global density, then A and B are roughly independent, thus the density of the 12-set  is roughly the density of A multiplied by the density of B., As one might imagine, this fact is extremely useful for doing any sort of “counting lemma” involving 12-sets., To be continued…, A small correction: where I said that f and g could be indicators of 1-sets and 2-sets respectively, it might be better to think of them as the balanced functions of a 1-set and 2-set, i.e. the indicator minus the density., 1003.2, Incidentally, this framework also gives a short proof of “lack of lines implies correlation with a local 12-set”.   With the notation as before, observe that  will form a combinatorial line with high probability if A is not too small.  Thus if  is a set with no lines and density  then,  is large., But if we freeze A and the coordinates outside of A (thus passing to an |A|-dimensional subspace), then ,  are indicators of a 2-set and a 1-set respectively, and the claim follows., 1003.3  Terry, I’m trying to digest 1003.2. It seems to me that the displayed line is true only if there are many x such that  and  both belong to  In the previous proof this was done with the help of Sperner and that seemed necessary. I’m not sure where the Sperner step is appearing in what you’ve written.</t>
  </si>
  <si>
    <t>C2690</t>
  </si>
  <si>
    <t>A small correction: where I said that f and g could be indicators of 1-sets and 2-sets respectively, it might be better to think of them as the balanced functions of a 1-set and 2-set, i.e. the indicator minus the density.</t>
  </si>
  <si>
    <t>C2691</t>
  </si>
  <si>
    <t>meta thread planned</t>
  </si>
  <si>
    <t>OK what I’ll do is get on and write a post that I’ve been intending to write, in which I discuss general meta-issues that have arisen out of how things have gone. I think there’s a lot to talk about, so comments on that should be a natural place for discussing these issues amongst others.</t>
  </si>
  <si>
    <t>C2692</t>
  </si>
  <si>
    <t>1003.2, Incidentally, this framework also gives a short proof of “lack of lines implies correlation with a local 12-set”.   With the notation as before, observe that  will form a combinatorial line with high probability if A is not too small.  Thus if  is a set with no lines and density  then,  is large., But if we freeze A and the coordinates outside of A (thus passing to an |A|-dimensional subspace), then ,  are indicators of a 2-set and a 1-set respectively, and the claim follows.</t>
  </si>
  <si>
    <t>Gowers_14</t>
  </si>
  <si>
    <t>what have we learned so far</t>
  </si>
  <si>
    <t xml:space="preserve">In this post I want to discuss some general issues that arise naturally in the light of how the polymath experiment has gone so far. First, let me say that for me personally this has been one of the most exciting six weeks of my mathematical life. That is partly because it is always exciting to solve a problem, but a much more important reason is the way this problem was solved, with people chipping in with their thoughts, provoking other people to have other thoughts (sometimes almost accidentally, and sometimes more logically), and ideas gradually emerging as a result. Incidentally, many of these ideas are still to be properly explored: at some point the main collaboration will probably be declared to be over (though I suppose in theory it could just go on and on, since its seems almost impossible to clear up every interesting question that emerges) and then I hope that the comments will be a useful resource for anybody who wants to find some interesting open problems. The sheer speed at which all this happened contributed to the excitement. In my own case it led to my becoming fairly obsessed with the project and working on it to the exclusion of almost everything else (apart, obviously, from things I absolutely had to do).   But how does what happened compare with my initial fantasy about what might happen? Looked at from that point of view, it was more successful in some ways and less in others. On the plus side, the mathematical result of the project has far exceeded what I thought would be possible in a mere six weeks. I deliberately set a rather modest aim: to explore just one approach to DHJ(3). In retrospect, this seems not to have been the right decision, though it may have been quite good as a starting point, since in the end we moved off into other directions that were more fruitful (not that I completely rule out a proof along the lines first envisaged, especially given some of the tools that we have now developed). Anyhow, these initial restrictions were quietly abandoned, and it looks as though we have proved a stronger result than seemed remotely feasible then. (More precisely, if we had managed to get my initial suggestion to work, it would probably have been unpleasant, though not impossible, to generalize.)Also on the plus side, the project has been genuinely collaborative, and has led, to a remarkable extent, to the kind of efficiency gains that I was hoping for. To give one example, Randall McCutcheon made some very useful comments, but they were in the language of ergodic theory, which I understand only in a very limited way. But Terence Tao is a master at translating concepts back and forth between combinatorics and ergodic theory, so I was able to benefit from Randall’s contributions indirectly. But something I found more striking than the opportunity for specialization of this kind was how often I found myself having thoughts that I would not have had without some chance remark of another contributor. I think it is mainly this that sped up the process so much.I could go on, but from the point of view of discussion I am more interested in the way that the project fell short of my expectations, and there is one way that stands out. There seemed to be such a lot of interest in the whole idea that I thought that there would be dozens of contributors, but instead the number settled down to a handful, all of whom I knew personally. (Actually, Randall, I know of you so well that I feel as though I know you but I can’t quite remember whether we have met — hope to do so soon.)This raises two questions. (&lt;rant&gt; By the way, it doesn’t beg any questions at all. &lt;/rant&gt;) Why did it happen like this, and does it matter?I would be very interested to hear from anyone who thought that they might like to contribute but ended up not doing so. I have spoken to one or two people like that, so I know of at least one reason, which I suspect may be the most important: it’s that the number of comments grew so rapidly that merely keeping up with the discussion involved a substantial commitment that not many people were in a position to make. I definitely intend to start another polymath project, but next time I think we may have to have some policy such as writing up all useful insights on the corresponding wiki before we allow ourselves a new comment thread, so that anybody who wants to join the discussion can read about the progress in a condensed and organized form. Or perhaps we should just artificially slow ourselves down. Or perhaps it will just naturally be slower second time round.Another possible reason is that the problem I chose lent itself more naturally to a smaller collaboration, since in order to be well placed to think about the density Hales-Jewett theorem it was a huge help to be familiar with, and to have thought hard about, other related results. So the pool of potential collaborators was not as large as it might have been (though it was still substantially larger than the number of people who did contribute). The next problem I have in mind is less like that: it should be possible to contribute with virtually no prior knowledge.A third possible reason is that there are a lot of experts out there who could in principle have contributed but who just aren’t part of the blogosphere in any serious way. Amongst them are probably several people who would not in any case feel comfortable about airing their thoughts so publicly.Does it matter? In a way no: this smaller collaboration has worked very well, and, as several people have commented, it has provided, for possibly the first time ever (though I may well be wrong about this), the first fully documented account of how a serious research problem was solved, complete with false starts, dead ends etc. It may be that the open nature of the collaboration was in the end more important than its size. I can even imagine solo polymath-type projects, where somebody thinks online just to interest anyone who might be interested.Another thing I have found good about the project is that it has made it possible to work hard without having the sensation of working hard. There are some people who have brains that they seem to be able to split into three or four parts that can work independently, one part solving problems, another digesting the literature, another blogging, another giving lecture courses. My own brain works in series rather than in parallel, but now that I have found a way of simultaneously blogging and carrying out research I can do two things at the same time by identifying them.However, there is still a part of me that would like to see whether a much bigger collaboration might be possible. I think a lesson of this one is that a big collaboration would need an extra level of organization, so that it was possible to work on part of the project without keeping track of the whole of it. But finding a good way of doing that would be quite a challenge: when we tried to split this discussion into separate threads, it didn’t really work, except for the thriving thread on DHJ numbers on Terry’s blog, which worked because it was a more or less disjoint enterprise from the one here.There are some other questions that need discussing, such as the best way to write results up, what appropriate conventions should be for referring to work here, and so on. Comments on these and other practical questions are also welcomed.                                                                                                This entry was posted on March 10, 2009 at 10:42 pm and is filed under polymath1.                                                You can follow any responses to this entry through the RSS 2.0 feed.                                                                                                        You can leave a response, or trackback from your own site.                                                                                        </t>
  </si>
  <si>
    <t>C2693</t>
  </si>
  <si>
    <t>1004.  Random lines/equal slices for DHJ(k+1)., I think what I wrote in 1001 was correct.  Let me restate it here for clarity:, Let  be drawn from equal-slices.  Form the string  by changing all ‘s in  to ‘s, for .  Finally, pick a random permutation  on  and define strings , for ., Then each string  is distributed as equal-slices on .  Further, since  is a combinatorial line (“in order”), we also have that  is a combinatorial line (possibly “out of order”)., The proof is here; I’ll wikify it soon., 1004.1.  Wikified here.  Hopefully this will help with the generalization of line-free sets correlating with 12-sets., 1004.2  Ryan, I’m still struggling with the statement of what you are proving. Suppose k=2. Then I pick  from equal slices and form the strings  and  by turning the 3s of  into 1s and 2s, respectively. Then I randomly decide whether to interchange  to . Now let’s look at the event that the number of 1s in  is between  and  If I choose  according to equal-slices that is . But if I choose it by starting with z, then either I start with about that number of 1s and change the 3s to 2s, or I start with about that number of 2s and change the 3s to 1s. The probability seems to me to be smaller because  is being asked to have rather a lot of 1s or rather a lot of 2s. Since you’ve got a wikified proof, what I’m asking here is for an explanation of where I’m going wrong., 1004.3.  Hmm, I’m not quite sure what I can say to help.  , In your example, when you pick  from equal-slices on  “in the normal fashion”, then as you say the event  = “number of ‘s in  is in ” occurs with probability exactly ., When you pick it in the funny way, through, , what is the probability?  As you say, half the time  is formed by changing ‘s ‘s to ‘s.  In this case,  occurs iff  had between  and  ‘s.  The other half of the time,  is formed by changing ‘s ‘s to ‘s.  In this case,  occurs iff  had between  and  ‘s-and-‘s-together, iff  had between  and  ‘s., Clearly the probability  has between  and  ‘s is the same as the probability  has between  and  ‘s.  So we are reduced to asking why this probability is indeed ., Well, I’m not sure what to say, except that it is.  It comes from the fact that , where  is the density of the first component in a uniform draw from the -simplex.  Note that this integral is a bit of a “coincidence”, because it is not true that, e.g., ., The reason this all works is a bit easier to understand in the case of ; see this explanation in the older wiki article on equal-slices., 1004.4  Thanks — I think I’m starting to get it now.</t>
  </si>
  <si>
    <t>C2694</t>
  </si>
  <si>
    <t>1005. Quantitative bounds?, Is our understanding of the density-increment proof of DHJ(3) good enough that we can venture a probable quantitative bound for n in terms of ?  Naively I am expecting tower-exponential behaviour (with the height of the tower being either polynomial or exponential in )., 1005.1 I’m pretty sure it’s a tower. The rough reason is that when we drop to a subspace we obtain that subspace by applying multidimensional Sperner, which I think restricts its dimension to the log of the previous dimension. But I think the density increase we can get that way is good, so I think the bound should be a tower of height polynomial in  and therefore not worse than what you get out of the Ajtai-Szemerédi proof of the corners theorem., Also, if we’ve got the stomach for it, we could think about trying to Shkredovize the argument and beat Shelah’s bound for the colouring DHJ(3). That would be a serious undertaking though, as it would require us to understand the global obstructions rather than just the local ones.</t>
  </si>
  <si>
    <t>C2695</t>
  </si>
  <si>
    <t>1004.1.  Wikified here.  Hopefully this will help with the generalization of line-free sets correlating with 12-sets.</t>
  </si>
  <si>
    <t>C2696</t>
  </si>
  <si>
    <t>question possibility</t>
  </si>
  <si>
    <t>1006.  Equal-slices., I wonder: can we mostly work in the equal-slices measure for the whole proof (of DHJ(3), say)?  What are the advantages of the uniform distribution?, 1006.1  My take on this is that equal-slices measure is very good when you want to mix random points and random lines, but the uniform measure is better when you want to restrict to subspaces. Roughly, the reason for the latter is that if you start with equal-slices and restrict a few coordinates, then the distribution on the resulting subspace becomes much more like a uniform one, or a suitably weighted uniform one. For example, if you’re told that a point’s restriction to the first m coordinates has roughly equal numbers of 1s, 2s and 3s, then with very high probability it belongs to a slice with roughly equal numbers of 1s, 2s and 3s, so the distribution in that (n-m)-dimensional subspace is roughly uniform., It’s possible that we could argue that we can restrict to subspaces and get an equal-slices density increase, but I think we would still have to go via uniform, so in the end I don’t see a compelling argument for doing that., 1006.2.  That’s a good point.  I guess I was idly hoping that the fact that equal-slices is exactly equal to a (fairly natural) mixture of uniform distributions on subspaces might allow us a clever way to stay entirely in the equal-slices world.</t>
  </si>
  <si>
    <t>C2698</t>
  </si>
  <si>
    <t>Carter Schonwald</t>
  </si>
  <si>
    <t>what about a mailing list as an option?</t>
  </si>
  <si>
    <t>I do think that one obstacle for me is that the dialogue was not done via some sort of mailing list. There are people (such as I) who try to not open the web browser for fear of getting distracted by the internet, but who can handle having their email client open constantly. Also,  that would naturally obviate the whole clunky “threading vs no threading” debate. It would be easy to host such through google groups or via whatever service you have planned to host the wiki.</t>
  </si>
  <si>
    <t>CTao_36571</t>
  </si>
  <si>
    <t>Congratulations to all of you on a job well done over the past weeks!</t>
  </si>
  <si>
    <t>C2699</t>
  </si>
  <si>
    <t>1004.2  Ryan, I’m still struggling with the statement of what you are proving. Suppose k=2. Then I pick  from equal slices and form the strings  and  by turning the 3s of  into 1s and 2s, respectively. Then I randomly decide whether to interchange  to . Now let’s look at the event that the number of 1s in  is between  and  If I choose  according to equal-slices that is . But if I choose it by starting with z, then either I start with about that number of 1s and change the 3s to 2s, or I start with about that number of 2s and change the 3s to 1s. The probability seems to me to be smaller because  is being asked to have rather a lot of 1s or rather a lot of 2s. Since you’ve got a wikified proof, what I’m asking here is for an explanation of where I’m going wrong.</t>
  </si>
  <si>
    <t>C2700</t>
  </si>
  <si>
    <t>1005.1 I’m pretty sure it’s a tower. The rough reason is that when we drop to a subspace we obtain that subspace by applying multidimensional Sperner, which I think restricts its dimension to the log of the previous dimension. But I think the density increase we can get that way is good, so I think the bound should be a tower of height polynomial in  and therefore not worse than what you get out of the Ajtai-Szemerédi proof of the corners theorem., Also, if we’ve got the stomach for it, we could think about trying to Shkredovize the argument and beat Shelah’s bound for the colouring DHJ(3). That would be a serious undertaking though, as it would require us to understand the global obstructions rather than just the local ones.</t>
  </si>
  <si>
    <t>C2701</t>
  </si>
  <si>
    <t>1006.1  My take on this is that equal-slices measure is very good when you want to mix random points and random lines, but the uniform measure is better when you want to restrict to subspaces. Roughly, the reason for the latter is that if you start with equal-slices and restrict a few coordinates, then the distribution on the resulting subspace becomes much more like a uniform one, or a suitably weighted uniform one. For example, if you’re told that a point’s restriction to the first m coordinates has roughly equal numbers of 1s, 2s and 3s, then with very high probability it belongs to a slice with roughly equal numbers of 1s, 2s and 3s, so the distribution in that (n-m)-dimensional subspace is roughly uniform., It’s possible that we could argue that we can restrict to subspaces and get an equal-slices density increase, but I think we would still have to go via uniform, so in the end I don’t see a compelling argument for doing that.</t>
  </si>
  <si>
    <t>C2702</t>
  </si>
  <si>
    <t>Toby Gee</t>
  </si>
  <si>
    <t>C2661 &amp; Randall slogan</t>
  </si>
  <si>
    <t xml:space="preserve">updates via email option </t>
  </si>
  <si>
    <t>I’m pleased to see that someone else still cares about “begging the question”., I suspect that the way most people use email would make a purely email-based approach less suitable than the existing one, but perhaps a sensible thing would be to give people the option of receiving email updates – of course, one can already subscribe to the comments here by email, but I suspect there are better ways of implementing this., I dunno, I’m kinda with Utahraptor on this one., I see Ryan’s Utahraptor and raise him a (fictionalized) Barack Obama.</t>
  </si>
  <si>
    <t>C2704</t>
  </si>
  <si>
    <t>C2689; C2692</t>
  </si>
  <si>
    <t>1003.3  Terry, I’m trying to digest 1003.2. It seems to me that the displayed line is true only if there are many x such that  and  both belong to  In the previous proof this was done with the help of Sperner and that seemed necessary. I’m not sure where the Sperner step is appearing in what you’ve written.</t>
  </si>
  <si>
    <t>C2705</t>
  </si>
  <si>
    <t>1004.3.  Hmm, I’m not quite sure what I can say to help.  , In your example, when you pick  from equal-slices on  “in the normal fashion”, then as you say the event  = “number of ‘s in  is in ” occurs with probability exactly ., When you pick it in the funny way, through, , what is the probability?  As you say, half the time  is formed by changing ‘s ‘s to ‘s.  In this case,  occurs iff  had between  and  ‘s.  The other half of the time,  is formed by changing ‘s ‘s to ‘s.  In this case,  occurs iff  had between  and  ‘s-and-‘s-together, iff  had between  and  ‘s., Clearly the probability  has between  and  ‘s is the same as the probability  has between  and  ‘s.  So we are reduced to asking why this probability is indeed ., Well, I’m not sure what to say, except that it is.  It comes from the fact that , where  is the density of the first component in a uniform draw from the -simplex.  Note that this integral is a bit of a “coincidence”, because it is not true that, e.g., ., The reason this all works is a bit easier to understand in the case of ; see this explanation in the older wiki article on equal-slices.</t>
  </si>
  <si>
    <t>C2706</t>
  </si>
  <si>
    <t>HFS HFS HFS HFS misinterpretation of another comment leads to a breakthrough "scientific progress is so often accidental"</t>
  </si>
  <si>
    <t>I wanted to contribute, but the timing was not right for me to focus on this effort, so I was merely watching. I did notice this comment of yours, which agrees with my experience in such collaborations:
—-
But something I found more striking than the opportunity for specialization of this kind was how often I found myself having thoughts that I would not have had without some chance remark of another contributor. I think it is mainly this that sped up the process so much.
—-
What is really funny is when misinterpretation of what a collaborator was saying is the key to passing a roadblock in my thinking — scientific progress is so often accidental.</t>
  </si>
  <si>
    <t>C2708</t>
  </si>
  <si>
    <t>1006.2.  That’s a good point.  I guess I was idly hoping that the fact that equal-slices is exactly equal to a (fairly natural) mixture of uniform distributions on subspaces might allow us a clever way to stay entirely in the equal-slices world.</t>
  </si>
  <si>
    <t>C2709</t>
  </si>
  <si>
    <t>1004.4  Thanks — I think I’m starting to get it now.</t>
  </si>
  <si>
    <t>C2710</t>
  </si>
  <si>
    <t>John Hawksley</t>
  </si>
  <si>
    <t>amateur - couldn't really contribute but it was immensely exciting to watch it happen</t>
  </si>
  <si>
    <t>The project was definitely successful from my standpoint. I’m sort of an amateur with just an undergraduate degree in math (mostly complexity theory) and before this project I’d never heard of Ramsey theory, Szemeredi, combinatorial lines, or anything like that. So I couldn’t really contribute (aside from the comment on the wiki about having a logo). But at the same time it was immensely exciting to watch the collaboration take place, which inspired me to really get back into math. In particular I’m really sold on this entire field now of ramsey theory/probabilistic combinatorics., The linear format of the blog was wonderful in that it enabled my inspiration to come via observing the process of research. And the wiki was great too, since over the past two weeks I’ve been catching up on all of the pre-requisite math to actually understand what’s going on. While the “easier” proof of the corners theorem by Ajtai-Szem was a big moment for Tim et.al., it was also a great moment for me because it solidified my whole understanding of the project – afterwards I went back and read through many of the comments again to better interpret the discussion. So to me, the real value of the project was simply that intermediate steps were being written up, rather than the usual “write up only when you have a paper to publish”. And indeed it was inspiring to know that I could contribute in principle, it was just that any contribution I could make would have been redundant., I’ve been experimenting now, offline, with little steps on things like trying to characterize the configurations of form {a+f(x), b+g(x)} that can be found in N, using the techniques I learned from observing the project. It would still be quite a long time before I would feel confident in contributing to the project, without a lot more context and a better understanding of the notation. Math, like chess, has a rather well-defined continuum of ability (although it is more multifaceted), so 1) the most experienced and talented simply manipulate more advanced concepts, and 2) in this case, the Tim was already more than capable of solving the question himself, just using the help and input of others. At the same time, the obvious capabilities of Tim, et.al. was also a major part of what drove my excitement on the project (the other part was the general notion of an open and well-attributed style of math research)., An optimistic speculation is the following: that given that the set of all existing available human knowledge is enough to solve a certain problem, then it will be solved under the polymath system very rapidly – i.e. first every person spools in their knowledge, the sum is enough, then the answer comes out by some form of efficient mixing., One interesting type of problem to try is the kind that is very accessible, but seems to require much creativity or outside-the-box thinking (whereas DHJ was more towards the level of dissection). One might negatively call this “recreational math”, but by removing the need to try to learn a whole field of research math, perhaps I would have been able to contribute. And recreational math is likely in my opinion to turn up interesting connections, especially given the distributed brain available via polymath., There is also the idea of posing a question that doesn’t satisfy the criteria “Tim could just solve it himself if somebody told him a few good ideas” – for instance the Goldbach conjecture. Then I definitely might have been tempted to make some number of comments, although with high likelihood they would have been useless. However, optimistically all of the obvious “faq” like comments would be addressed early and incrementally, so newcomers would be able to quickly get up to speed by reading through “all of the obvious things that an amateur might try that fail” (which is separate from “things that a professional tried and failed that were also interesting enough to write a paper about or be in the princeton companion”)., A couple problems that would arise in opening up the subject matter to a broader audience, are 1) wading through huge amounts of spam and 2) lack of control over any kind of community. We certainly can’t predict what would happen. On the flip side I believe Tim found that casually reading through even non-relevant comments might cause him to have a brilliant idea. At any rate I truly feel that there is some potential future where much of “the current state of research mathematics” is written out on wikis like the polymath wiki, as a result of projects like polymath1 – and that would be a remarkable advance., I mean {a+f(x), a+g(x)}., Also sorry – pointlessly long and redundant with Tim who thinks like me but more powerfully.</t>
  </si>
  <si>
    <t>C2711</t>
  </si>
  <si>
    <t>I mean {a+f(x), a+g(x)}.</t>
  </si>
  <si>
    <t>C2712</t>
  </si>
  <si>
    <t>GreedyAlgorithm</t>
  </si>
  <si>
    <t>too high barrier to entry - wants a way to contribute with virtually no prior knowledge</t>
  </si>
  <si>
    <t>“the problem I chose lent itself more naturally to a smaller collaboration, since in order to be well placed to think about the density Hales-Jewett theorem it was a huge help to be familiar with, and to have thought hard about, other related results”, This excluded me. The barrier to entry was too high (or at least I evaluated it as too high at the start of the discussion) and I had other things I could be doing, even as spectacularly exciting as this sounded., “it should be possible to contribute with virtually no prior knowledge” – I await this eagerly. 😀</t>
  </si>
  <si>
    <t>C2713</t>
  </si>
  <si>
    <t>analogue proven</t>
  </si>
  <si>
    <t>1007.  DHJ(k), I think I’ve now proved (though with details a bit hazy at a couple of points) the analogue for k of the fact that line-free sets in  correlate locally with 12-sets. The proposed argument can probably be tidied up in a few places. I haven’t yet thought about whether any of the rest of DHJ(k) is going to present problems, but it feels as though we’re closing in on it pretty rapidly. That’s my lot for today though.</t>
  </si>
  <si>
    <t>C2715</t>
  </si>
  <si>
    <t>Also sorry – pointlessly long and redundant with Tim who thinks like me but more powerfully.</t>
  </si>
  <si>
    <t>C2714</t>
  </si>
  <si>
    <t>what led to or prevented contributing</t>
  </si>
  <si>
    <t>In my case I was intrigued by the project enough to take a look, but ended up not contributing. I think mainly this was because I was intimidated by the amount of background material it seemed necessary to know to make an effective contribution. And to a lesser extent, I didn’t contribute because I had other research that I needed to finish up and get written up within that time frame, and didn’t want to let myself get distracted from that., But also, I don’t have a strong feeling (and still really don’t) why DHJ(3) is worth spending so much effort to prove — don’t get me wrong, I’m happy that you seem to have succeeded, I’ve used Ramsey theory more than once in my own research so I’m a believer in the value of that area of mathematics in general, and I trust your taste in problems. It’s just that I haven’t seen enough explicit motivation for that specific problem to get myself to spend the effort to learn the background material and to think about the problem at the obsessive level needed to make progress. And now it seems like you might be able to extend the proof to DHJ(k) in general, but at the start it seemed more like “here’s a special case of a known result that we might be able to get a different proof of that’s more combinatorial than the previous proof” and it was hard to get excited about that., I guess DHJ is known to experts in the field to be an interesting question, partly because it implies a number of other deep theorems (e.g. Szemeredi’s theorem, which was for instance a key tool in my result with Ben that the primes contain arbitrarily long arithmetic progressions), but also because it (until very recently) was one of the most prominent density Ramsey theorems that could only be proven by ergodic theoretic techniques.  I myself am a big believer in exploiting more systematically the connections between ergodic theory, combinatorics, and Fourier analysis, and so this project was certainly very appealing to me.  Besides, historically every new proof of Szemeredi’s theorem has led to a substantial amount of progress and activity in at least one subfield of mathematics; now that we have yet another proof (the fifth genuinely new proof of Szemeredi, by my count), one can hope that the tools developed here will have some applicability elsewhere.</t>
  </si>
  <si>
    <t>C2716</t>
  </si>
  <si>
    <t>C2704; C2713</t>
  </si>
  <si>
    <t>1008.  Re: 1003.3, Yes, you’re right, one also needs Sperner.  Without it, what one gets is that if  is uniformly distributed  with respect to 12-sets, then, , and then one has to use DHJ(2) to say that the RHS is large (which one can do, after letting A vary in a sufficiently Poisson-like manner)., I would imagine that the same thing works in higher k, perhaps this is already implicit in 1007.</t>
  </si>
  <si>
    <t>CTao_36575</t>
  </si>
  <si>
    <t>?is this the blog?</t>
  </si>
  <si>
    <t>961. HOC
I have done some more work on the weighted problem in the HOC and I found the results interesting., I have not been able to prove that I have optimal values for n greater than 5, but for n=6 there is a unique solution of weight 15, which is the size of the optimal solution for Fujimura’s problem. Likewise there is a unique solution of weight 18 for n=7. The solutions are here
http://abel.math.umu.se/~klasm/solutions-n=6-k=3-HOC
http://abel.math.umu.se/~klasm/solutions-n=7-k=3-HOC
In order to find these solutions I have specified that the program should look for all solutions of this exact weight. For n=7 the program find a solution and then prove that it is the only one in 4 seconds. For n=8 the integer program suddenly gets a lot harder to solve and the program has not yet found a solution., The tricky thing is that for this problem it is much harder to reduce the upper bound for the integer program ( I have multiplied all weight in the program by n! to get integer weights).
For n=6 I expect to soon have reduced the upper bound on the optimal solutions to strictly less than 16, again having to use a linux cluster. However, since we don’t know that the optimum for this problem is an integer the upper bound does not imply that the unique solution of weight 15 is the optimum, and reducing the bound to 15 seems too hard for my current program., There is an interesting contrast here. For Fujimiura’s problem the number of optimal solutions seems to grow, on the average, with n, but if the solutions for n=6,7 for the weighted problem are optimal then this problem has a unique optimal solution for n=4,5,6,7</t>
  </si>
  <si>
    <t>C2717</t>
  </si>
  <si>
    <t>Noah Snyder</t>
  </si>
  <si>
    <t>barrier to entry too high - couldn't make commitment for the learning required; for young grad students to see how mathematicians actually solve problems</t>
  </si>
  <si>
    <t>The project involved too much background that’s unrelated to what I work on.  Earlier on in grad school I might have plunged into learning it to try to follow (because the polymath idea is something I’d really enjoy), but now that I have so many other things I’m working on I couldn’t really make that commitment.  If it were something that touched on a subject I already knew I would have tried to get involved., I think one of the real benefits of this project is that young graduate students in the future will be able to read through the comment archives and see how top mathematicians actually think and approach a problem.  So often the key steps are done in private that it’s hard to learn how people actually solve problems.</t>
  </si>
  <si>
    <t>CTao_36576</t>
  </si>
  <si>
    <t>upper bound too hard for program, proved by Kristal</t>
  </si>
  <si>
    <t>And congratulations to Kristal for proving an upper bound which was too hard for my program!</t>
  </si>
  <si>
    <t>C2719</t>
  </si>
  <si>
    <t xml:space="preserve">DHJ contains other theorems </t>
  </si>
  <si>
    <t>I guess DHJ is known to experts in the field to be an interesting question, partly because it implies a number of other deep theorems (e.g. Szemeredi’s theorem, which was for instance a key tool in my result with Ben that the primes contain arbitrarily long arithmetic progressions), but also because it (until very recently) was one of the most prominent density Ramsey theorems that could only be proven by ergodic theoretic techniques.  I myself am a big believer in exploiting more systematically the connections between ergodic theory, combinatorics, and Fourier analysis, and so this project was certainly very appealing to me.  Besides, historically every new proof of Szemeredi’s theorem has led to a substantial amount of progress and activity in at least one subfield of mathematics; now that we have yet another proof (the fifth genuinely new proof of Szemeredi, by my count), one can hope that the tools developed here will have some applicability elsewhere.</t>
  </si>
  <si>
    <t>C2721</t>
  </si>
  <si>
    <t>this format allowed us to scale a bit - but there would be limitations &amp; we might need a different way in the future</t>
  </si>
  <si>
    <t>I think the type of ad hoc structure we had here (with threads, wikis, spreadsheets, comment numbering systems, etc. rigged up as we went along) allowed us to scale up the size of the collaboration from the traditional  or so people to closer to  (plus maybe up to  mostly silent audience members).  But I don’t think the format we have would scale up by any further orders of magnitude; there would just be far too much activity concentrated in one place to be able to keep current unless one was basically devoted full time to the project., But one could imagine that, instead of having one massive polymath project with 100+ active contributors, one could have ten loosely related polymath projects sharing some common resources (e.g. a common wiki), with 10+ active participants in each, and a scattering of people involved in two or more of the projects at a time, and being able to import and export ideas and questions (and manpower) from one project to an adjacent project whenever it becomes necessary.  (A polypolymath project, in other words.)   This seems to be the most practical way to scale up even further, though it is going to be a long time, I think, before these sorts of collaborations become routine enough that we can reach that rung in the hierarchy.</t>
  </si>
  <si>
    <t>CTao_36577</t>
  </si>
  <si>
    <t>962 Moser, Congratulations to Kristal!!, Here is a comment on the symmetry of the Moser sets.
The Moser sets in dimension 5, with 124 points:
The statistics of all 243 points is: (32,80,80,40,10,1)
The statistics of the known examples is: (4,40,80,0,0), For each of the 40 and 80 points the antipodal point is included.
For the 4 points with no 2 there are example with no antipodal pairs, and there is
an example where 2 of the 4 points are antipodal, the other 2 are not., To the best of my knowledge no symmetric solution (with regard to the
centre) is known to exist.
If the 124 solutions should all come from the same 40+80 points,
then there are no 4 symmetric points., Those examples in dimension 6 (344 points) and 7 (960 points), that were
implicitly in Chvatal’s paper, Canadian Math Bulletin, Vol 15, 1972, 19-21.
“Remarks on a problem of Moser”, based on (elementary) bounds from coding
theory, contained some full Behrend spheres,
and some rather empty ones, so were in a similar spirit to the one above., The better examples by Kareem Carr
353 points, have distribution
(22, 66, 165, 100, 0, 0 0)
out of
(64, 192, 240, 160, 60, 12, 1) for all 729 points, so have no almost full sphere., The study of antipodal points of the 353 example on Kareems webpage gives
65 pairs of antipodal points
45 of these with two 2’s, and 20 with three 2’s., For the 988 example in dimension 7 on Kareem’s webpage with distribution:
(36, 65, 336, 551, 0, 0, 0, 0)
compared to (for all 2187 points)
(128, 448, 672, 560, 280, 84, 14, 1)
let us make the following observations:
1) The sphere with three 2’s is quite full.
2) there are 272 antipodal pairs,
  271 of these with three 2’s, and one pair with one 2.
(Of course there must be many antipodal pairs, if a sphere is almost
full)., Perhaps this gives a heuristical clue how good examples in some further
medium sized dimensions look like.
One almost full sphere, with (dimension/2) 2’s and in the other
partial spheres:
if point x occurs, then the antipodal does not occur., Remarkably, the behaviour in dimension (2 to 5), 6 and now 7 are so
different…, In any case, perhaps this helps  finding good “seeds” for the algorithm?</t>
  </si>
  <si>
    <t>C2722</t>
  </si>
  <si>
    <t>speed &amp; difficulty &amp; HiPPOs made it intimidating to contribute</t>
  </si>
  <si>
    <t>Dear Tim,, Like Toby, I was pleased by the aside rant on “begging the question”., I have followed the developments here quite closely, although the subject
matter was too far from things I know about for me to be able to contribute., I think that when one has several top experts thinking hard about the question
and posting several times a day, it certainly creates a barrier to others entering
the discussion: when significant ideas are clearly being generated and discussed at a
rapid rate, trying to absorb them, so as to be able to comment fruitfully to move the discussion forward, could easily be a full-time commitment, which many potential
contributors (on any topic) are not in a position to make., In the initial discussion of the project, the idea was proposed that the project
would create its own brain, by using just a small number of bits from many contributors  individual brains.  I don’t think that it worked out like this:  clearly at least some key contributors devoted many of the bits of their own brains to the project.  (You acknowledge this about yourself in your post.), But I don’t think either of these points (which are really the same point, I guess) is necessarily a negative.  Clearly the project generated a fantastically successful collaboration, and seeing it documented online I think was exciting for many (certainly for me).  It’s easy to imagine that this online record will be valuable in many different ways: for students wanting to learn about the field, or just wanting to learn how research is done; from a history and philosophy of science mathematics perspective; as inspiration; and surely in other ways too., I don’t think that it’s a trivial thing to have found a successful new model for mathematical collaboration, what one might call open collaboration (massive or not).    , Congratulations to you and to all the contributors to the project!, Best wishes,, Matt</t>
  </si>
  <si>
    <t>C2723</t>
  </si>
  <si>
    <t>response to background knowledge required to contribute</t>
  </si>
  <si>
    <t>Regarding the amount of background knowledge required, while on the thread here it did stray through intimidating territory (I could read most of it but I didn’t feel comfortable enough to contribute), on Terry’s blog the arguments (though elaborate in the case of Moser) were relatively elementary.</t>
  </si>
  <si>
    <t>C2725</t>
  </si>
  <si>
    <t>how to do the writing portion - esp. LaTeX &amp; Mercurial</t>
  </si>
  <si>
    <t>To open up a somewhat different topic, it seems that both of the main mathematical threads of this project are nearing the end of the “research” phase and thus approaching the “writing” phase.  Thus far we have been using the wiki to hammer out drafts of various bits and pieces of the argument, and allowing a certain amount of loose language, vaguely defined terms, etc. in order to not get bogged down in technicalities.  This is fine for getting a sketch of all the main mathematical points written up, but it seems infeasible to do the same for writing the publication-quality papers that will presumably eventuate from this project, especially given that it is not so easy to convert wiki HTML to LaTeX or back.  On the other hand, the wiki would be a great place to do version control, and a running blog thread can serve for proofreading and other writing suggestions., Given that one of the main contributions of this project has been to open up the process of mathematical research a bit, I suppose we can try to do the same for the process of mathematical writing.  I don’t know if there is any collaborative software out there that would let us write up a LaTeX document like a wiki, but we can perhaps use cruder and more ad hoc methods, e.g. someone uploads a skeleton TeX and PDF file of a paper to be discussed, and after a while “control” of the paper (or of sections of the paper) gets handed to another participant, with various fragments of the paper eventually being merged together at some point.  (Most of my traditional collaborations use some permutation of this method.)  , The one technical obstacle I see so far is that the wiki we have right now doesn’t easily support uploading of TeX and PDF files.  I suppose we can improvise using our own separate web pages (we have already been doing this on my polymath threads, especially with regards to computer data) to hold various versions of the draft paper, and keeping track of all these versions at some page on the wiki., Jacques Distler has modified a wiki software called instiki so that there is a “one click” option to convert a given page in LaTeX:, http://golem.ph.utexas.edu/instiki/show/HomePage, Apparently, it is not hard to set up a wiki using this software., Even better would be a wiki software in which one uses LaTeX as the markup language. Unfortunately, I don’t think something like this exists., I have heard of Latexki, “a collaboration tool to create LaTeX documents”. Seems to fit the bill., I’ve written an online collaborative LaTeX editor called ScribTeX which might suit your needs:, http://www.scribtex.com, Congratulations on all the work you’ve done here!, Mercurial is your friend:, http://www.selenic.com/mercurial/wiki/, I’ve set it up before when my old hoster didn’t allow me to install things on the server.  So, I did a local install to my $HOME and it worked just fine., I know that every person I’ve talked to in research is adverse to such things.  But, learning two or three commands and using them is a fair bit more convenient than manually keeping track of versions, manually uploading them, etc, etc, etc., Of course, CVS/SVN/etc would be fine as well.  It’s just that Mercurial requires *much* less from the IT guy/department/whatever.  So, it can be a DIY project as well.</t>
  </si>
  <si>
    <t>C2726</t>
  </si>
  <si>
    <t>further explanation for a previous post</t>
  </si>
  <si>
    <t>1009.  Equal-slices distribution., I think the following is an easier explanation of what I wrote., Claim: Pick  according to equal-slices.  Then pick  uniformly and form  by changing all the ‘s in  to ‘s.  Then  is distributed according to equal-slices on ., Note: it’s helpful to think of ‘s as ‘s. , Proof sketch via coupling:  Draw a circle of  dots.  Place bar(1) uniformly at random in the  slots.  Then place bar(2) uniformly at random in the resulting  slots.  Etc., placing  bars.  Pick  uniformly.  Look at the arc of dots following bar(k) clockwise, up until the next bar.  Fill in these dots with ‘s.  Look also at the arc of dots preceding bar(k) counterclockwise, up until the next bar.  Fill in these dots with ‘s.  Next, for each of the remaining  arcs of dots, fill it all with the same digit — using up the remaining digits  in some arbitrary way.  Finally, delete the bars, cut the circle to make it a segment, and then randomly permute the whole sequence of digits.  We claim the resulting sequence is distributed as equal-slices on , and therefore we can take it as ., Now forming  from  is the same as doing the above procedure but using ‘s where we were using ‘s before.  But really, happens under this new procedure?  You place  bars as if you were doing equal-slices on ; then you throw in a phantom extra bar but only use it insofar as deciding to call the arc it lands in the -arc; then you define the other  arcs according to the digits in , etc.  Now granted, the arc chosen to be the -arc is not uniformly distributed among arcs — it’s biased towards the longer arcs.  But who cares, since  is uniformly random on ?</t>
  </si>
  <si>
    <t>C3088</t>
  </si>
  <si>
    <t>Hmm…I finally had a look at the above myself, and it seems to be complete garbage for (at least) two reasons…. Perhaps now I am convinced that the DHJ proof is the right one for Szemeredi after all. (Maybe.)</t>
  </si>
  <si>
    <t>C2728</t>
  </si>
  <si>
    <t>Jacques Distler has modified a wiki software called instiki so that there is a “one click” option to convert a given page in LaTeX:, http://golem.ph.utexas.edu/instiki/show/HomePage, Apparently, it is not hard to set up a wiki using this software.</t>
  </si>
  <si>
    <t>C2729</t>
  </si>
  <si>
    <t>1010. “Varnavides”-DHJ(k).  (Sorry for the scare quotes, but it strikes me as funny somehow to name this concept after a person.), Tim, I can’t quite follow what you wrote at the end of your proof sketch that line-free sets in  correlate with lower-complexity sets.  I was wondering if you could clarify.  In particular, as you say it seems we need to show that DHJ(k) actually implies Varnavides-DHJ(k) under some appropriate measures., As you suggest, it seems that equal-slices is what to hope for here (it works pretty well for  at least!).  In other words, we may hope that if  has equal-slices measure  then if you choose an “equal-slices-combinatorial-line” (i.e., draw from equal-slices on ) then there is some  chance that all  points are in ., Looking at that statement now I worry slightly that it is a bit optimistic.  Well, let’s hope it’s true, and let me ask, Tim, about what you wrote., I guess I don’t quite understand what’s going on with the parameter .  On one hand, I assume it’s to be “small” (although still perhaps ), because otherwise bounding the number of lines in  by  looks worrisome., On the other hand, this makes me worry a bit about bullet-point 3: if  is supported on -dimensional subspaces then somehow I don’t expect that a set of lines  being large under  should mean it’s large under a more “global” measure on lines such as equal-slices., Quite likely I’m mistaking your argument or missing something — would you be able to clarify?  Thanks!, 1010.1  Ryan, the argument is so sloppily written (little more than a declaration that my gut feeling is that it works) that it is good that you apply a little pressure of this kind. I think I have answers to your specific queries, but that’s not the same as a proof. But maybe it will tip you over to believing that it works., First of all, my parameter M is not supposed to tend to infinity. As I said in the write-up, it’s meant to be the smallest integer such that we have DHJ(k) with density , where  depends only on the equal-slices density  of the set inside which we’re trying to find lots of combinatorial lines., So what about your second worry? The point here is that the M-dimensional subspaces I’m averaging over are absolutely not local. Instead, they’re supposed to be far more tailored to equal-slices. What I’m not doing is fixing almost all coordinates and taking M small wildcard sets, or something like that. Instead, I’m randomly choosing the sizes of the M wildcard sets (which I allow to add up to 1, so there are in fact no fixed coordinates at all) and then uniformly at random choosing a line from the resulting subspace. That’s why I’m hoping that the resulting measure on lines is sufficiently global in character.</t>
  </si>
  <si>
    <t>C2730</t>
  </si>
  <si>
    <t>jokes</t>
  </si>
  <si>
    <t>random</t>
  </si>
  <si>
    <t>UTAHRAPTOR!!!</t>
  </si>
  <si>
    <t>I dunno, I’m kinda with Utahraptor on this one.</t>
  </si>
  <si>
    <t>C2731</t>
  </si>
  <si>
    <t>Even better would be a wiki software in which one uses LaTeX as the markup language. Unfortunately, I don’t think something like this exists.</t>
  </si>
  <si>
    <t>CTao_36587</t>
  </si>
  <si>
    <t>might have another solution</t>
  </si>
  <si>
    <t>963.  Christian Elsholtz:, If you will give me a few days to make them available, I have 25 other solutions of length 353 that might be interesting.  Perhaps they have different properties.</t>
  </si>
  <si>
    <t>CTao_36588</t>
  </si>
  <si>
    <t>964.  Dimension transition in Moser(3), Two comments… it seems that the best solutions in 6D and 7D we have so far are avoiding all but the first four Behrend spheres (the strings with 0, 1, 2, or 3 twos).  To speed up the GA, perhaps we could simply assume that all other spheres are empty and remove those chromosomes from the genotype.  (I believe this will cut down the number of lines by a significant factor – quite a few lines pass through the inner spheres)., The second comment is that I think one reason for the transition is that in 5D and lower, the optimal solutions have density &gt;1/2, and in 6D and higher, the optimal solutions have density &lt;1/2.  The thing is that the linear inequalities we have on sphere densities cannot rule out the possibility that every sphere has density 1/2 or less.  Consider for instance the 3D case, in which the full set 3^3 has statistics (8,12,6,1), so a mythical “half-density” Moser set would have statistics (4,6,3,0.5).  Of course this is not possible, however the statistics (4,6,4,0) and (4,6,2,1) are possible, and so from the perspective of linear inequalities, nothing is preventing half-densities everywhere.  I don’t know whether the same is true in 4D: half of (16,32,24,8,1) is (8,16,12,4,0.5), and I don’t know whether this is attainable as a convex combination of Moser 4D statistics.  But this phenomenon may help explain the tendency for the higher D statistics to fill out about half of every sphere.  (This also matches with the linear programming I did in 944.)</t>
  </si>
  <si>
    <t>C2732</t>
  </si>
  <si>
    <t>C2733</t>
  </si>
  <si>
    <t>building an argument</t>
  </si>
  <si>
    <t>1011. A Shelah-type argument, I’m quite optimistic that a Shelah type argument might work for the general DHJ(k) problem. It’s late evening and I had a hard day, so I’m not sure how far can I go with the argument tonight. Let me give some basic definitions first. In  two points are neighbours if they have same coordinates everywhere but in one position where one is k-2 and the other is k-1. For a subset  the space  is fliptop if a point p is in S iff any neighbour of p is also in S. (I will wikify it if the argument turns out to be useful) Our goal is to find a large fliptop subspace which is dense. By induction there will be a k-1 combinatorial line which gives a full combinatorial line because of the fliptop property of the subspace. I will follow Shelah’s strategy with some extra conditions to make it  (hopefully) work for the density version.
Suppose that  is c-dense and we already know the subspace version of DHJ for k-1. Partition n into m consecutive intervals of lengths  , We will repeat two steps to get a subspace eventually. The first one should keep the density high and the second will provide the fliptop property.
Step one: For any point in  there is a certain number of points in S with that tail. Select the points from  which are tails of at least  elements of S. The set of such points is denoted by H1. Applying the induction hypothesis we know that   will contain a d1-dimensional subspace where every element avoiding (running) coordinate k-1 are from H1 (so it has many extensions that are in S).
Step two: Consider the elements of the d1-dimensional subspace where every coordinate is k-1 or k-2. We say that two such points are equivalent if they are the tails of the same subset of S. There are no more than  such equivalence classes. Therefore if  then we have a Sperner pair, two points where the set of k-1 coordinates of a point contains the other point’s set of k-1 coordinates. It defines a combinatorial line in the subspace and we will work with this line in the following steps.
We will repeat steps one and two in . I will continue, but I would like to read over first what  I wrote., 1011. contd., Let us denote the k points of the combinatorial line selected previously by  (indexed by the running coordinates.)
Step one: select set H2 from .
Select a point if with any  it is the tail of at least  elements of S where . There are two cases; either there are many such points or there is a tail of at least  elements of S. (More careful calculations are needed, but let me sketch the argument first.) If there are enough points, the there is a d2-dimensional subspace in  where every point without coordinate k-1 is from H2.
Step two: Consider the elements of the d2-dimensional subspace where every coordinate is k-1 or k-2. We say that two such points, a and b. are equivalent if for any element ,  is in S iff   is in S. There are no more than  such equivalence classes. If  then there is a Sperner pair, two points where the set of k-1 coordinates contains the other point’s set of k-1 coordinates. It defines the second combinatorial line in the subspace and we will work with the two lines in the following steps. Let us denote the k points of the new combinatorial line by , There are a few typos in the argument. I should fix them eventually, but let me mention her one which might be quite misleading; “There are no more than  such equivalence classes.” actually, there are no more than  such equivalence classes. Similarly, in the second iteration There are no more than  such equivalence classes.</t>
  </si>
  <si>
    <t>C2736</t>
  </si>
  <si>
    <t>continued previous</t>
  </si>
  <si>
    <t xml:space="preserve">1011. contd., Let us denote the k points of the combinatorial line selected previously by  (indexed by the running coordinates.)
Step one: select set H2 from .
Select a point if with any  it is the tail of at least  elements of S where . There are two cases; either there are many such points or there is a tail of at least  elements of S. (More careful calculations are needed, but let me sketch the argument first.) If there are enough points, the there is a d2-dimensional subspace in  where every point without coordinate k-1 is from H2.
Step two: Consider the elements of the d2-dimensional subspace where every coordinate is k-1 or k-2. We say that two such points, a and b. are equivalent if for any element ,  is in S iff   is in S. There are no more than  such equivalence classes. If  then there is a Sperner pair, two points where the set of k-1 coordinates contains the other point’s set of k-1 coordinates. It defines the second combinatorial line in the subspace and we will work with the two lines in the following steps. Let us denote the k points of the new combinatorial line by </t>
  </si>
  <si>
    <t>C2737</t>
  </si>
  <si>
    <t>to be continued</t>
  </si>
  <si>
    <t>I’ll continue tomorrow morning, but I hope that what I wrote makes sense and maybe someone will tell me if this plan is feasible or not., 1012.1  I’ve just read through it and nothing jumps out at me as wrong, or obviously not going to work. I suppose my one worry is a metaworry, which is that many people must have tried to produce a density version of Shelah’s argument, and there doesn’t seem to be any sign of an obstacle in the above sketch. On the other hand, a balancing metareassurance is that you have a record of finding dazzlingly simple arguments., I haven’t yet thought about the part where you write “more careful calculations are needed”., Perhaps another reason to be hopeful is that one way of explaining what Shelah did is to say that he changed an inductive argument from deducing HJ(k) from HJ(2) with the repeated help of HJ(k-1) to deducing HJ(k) from HJ(k-1) with the repeated help of HJ(2), and there is no obvious reason to think that that cannot be done for density as well. , Anyhow, if it works … amazing!</t>
  </si>
  <si>
    <t>C2739</t>
  </si>
  <si>
    <t>nothing seems to be wrong</t>
  </si>
  <si>
    <t>metaworry; metareassurance</t>
  </si>
  <si>
    <t>1012.1  I’ve just read through it and nothing jumps out at me as wrong, or obviously not going to work. I suppose my one worry is a metaworry, which is that many people must have tried to produce a density version of Shelah’s argument, and there doesn’t seem to be any sign of an obstacle in the above sketch. On the other hand, a balancing metareassurance is that you have a record of finding dazzlingly simple arguments., I haven’t yet thought about the part where you write “more careful calculations are needed”., Perhaps another reason to be hopeful is that one way of explaining what Shelah did is to say that he changed an inductive argument from deducing HJ(k) from HJ(2) with the repeated help of HJ(k-1) to deducing HJ(k) from HJ(k-1) with the repeated help of HJ(2), and there is no obvious reason to think that that cannot be done for density as well. , Anyhow, if it works … amazing!</t>
  </si>
  <si>
    <t>CTao_36590</t>
  </si>
  <si>
    <t>965. HOC, I checked the solution in Markström.961 of n=6, which is the same as the equal slice solution 510, 420, 330, 240, 150, 501, 402, 303, 204, 105, 015, 024, 033, 042, 051. (It’s all combinations of 1 &amp; 2, 2 &amp; 3, and 1 &amp; 3.), This is the same solution as the general bound for Fujimura of that size.</t>
  </si>
  <si>
    <t>CTao_36591</t>
  </si>
  <si>
    <t>966. HOC, A quick scan indicates the same thing applies to n=7., Klas, look for a solution of 21 on n=8 and see if you get one solution just like the general bound for Fujimura. If so I am guessing the HOC is false.</t>
  </si>
  <si>
    <t>C2740</t>
  </si>
  <si>
    <t>Georg von Hippel</t>
  </si>
  <si>
    <t>what makes people contribute or avoid contributing</t>
  </si>
  <si>
    <t>What I’m wondering about is whether one thing that made this project to work for you (on which my most sincere congratulations) wasn’t specifically the fact that this problem had both very limited appeal to a wider audience (from the DAMTP side of things DHJ(3) looks rather arcane) and a rather high barrier to entry in terms of prior knowledge.
If you were to try this kind of project with a well-known problem whose formulation is comprehensible to a wider audience (say the Ulam series, the normality of Pi, or some such), wouldn’t you have to worry about drowning in crank “contributions” that would make moderation of the discussion a rather time-consuming task?, I have been thinking about how a polymath of the normality of pi specifically would look. There are (are as far as I know) only two plausable approaches:, 1. Getting a full understanding of the research related to the BBP formula. It’s possible a simple push will get the rest of the way, but I personally believe the reason why the formula exists needs to be better understood. Furthermore it needs generalization; I believe there are other BBP-type formulas out there, and if they can all be brought together, it ought to be possible to have multiple ways of obtaining a specific digit of pi, making a normality proof more plausable., 2. Working from the end of continued fractions, which could be connected to normality (although nobody has successfully done so). Very few people likely have the initial background knowledge required, so this would likely start as a “reading seminar” type post and move from there., If discussion was restricted to one of these two with the actual normality of pi on the “back burner”, likely there wouldn’t be too many interruptions from cranks., Moderation of the discussion can be done on a lower level than contribution to the discussion; for instance, given any broad subject on Wikipedia, there are probably only a few dozen people who regularly contribute actual content, but there are likely several hundred with less knowledge of the subject or access to sources who clean up the articles, discuss improvements on the talk page, etc., Tim and Terry have both pointed out that there were considerably many more of us “watching from the sidelines” than there were making substantial contributions to the project, and I feel as if their eventual role might be to perform low-level moderation. I certainly don’t know much about the BBS formula, but I feel like I could distinguish between an expert and a crank pretty well most of the time., Two blog posts this weekend discuss the BBP formula in further depth:, Foxmaths (near the end, mentions how the formula was discovered), Gödel’s Lost Letter and P=NP (about the complexity class of the algorithm)</t>
  </si>
  <si>
    <t>C2741</t>
  </si>
  <si>
    <t>Heinrich</t>
  </si>
  <si>
    <t>I have heard of Latexki, “a collaboration tool to create LaTeX documents”. Seems to fit the bill.</t>
  </si>
  <si>
    <t>C2742</t>
  </si>
  <si>
    <t>responding to a handful of comments - seems "I should have said more"</t>
  </si>
  <si>
    <t>From one or two of the comments here it seems that I should have said more about the motivation for DHJ(3). The reason I didn’t is that I belong to a corner of mathematics where it’s just obvious that this is a problem worth studying. Terry has explained the main reasons for this (in his reply to D. Eppstein above). DHJ(3) was an example of the kind of problem Erdos was famous for: if you come to it cold you may wonder why anyone should be interested, but there are indications that it will be more or less impossible to solve without having ideas of much more general applicability.</t>
  </si>
  <si>
    <t>CTao_36594</t>
  </si>
  <si>
    <t>Thank you to everyone for the congratulations! My congratulations to everyone here and also those who worked on the other half of this project. I will be working on proving there are no sets with 41 or more points with d greater than or equal to 4.</t>
  </si>
  <si>
    <t>C2743</t>
  </si>
  <si>
    <t>einstein approximation; also Pierre Menard's Quixote</t>
  </si>
  <si>
    <t>1013.  Shelah., I took the car to be serviced today, which resulted in a long walk to work, during which I pondered Jozsef’s argument. I can’t see a problem, but neither have I thought it through fully. So I want to try to assess its feasibility by seeing if I can sketch it. (Of course, Jozsef has already sketched it, but there’s no harm in having more than one sketch, and if I manage to sketch it without looking any further at what he wrote, then it might make us feel better in the way that people feel better about computer-assisted proofs if more than one person does the computer part and different programs are used.), What is remarkable about Jozsef’s proposal if it works is that it is so similar to what Shelah did: it would make it very mysterious that the proof had not been discovered earlier (which would add another layer of mystery to the already remarkable fact that Shelah’s proof was itself not discovered earlier)., The idea is this. Suppose that we are trying to prove DHJ(k) with density . We begin by choosing some parameters. First, we choose  so large that DHJ(k-1) is true with density . That is, we assume as an inductive hypothesis that every subset of  of density at least  contains a combinatorial line., Next, we choose a very rapidly increasing sequence of integers (though in the context of some proofs of this kind the rate of increase is not too bad — this proof should result in a primitive recursive bound for DHJ(k), one level beyond a tower, just like Shelah’s) . (Jozsef called them  but on my screen an  is just a vertical line so I’ve changed the notation.), We shall repeatedly apply the following averaging argument: if  are integers between 0 and 1, and the average of the  is , then at least  of the  are at least  The proof is trivial (by contradiction)., Now let  and think of  as  Let  be a subset of  of density  For each  let  Then the average density of  over  is , so the density of  such that  has density at least  is at least . , Let  be the set of all  such that  has density at least . By the pigeonhole principle, we can find a subset  of  of density at least  such that  is the same for every . , Let us define a ”binary subspace” to be a set where you fix some of the coordinates and allow the remaining ones to take the values k-1 and k. If t is small enough, and if you choose a random binary subspace of  by randomly choosing t coordinates to be the variable ones and randomly fixing the others, and if you then choose a random point in one of these random binary subspaces, the result will be very close to the uniform distribution on . Therefore, by an easy averaging argument we can find a binary subspace inside which the density of  is at least  (Note that for this to work we need  to be large enough in terms of  and .) And then by Sperner’s theorem we can find two points in the binary subspace that form a combinatorial line (in the  sense but with  and  replacing 1 and 2, or 0 and 1 if you prefer)., We can extend this binary combinatorial line to a full combinatorial line in , by allowing the wildcards to take the values  as well. The result is a …, OK, this is the first point at which I’ve got stuck, though I think Jozsef may have dealt with the difficulty I am facing. Time to end this comment and start a new one.</t>
  </si>
  <si>
    <t>C2744</t>
  </si>
  <si>
    <t>C2733; C2743</t>
  </si>
  <si>
    <t>1014. Shelah, The problem with what I was doing just above is this. I’ve just defined a line  in , and I know that the sets  and  are the same. However, I don’t know anything about  for  and it would be a serious problem if e.g. they turned out to be empty., However, I’ve ignored Jozsef’s step 1, which is perhaps his main new idea. He begins by using DHJ(k-1) to pass to a subspace where  has density close to  for all sequences  provided only that they do not have any (variable) coordinate equal to . (This can be done by an averaging argument similar to the one I used above to get dense binary subspaces — this time one wants dense (k-1)-ary subspaces.) , But now I’ve reached the point where I don’t understand Jozsef’s argument. How do I know that it is not the case that  is empty whenever one of the variable coordinates of  is equal to k? I don’t see it at the moment, so I think I’d better wait for Jozsef to wake up., 1014.1 Dear Tim, I don’t think that we need that  is dense if one of the variable coordinates is equal to k. This is actually a crucial observation, that’s why we need the fliptop property. At the last step, when only  remains, one word of  spans a dense subset of the  part of the subspace. By induction there is a line, and by the fliptop property there is an extension to k. Note that the fliptop property was defined by considering running coordinates k as well, however it wasn’t sensitive for density in any ways., 1014.2  I’m still mystified. In Step 1, let’s choose a subspace such that for every sequence  that avoids running coordinate , there is a set of density almost  of  such that . Now we go to Step 2. Nothing we’ve done so far stops  being empty for every  that does involve . So we choose our Sperner pair and have two points  and  (where  is obtained from  by changing some of the s to s). How can that help? Indeed, it seems that  could be empty for every point in the combinatorial line you select., Tim – I have to go to the University now, where I will rethink your question again, but I think that the answer is that it is not possible that you switch a running coordinate to k from k-1 and the density drops because the two points are neighbours. I will get back to you soon., Jozsef, that gives me time to be more precise about my question. See comment 1016 below.</t>
  </si>
  <si>
    <t>C2745</t>
  </si>
  <si>
    <t>clarifying statement</t>
  </si>
  <si>
    <t>1010.1  Ryan, the argument is so sloppily written (little more than a declaration that my gut feeling is that it works) that it is good that you apply a little pressure of this kind. I think I have answers to your specific queries, but that’s not the same as a proof. But maybe it will tip you over to believing that it works., First of all, my parameter M is not supposed to tend to infinity. As I said in the write-up, it’s meant to be the smallest integer such that we have DHJ(k) with density , where  depends only on the equal-slices density  of the set inside which we’re trying to find lots of combinatorial lines., So what about your second worry? The point here is that the M-dimensional subspaces I’m averaging over are absolutely not local. Instead, they’re supposed to be far more tailored to equal-slices. What I’m not doing is fixing almost all coordinates and taking M small wildcard sets, or something like that. Instead, I’m randomly choosing the sizes of the M wildcard sets (which I allow to add up to 1, so there are in fact no fixed coordinates at all) and then uniformly at random choosing a line from the resulting subspace. That’s why I’m hoping that the resulting measure on lines is sufficiently global in character.</t>
  </si>
  <si>
    <t>CTao_36597</t>
  </si>
  <si>
    <t>can someone see the pattern?</t>
  </si>
  <si>
    <t>967.  Terry:, “Two comments… it seems that the best solutions in 6D and 7D we have so far are avoiding all but the first four Behrend spheres (the strings with 0, 1, 2, or 3 twos). ”, It  turns out I had already been doing something like this when I tried to preserve the conserved regions between solutions.  I had been looking at the conserved regions set to zero and the ones set to one both together and singly.  I noticed that the conserved zero region (points consistently left out)  turned out to be of length 379 (which I didn’t check by hand) but is the same size as the set of points with strings with four or more 2’s., In the same spirit, I had a region of conserved one’s which turns out to contain 411 points.  Perhaps someone else will see the pattern., {13, 31, 37, 39, 41, 43, 49, 67, 85, 91, 93, 95, 97, 103, 111, 117, 119, 123, 125, 127, 133, 139, 145, 147, 149, 151, 157, 175, 193, 199, 201, 203, 211, 229, 247, 253, 255, 257, 259, 273, 275, 277, 281, 285, 287, 289, 291, 295, 301, 307, 311, 313, 319, 325, 327, 331, 333, 335, 339, 341, 343, 345, 347, 349, 353, 369, 371, 375, 379, 383, 385, 387, 389, 393, 395, 397, 399, 401, 409, 415, 417, 419, 421, 433, 437, 443, 447, 449, 451, 453, 455, 457, 469, 471, 473, 475, 481, 499, 517, 523, 525, 527, 535, 553, 571, 577, 579, 581, 583, 599, 601, 603, 605, 609, 611, 613, 615, 617, 619, 631, 635, 643, 661, 679, 685, 687, 689, 691, 697, 733, 739, 745, 751, 757, 761, 773, 775, 781, 787, 793, 797, 799, 805, 813, 815, 819, 825, 829, 833, 837, 839, 845, 855, 861, 865, 867, 869, 871, 873, 879, 881, 889, 903, 905, 907, 913, 921, 923, 925, 927, 933, 937, 939, 941, 949, 955, 957, 959, 961, 967, 981, 983, 987, 989, 991, 993, 995, 999, 1001, 1007, 1017, 1019, 1023, 1031, 1035, 1037, 1047, 1049, 1055, 1059, 1061, 1071, 1077, 1109, 1115, 1125, 1127, 1133, 1135, 1145, 1149, 1151, 1155, 1157, 1159, 1181, 1185, 1189, 1191, 1193, 1195, 1197, 1199, 1203, 1207, 1211, 1225, 1227, 1229, 1231, 1237, 1243, 1247, 1249, 1251, 1253, 1261, 1263, 1265, 1281, 1297, 1299, 1301, 1305, 1307, 1315, 1317, 1321, 1325, 1341, 1347, 1349, 1351, 1353, 1355, 1357, 1365, 1367, 1369, 1371, 1373, 1375, 1381, 1387, 1389, 1399, 1405, 1407, 1409, 1411, 1415, 1419, 1421, 1423, 1425, 1427, 1435, 1441, 1443, 1447, 1453, 1471, 1489, 1495, 1497, 1525, 1543, 1549, 1551, 1553, 1555, 1561, 1567, 1569, 1571, 1573, 1575, 1577, 1585, 1587, 1589, 1597, 1603, 1605, 1607, 1633, 1651, 1657, 1659, 1661, 1663, 1669, 1687, 1705, 1711, 1713, 1715, 1729, 1733, 1735, 1737, 1739, 1745, 1747, 1749, 1751, 1753, 1759, 1765, 1767, 1769, 1777, 1783, 1785, 1787, 1791, 1797, 1801, 1803, 1805, 1807, 1809, 1811, 1817, 1827, 1829, 1833, 1835, 1837, 1841, 1843, 1845, 1847, 1853, 1855, 1857, 1859, 1861, 1875, 1877, 1879, 1885, 1891, 1893, 1895, 1897, 1899, 1901, 1905, 1911, 1915, 1921, 1927, 1931, 1933, 1939, 1981, 1983, 1985, 1987, 1993, 2011, 2029, 2035, 2037, 2039, 2047, 2053, 2055, 2057, 2059, 2061, 2063, 2067, 2069, 2071, 2073, 2075, 2077, 2083, 2091, 2093, 2095, 2101, 2137, 2143, 2145, 2147, 2149, 2155, 2173}</t>
  </si>
  <si>
    <t>C2746</t>
  </si>
  <si>
    <t>how I interacted; extended puzzle and then a team game</t>
  </si>
  <si>
    <t>I followed the initial pointer from Terry’s blog, and read the first hundred or so posts.  No doubt a lot went over my head, but I got a couple of the referenced papers and tried to read them.
Terry identified some elementary questions for his blog, and I found I could contribute to that.  It was great fun, firstly as an extended puzzle, and secondly puzzle-solving as a team game.
I am light-years from being able to contribute to the actual DHJ, and I am sure Terry could have done all we did by himself much more quickly, but thankyou Tim and Terry for this project.</t>
  </si>
  <si>
    <t>C2747</t>
  </si>
  <si>
    <t>things that made it hard</t>
  </si>
  <si>
    <t>A couple other observations:, 1. In some cases I believe there was an “expert momentum” thing going on that made me not want to contribute. For example, once the solution on Moser got moving I felt no need to try to contribute, because the people hacking at it (Kristal, Michael, Terry, people providing computer data) were doing such a good job a solution seemed inevitable. (It was highly entertaining to watch. I fantasize about R(5,5) being solved this way.), 2. Related to that is the possibility of working out a solution, but being beaten to the punch. This made me feel nervous working on Fujimura’s problem., 3. There was on occasion where I hit some notational snag because it was explained in an earlier message. For example, I didn’t fully grasp the equal-slices notation at first.</t>
  </si>
  <si>
    <t>CTao_36598</t>
  </si>
  <si>
    <t>the 411 points above all have 3 two’s.
Otherwise coordinate stastistics alone will not  help, since it contains for example the points
{2, 2, 2, 1, 1, 1, 3}, {2, 2, 2, 1, 1, 3, 1}, {2, 2, 2, 1, 1, 3, 3},  {2, 2, 2, 1, 3, 1, 1},
{2, 2, 2, 1, 3, 3, 1}, {2, 2, 2, 3, 1, 1, 3}, {2, 2, 2, 3, 1, 3, 3}, {2, 2, 2, 3, 3, 1, 1}, {2, 2, 2, 3, 3, 1, 3},
{2, 2, 2, 3, 3, 3, 3} etc.
that is some but not all permutations of 2221113.
It also pairs of points with Hamming distance 1.</t>
  </si>
  <si>
    <t>C2748</t>
  </si>
  <si>
    <t>another polymath problem</t>
  </si>
  <si>
    <t>I have been thinking about how a polymath of the normality of pi specifically would look. There are (are as far as I know) only two plausable approaches:, 1. Getting a full understanding of the research related to the BBP formula. It’s possible a simple push will get the rest of the way, but I personally believe the reason why the formula exists needs to be better understood. Furthermore it needs generalization; I believe there are other BBP-type formulas out there, and if they can all be brought together, it ought to be possible to have multiple ways of obtaining a specific digit of pi, making a normality proof more plausable., 2. Working from the end of continued fractions, which could be connected to normality (although nobody has successfully done so). Very few people likely have the initial background knowledge required, so this would likely start as a “reading seminar” type post and move from there., If discussion was restricted to one of these two with the actual normality of pi on the “back burner”, likely there wouldn’t be too many interruptions from cranks.</t>
  </si>
  <si>
    <t>CTao_36599</t>
  </si>
  <si>
    <t>connect to michaelnielsen blog</t>
  </si>
  <si>
    <t>969.  Integer programming, I discovered an integer programming package (Optimization) on Maple 12, and gave it a whirl, see, http://michaelnielsen.org/polymath1/index.php?title=Maple_calculations, for details.  I reconfirmed the fact that by throwing in all the linear inequalities we already know about, we can get .  The extremal statistics are, (31,94,126,83,23,7,0).  (*), In comparison, Kareem’s 353-point solution has statistics (22, 66, 165, 100, 0, 0 0)., If we can find some reason why the statistics (*) are impossible, this should eventually be convertible to a linear inequality which I can then add to the integer program to improve the bound.  Hopefully we can iterate this computer+human procedure to get the bounds to be closer to each other., If I assume g=1 (i.e. the point 222222 is in the set), then the upper bound improves substantially to 355, with extremal (24,96,120,80,30,4,1).  If instead I assume e=f=g=0 as in Kareem’s example, the upper bound similarly improves to 356, with extremal (24,72,180,80,0,0,0)., The 7D computations were disappointing; the best upper bound I could get was 1092, i.e. 3 times the current 6D bound.</t>
  </si>
  <si>
    <t>CTao_36600</t>
  </si>
  <si>
    <t>770.  Linear programming, There are some more inequalities available.  For instance in 4D, we have , but when e=1, we have the better estimate  (which I also verified by linear programming).  Thus we in fact have .  Similarly, the  result gives  in 5D, but when f=1 the linear inequalities improve this to 119, thus ., I inserted this into the integer program.  Sadly, this did not improve the upper bound , but it did give a prettier extremiser, namely (32,96,120,80,30,6,0), i.e. every Behrend sphere except for the last one is filled with density exactly 1/2.  Also, this argument managed to improve the bound for  from 1092 to 1086., The wiki page is adjusted to reflect these improvements, of course.</t>
  </si>
  <si>
    <t>CTao_36601</t>
  </si>
  <si>
    <t>wiki also updated</t>
  </si>
  <si>
    <t>771.  Linear programming, I found a 4D inequality which was inconsistent with the above 1/2-density scenario, and it gave some good results (basically it is useful for eliminating scenarios in which d, e, etc. are large)., It exploits the fact that the 41+ 4D solutions have small d and e.  Indeed, the data shows that e=0 and a+b+c+d+e+d/2 &lt;= 43 for such solutions.  Meanwhile, linear programming shows that for 40- point solutions, one has a+b+c+d+e+d/2 &lt;= 43, and furthermore a+b+c+d+e+d/2 &lt;= 40.5 if e=0.  We conclude that a+b+c+d+e+d/2+5e/2 &lt;= 43.  Inserting this into the integer programming machine gives significant improvements, namely  and ., To proceed further, one needs to find a reason why the  extremiser statistics, which happen to be (29,87,134,97,8,5,0), are not attainable.  It may also be useful to figure out why the e=f=g=0 extremiser statistics (24, 72, 180, 80, 0, 0, 0) are not attainable; the densities here are quite clean, namely (3/8, 3/8, 3/4, 1/2, 0, 0, 0)., Wiki page updated as before.</t>
  </si>
  <si>
    <t>C2749</t>
  </si>
  <si>
    <t>1014.1 Dear Tim, I don’t think that we need that  is dense if one of the variable coordinates is equal to k. This is actually a crucial observation, that’s why we need the fliptop property. At the last step, when only  remains, one word of  spans a dense subset of the  part of the subspace. By induction there is a line, and by the fliptop property there is an extension to k. Note that the fliptop property was defined by considering running coordinates k as well, however it wasn’t sensitive for density in any ways.</t>
  </si>
  <si>
    <t>CTao_36602</t>
  </si>
  <si>
    <t>Christian Elsholtz:, Interesting points.  The one thing I would add is that the 411 are probably not perfect as they are based on a guess of the better solutions found so far.  Although, I realize I should have taken them more seriously as I was very surprised to see that the 379 zero points conserved matched so well with the Behrend spheres.</t>
  </si>
  <si>
    <t>C2750</t>
  </si>
  <si>
    <t>interesting typos</t>
  </si>
  <si>
    <t>There are a few typos in the argument. I should fix them eventually, but let me mention her one which might be quite misleading; “There are no more than  such equivalence classes.” actually, there are no more than  such equivalence classes. Similarly, in the second iteration There are no more than  such equivalence classes.</t>
  </si>
  <si>
    <t>C2751</t>
  </si>
  <si>
    <t>more publicity</t>
  </si>
  <si>
    <t>Polymath projects might benefit from better publicity.  I know it’s been mentioned that there exist potential collaborators who aren’t active in the blogosphere or who otherwise are unaware that this project exists; there are certainly steps that could be taken to promote awareness of this project in the mathematical community.  Perhaps some of the more prominent contributors could begin giving talks about the nature of the project and interesting results and questions that arose as a consequence of it?  Actually, the idea of an army of lecturers giving talks on the results in the wiki all over the country sounds pretty good (although perhaps this should wait until the “writing” phase is over?). , One issue with increased publicity would be an increase in crank comments, but a system designed to handle a greater order of magnitude of collaborators would need to handle this anyway.  But I think it would be worth it, especially if, say, a non-mathematician heard about polymath who had a particularly good idea about how to organize future projects properly.</t>
  </si>
  <si>
    <t>C2752</t>
  </si>
  <si>
    <t>harrison</t>
  </si>
  <si>
    <t>C2702 &amp; Randall slogan</t>
  </si>
  <si>
    <t>just love this line</t>
  </si>
  <si>
    <t>I see Ryan’s Utahraptor and raise him a (fictionalized) Barack Obama.</t>
  </si>
  <si>
    <t>C2753</t>
  </si>
  <si>
    <t>1014.2  I’m still mystified. In Step 1, let’s choose a subspace such that for every sequence  that avoids running coordinate , there is a set of density almost  of  such that . Now we go to Step 2. Nothing we’ve done so far stops  being empty for every  that does involve . So we choose our Sperner pair and have two points  and  (where  is obtained from  by changing some of the s to s). How can that help? Indeed, it seems that  could be empty for every point in the combinatorial line you select.</t>
  </si>
  <si>
    <t>C2754</t>
  </si>
  <si>
    <t>moderation</t>
  </si>
  <si>
    <t>maybe something for lurkers to do?</t>
  </si>
  <si>
    <t>Moderation of the discussion can be done on a lower level than contribution to the discussion; for instance, given any broad subject on Wikipedia, there are probably only a few dozen people who regularly contribute actual content, but there are likely several hundred with less knowledge of the subject or access to sources who clean up the articles, discuss improvements on the talk page, etc., Tim and Terry have both pointed out that there were considerably many more of us “watching from the sidelines” than there were making substantial contributions to the project, and I feel as if their eventual role might be to perform low-level moderation. I certainly don’t know much about the BBS formula, but I feel like I could distinguish between an expert and a crank pretty well most of the time.</t>
  </si>
  <si>
    <t>C2888</t>
  </si>
  <si>
    <t>Generally, these Ramsey theorems are either “projective” (Schur, Hindman, Ramsey), “affine” (van der Waerden, HJ) or “projective/affine” (Graham-Rothschild, Carlson, CST).  Nothing with a projective aspect will typically have a “naive” density version, though I don’t know exactly what you are shooting for here. (Presumably you don’t mean something that the set of words having an odd number of 3s would be a counterexample to.)</t>
  </si>
  <si>
    <t>C2759</t>
  </si>
  <si>
    <t>high barrier to entry - what about theory-building v. problem-solving</t>
  </si>
  <si>
    <t>I wish I could have contributed, but I’m not so much an expert in additive combinatorics as an interested undergrad, and the high barrier to entry and level of time commitment meant that I couldn’t. , Another potential application for polymath-style collaboration might be to try to develop a well-defined but underexplored area of mathematics, rather than working toward a concrete goal as in this instance. This has a few obvious disadvantages (it’s nearly impossible to tell when it’s “done,” for example, and the likelihood of going off on wild-goose chases and not realizing it is considerably higher) but it might also lower the barriers to entry, since one wouldn’t have to be familiar with a lot of specific literature or even with the entirety of the project thus far, and the community can more-or-less automatically adjust its goals as it goes along. I’m not at all sure this would work (and I’ve no idea what would be worked on), but it’d be interesting to see how open collaboration would extend to theory-builders rather than just problem-solvers.</t>
  </si>
  <si>
    <t>C2758</t>
  </si>
  <si>
    <t>unrelated news</t>
  </si>
  <si>
    <t xml:space="preserve">Erdos Number ;) </t>
  </si>
  <si>
    <t>It recently occurred to me that the polymath project may well represent a personal milestone: for years (ever since I wrote two joint papers with Bernard Maurey) my Erdos number has been 4, and in a silly way I was quite proud of managing to be an Erdos-style combinatorialist with an unusually high number. However, if polymath starts publishing, as I assume it will, what is my Erdos number then? There are two questions here. The first is to evaluate m=min EN was a participant in the polymath project The second is to decide whether if we publish as a collective without giving individual names on the paper (which is my preferred convention) this reduces my Erdos number to m+1 (if m+1 is less than 4)., No paper with Bela?</t>
  </si>
  <si>
    <t>C2760</t>
  </si>
  <si>
    <t>proof premature</t>
  </si>
  <si>
    <t>think it's done?</t>
  </si>
  <si>
    <t>1015.  A bit off-topic, “If this were a conventional way of producing mathematics, then it would be premature to make such an announcement — one would wait until the proof was completely written up with every single i dotted and every t crossed — ”, hmmm, maybe we should regard it premature also in this new mode. What do the rules say? , “but this is blog maths and we’re free to make up conventions as we go along. , So I hereby state that I am basically sure that the problem is solved” , Congratulations! I must admit that even if a full k=3 proof will take 200 more comments and several more weeks the success of the project exceeded my expectations., “(though not in the way originally envisaged).”, Actually, this is a lovely aspect and a sign of success of the open collaboration idea,  isn’t it?, 1015.1  Gil, I feel slightly awkward about it, and won’t feel entirely happy until it’s written up in the conventional way. But if one regards a write-up as having a tree structure, then it’s all there on the wiki down to the small sticks, and only a few leaves are missing. Somehow there don’t seem to be any points where one says “I don’t quite see it but I’m sure it works.” It’s more like “I do see it but it’s slightly tedious to write out in full.” Despite that, I wouldn’t have written what I wrote if it had not been for the fact that other participants seem to share my confidence. But for now I will keep the “(probably)”.</t>
  </si>
  <si>
    <t>C2761</t>
  </si>
  <si>
    <t>Mark Bennet</t>
  </si>
  <si>
    <t>insight into process of mathematical problem solving</t>
  </si>
  <si>
    <t>What struck me, watching the discussion with interest, was the real insight this gave into the processes of mathematical problem solving. With this in mind I would suggest that the bibliographies on the Wiki could be expanded to include more basic introductory works, which will be well known to active participants, but which might help observers to follow the arguments a little more closely – maybe doing a little of this as you go along, but also – if this is to remain as a record in cyberspace – as consolidation. Where would an intelligent student who knows little about the field need to begin?</t>
  </si>
  <si>
    <t>C2762</t>
  </si>
  <si>
    <t>1015.1  Gil, I feel slightly awkward about it, and won’t feel entirely happy until it’s written up in the conventional way. But if one regards a write-up as having a tree structure, then it’s all there on the wiki down to the small sticks, and only a few leaves are missing. Somehow there don’t seem to be any points where one says “I don’t quite see it but I’m sure it works.” It’s more like “I do see it but it’s slightly tedious to write out in full.” Despite that, I wouldn’t have written what I wrote if it had not been for the fact that other participants seem to share my confidence. But for now I will keep the “(probably)”.</t>
  </si>
  <si>
    <t>C2763</t>
  </si>
  <si>
    <t>rethink needed</t>
  </si>
  <si>
    <t>Tim – I have to go to the University now, where I will rethink your question again, but I think that the answer is that it is not possible that you switch a running coordinate to k from k-1 and the density drops because the two points are neighbours. I will get back to you soon.</t>
  </si>
  <si>
    <t>C2764</t>
  </si>
  <si>
    <t>Jozsef, that gives me time to be more precise about my question. See comment 1016 below.</t>
  </si>
  <si>
    <t>C2765</t>
  </si>
  <si>
    <t>scattered thoughts</t>
  </si>
  <si>
    <t>Here are some scattered thoughts about the very successful polymath1:, A) I hope the current project will continue to the DHJ(k) and perhaps some other topics around cup-sets/Roth/Szemeredi’s etc. (Including discussing: what is the true value for Roth/cup set problem.), B) Here are 4 questions regarding open collaboration like this:, 1) Was it too hectic?, 2) Need such a project be orchestrated.  (Is it more like a bunch of musicians playing together or in turns or like an orchestra or like a Jass band)., 3) Will such open collaborations make the community more polarized or less? (And is it beneficial.) , 4) Is it “macho.” (I.e., another aspect of our profession which is more inviting to men compared to women.), C) I’d love to see an open collaboration around Hirsch’s conjecture (or better its combinatorial version. See here http://gilkalai.wordpress.com/2008/12/01/a-diameter-problem-7/ ) It looks overall within reach., Gil, I had the thought today, which I had somehow not noticed, that the vast majority of people who comment on mathematical blogs are male. The percentage seems to me to be far higher than the percentage of interested mathematicians who are male. So I too am a bit concerned about 4. , I actually can’t think of a single comment made by a woman on this blog, but I hope that’s either because I’ve forgotten about it or that some pseudonyms and anonymous comments have in fact belonged to women., What about Kristal Cantwell (major contributor on the 700’s/900’s thread)?  I’m just guessing from the name., I think there is a certain tendency for men and women to segregate, and this tendency may be stronger on the internet than one might expect from other contexts.  I don’t have any numbers to back this up, but anecdotally at least, it seems that a blog written by a woman will have disproportionately many links to and from blogs written by women, and similarly for men, even after one allows for subject matter.  Perhaps this also applies to frequent commenters on blogs.  So it’s possible that the picture the average male or female blogger would get ‘locally’ will give a biased estimate of the internet as a whole., I have seen a few blogs by women who are interested in mathematics, but in most cases the authors seem to be either students or amateur mathematicians, rather than more established figures.  This may or may not have something to do with the overall demographics of the maths community.</t>
  </si>
  <si>
    <t>C2766</t>
  </si>
  <si>
    <t>1016  Shelah, Jozsef, I’m still trying to follow your argument in 1011. Let me try to be completely precise about where it seems to me to go wrong. Of course, it could be me who is going wrong., Consider the following example. I take a random subset S of  and then take the set  of all sequences in  such that the final part lies in S. This set has density 1/2. Now I apply your step 1, and it happens that the -dimensional subspace I choose has the following property: every point with all running coordinates less than k belong to S, and all other points belong to the complement of S. (With high probability such a subspace exists, and no steps have been taken to avoid it.), Then the pigeohole argument gives you that all the points with running coordinates less than k can be joined to anything you like in  However, if you take any line given by the application of Sperner, then both its top two points must involve a k and give the empty set. Therefore, the whole line gives the empty set (meaning that if your mth part belongs to the line then you don’t belong to ). So at the second stage of the iteration I don’t see how you can do Step 1 (because of the “with any ” requirement)., Tim, what you wrote is perfectly right with the exeption that in step one I never consider running coordinates larger than k-1. (with my old notation “larger than k-2”) So, in your example fliptop means that the neighbours given by the last (m-th) k, k-1 pair are simultaneously not in S.  I’m still not sure that the argument works, but I don’t see any serious problem yet., I have office hours now, so I will beging to write up the argument and if I won’t have too many students to show up then I will post the sketch in an hour or so., Just to try to be more explicit still, let’s imagine that  and . Suppose that all sequences of six 0s and 1s are the tail of every preceding sequence, and that the two points  and  are the tails of precisely the same set of sequences, so you choose as your line the line . It seems to me that there is no reason for any point in that line to be the tail of any previous sequence. , A separate question: is the aim to construct in each  a line  in such a way that the product of the lines is fliptop (that is, insensitive to changing 1s to 2s when k=3), and  is dense in that product? My difficulty is that I don’t see the relevance of a statement about  when the line  might have 2 as one of its fixed coordinates., I see now. One should be more careful with the selection of the fliptop lines. I still think that it is duable, but it seems that we have to consider more subspaces. I don’t have much time, but I will think about it., I should stress here that I definitely think this is worth attempting. Even if it turns out not to work 100% straightforwardly, the following question exists and is clearly an interesting one. You have a set  of density . How large a subspace  can you find such that  has density at least  in the subspace, and membership of  in the subspace does not change if you flip a  to a ? I do not see any philosophical reason for that being significantly harder than Sperner plus induction, though such a reason might emerge I suppose.</t>
  </si>
  <si>
    <t>C2767</t>
  </si>
  <si>
    <t>what about women</t>
  </si>
  <si>
    <t>Gil, I had the thought today, which I had somehow not noticed, that the vast majority of people who comment on mathematical blogs are male. The percentage seems to me to be far higher than the percentage of interested mathematicians who are male. So I too am a bit concerned about 4. , I actually can’t think of a single comment made by a woman on this blog, but I hope that’s either because I’ve forgotten about it or that some pseudonyms and anonymous comments have in fact belonged to women.</t>
  </si>
  <si>
    <t>C2768</t>
  </si>
  <si>
    <t>Tim, what you wrote is perfectly right with the exeption that in step one I never consider running coordinates larger than k-1. (with my old notation “larger than k-2”) So, in your example fliptop means that the neighbours given by the last (m-th) k, k-1 pair are simultaneously not in S.  I’m still not sure that the argument works, but I don’t see any serious problem yet.</t>
  </si>
  <si>
    <t>C2769</t>
  </si>
  <si>
    <t xml:space="preserve">Erdos number ;) </t>
  </si>
  <si>
    <t>Gil and Jozsef have Erdos #2 (via Noga and Jaroslav respectively).  (I myself am #3, via multiple paths.)  , I quite like the idea that the Polymath1 wiki will morph over time into a general resource for Ramsey theory, while still containing of course with a historical record of progress in the Polymath1 project.  I added the classic Graham-Rothschild-Spencer book to the references; of course we can encourage more additions.  I’ve forked the bibliography off of the (protected) main page so that it can be more easily added to, at, http://michaelnielsen.org/polymath1/index.php?title=Bibliography, contributions are of course welcome!, I have also, partly for my own amusement, set up a timeline of events and key milestones in the polymath1 project so far at, http://michaelnielsen.org/polymath1/index.php?title=Timeline, As do Randall (via Hindman) and I (via Bollobas or Saks).  Tim &amp; Terry, you’re the outliers 🙂</t>
  </si>
  <si>
    <t>C2770</t>
  </si>
  <si>
    <t>Ernie Croot</t>
  </si>
  <si>
    <t>collaboration a threat to those who still need to prove their worth</t>
  </si>
  <si>
    <t>Dear Tim,  , I think that the project was a rather nice idea, but I was not able to keep up with many of the comments, as I have so many other responsibilities right now that take up my time (committee work, teaching, writing research papers). This is the main reason I didn’t post anything on your blog; but, there was also the issue of not wanting to write something obviously wrong (upon looking at it later) to such a visible blog as yours, though I suppose one could post anonymously., Two more comments:   it seems to me that there are some types of solutions to math problems that start with risky ideas, that
don’t look like they will go anywhere, but do.  Such ideas are not likely to be entertained by others in a blog like this.  In other words, the solutions that the blog approach seems good at uncovering are those reached by small steps, using standard ideas, that lots of people agree look viable., My second comment is that I worry that if this type of blog approach to doing research becomes popular, it could have negative professional repercussions.  For my own case, I am glad you chose the DHJ problem, instead of the F_3 cap set problem (improve Roth-Meshulam), which is a problem I (and many others) have devoted years to attempting to solve.  It would be somewhat demoralizing to see that problem solved in six weeks of massive collaborative effort; and, it could negatively affect one in other ways (grant support, salary, etc.).  Of course, one can always try to find alternate proofs; but, it has been my experience that there is much more respect for solutions to old, stubborn problems, than there is for new proofs., Ernie, your points are interesting — in particular, the one about the particular problem chosen. I too would love to solve the F_3 cap set problem, and there are other problems like that, that a lot of people are very keen on, where doing it collaboratively would risk putting people in a difficult position (whether to share their ideas, or just hope that the multiple collaboration is unsuccessful). I shall try to avoid such problems. But I’d be interested to know whether you would find it more demoralizing to see one of your all-time favourite problems solved quickly in this way than it would be just to see it solved by someone else using the conventional approach., Dear Tim,, I think I would be more demoralized by a large group solving it than an individual.  Also, if the problem were solved by an individual in this way, these negative feelings would be quickly replaced by awe and admiration for that person; but, with a group solving the problem, it would be harder for me to know where to place my respect — groups are impersonal.  That said, as far as the DHJ problem is concerned, I rather liked all of the ideas that people had, and have respect for everyone involved.  The proof turned out to be very beautiful indeed!, Here’s a related difficulty.  Suppose I take the attitude, “If you can’t beat ’em, join ’em.”  That is, when I see Polymath getting interested in one of my problems, I decide to join Polymath.  Even if things work out beautifully from a mathematical point of view—say my ideas prove to be critical, while at the same time I could not have had those ideas without the input of others, and the problem is solved when it might not have been solved otherwise—it might not work out well from the point of view of getting credit.  I’ve already encountered the following reaction from some people when I tell them about polymath1: “Oh, that just proves once again that Gowers and Tao are geniuses.”  It confirms a suspicion I had before polymath1 really got started—few people are going to sort through the 1000 comments to assess the value of individual contributions.  Most will make snap judgments, and the easiest snap judgment to make is that the handful of famous people involved did all the really important stuff., It reminds me of the famous Alpher-Bethe-Gamow paper.  It’s fairly well known that there were only two “real” contributors to the paper, and the third author was thrown in just for the sake of the pun.  Since Bethe and Gamow are famous, many people assume that Alpher was the pseudo-author.  In fact Bethe was the pseudo-author and Alpher had to fight the misconception his whole professional life, becoming quite bitter about it, especially since he had foreseen the problem at the very beginning and had vehemently objected to adding Bethe (but was ultimately unable to stop Gamow)., By the way, I want to add that I think polymath1 was a great idea and a great success and I hope there will be more projects like it in the future.  Collaborative efforts like this appeal to my personal temperament a lot, and I failed to jump into polymath1 only because I didn’t have the requisite background.  But I’m keenly aware that my enthusiasm for Polymath comes partly from the fact that I’ve reached a point where I have the luxury of not worrying about having to prove to people that I’m a capable researcher.  Polymath is a good thing for mathematics as a subject, but at least in the short term it could be a threat to anyone who needs to prove their worth to others.</t>
  </si>
  <si>
    <t>C2771</t>
  </si>
  <si>
    <t>Ernie, your points are interesting — in particular, the one about the particular problem chosen. I too would love to solve the F_3 cap set problem, and there are other problems like that, that a lot of people are very keen on, where doing it collaboratively would risk putting people in a difficult position (whether to share their ideas, or just hope that the multiple collaboration is unsuccessful). I shall try to avoid such problems. But I’d be interested to know whether you would find it more demoralizing to see one of your all-time favourite problems solved quickly in this way than it would be just to see it solved by someone else using the conventional approach.</t>
  </si>
  <si>
    <t>C2772</t>
  </si>
  <si>
    <t>free time</t>
  </si>
  <si>
    <t>I have office hours now, so I will beging to write up the argument and if I won’t have too many students to show up then I will post the sketch in an hour or so.</t>
  </si>
  <si>
    <t>C2773</t>
  </si>
  <si>
    <t>agree - it looks good</t>
  </si>
  <si>
    <t>1017.  Varnavides-DHJ(k)., In 1010.1, Tim wrote “What I’m not doing is fixing almost all coordinates and taking M small wildcard sets, or something like that. Instead, I’m randomly choosing the sizes of the M wildcard sets (which I allow to add up to 1, so there are in fact no fixed coordinates at all) and then uniformly at random choosing a line from the resulting subspace.”, Tim, I think I get it now; as usual I was misinterpreting the word “subspace” and was thinking you were doing what you said you weren’t doing 🙂  I agree now that the sketch looks relatively solid.  Let me see if I can fill in some “leaves”, as you say., Great — I’m off for a couple of hours and won’t be able to do much more today, if anything.</t>
  </si>
  <si>
    <t>C2774</t>
  </si>
  <si>
    <t>Just to try to be more explicit still, let’s imagine that  and . Suppose that all sequences of six 0s and 1s are the tail of every preceding sequence, and that the two points  and  are the tails of precisely the same set of sequences, so you choose as your line the line . It seems to me that there is no reason for any point in that line to be the tail of any previous sequence. , A separate question: is the aim to construct in each  a line  in such a way that the product of the lines is fliptop (that is, insensitive to changing 1s to 2s when k=3), and  is dense in that product? My difficulty is that I don’t see the relevance of a statement about  when the line  might have 2 as one of its fixed coordinates.</t>
  </si>
  <si>
    <t>C2775</t>
  </si>
  <si>
    <t>finding time to work</t>
  </si>
  <si>
    <t>no more today</t>
  </si>
  <si>
    <t>Great — I’m off for a couple of hours and won’t be able to do much more today, if anything.</t>
  </si>
  <si>
    <t>C2777</t>
  </si>
  <si>
    <t>why I dropped out</t>
  </si>
  <si>
    <t>Though I originally I planned to contribute, and even posted some minor comments in the beginning, I dropped out for two main reasons:, 1) Keeping up with what the huge volume of comments that contained half-baked ideas required a lot of time. , 2) I felt that my efforts duplicate the efforts of the others participants in polymath. By the time I finished a thought, someone would sometimes already post something quite similar. I figured that my time is better spent on problems that do not get as much attention., Boris, Boris, I wondered why you had dropped out. Of course, it’s entirely your decision whether it was the best use of your time, but I cannot agree that the comments that you made were minor. In particular, your comments on obstructions to uniformity were a significant contribution to the discussion at that point, for which many thanks., I second what Time said about forbiding minors. I think sets satisfying equations proposed by Boris may be useful both as obstructions for unifrmity and as actual examples for sets avoiding various structures (lines etc.) Sort like the pre Behrend examples. Actually I once unoticedly duplicated a comment Boris made and felt quite proud about it…</t>
  </si>
  <si>
    <t>C2778</t>
  </si>
  <si>
    <t>how to up participation</t>
  </si>
  <si>
    <t>It occurs to me that one thing that was missing from the polymath project, which was a list of ways in which casual participants could help contribute (i.e. without first reading hundreds of comments to catch up).  I’ve put a preliminary list of this type at the bottom of the main wiki page.  It doesn’t have many suggestions right now (basically, contribute to the bibliography, or to the discussion here)), but perhaps it could be expanded., We definitely could use more visualizations (I think Thomas Sauvaget is the only one so far who has depicted c_n visually), although things would first have to be packaged in such a way that a casual participant could understand and make such a thing.</t>
  </si>
  <si>
    <t>C2779</t>
  </si>
  <si>
    <t>1018.  Is Equal-Slices of Equal-Slices equal to Equal-Slices?, Suppose we want to try to prove Varnavides-DHJ(3); as in #1010, let’s try to show that if  has equal-slices density , and we choose a random combinatorial line by drawing its template from equal-slices on , then with probability at least $\eps(\delta) &gt; 0$ the whole line is in  (assuming  is sufficiently large)., Tim’s strategy for this involves, among other things, picking a combinatorial subspace of dimension  with no free coordinates, according to some distribution ; then drawing a point from that subspace (thought of as ) from some other distribution, ., It would be particularly helpful if the overall distribution is equal-slices on .  Also helpful would be if $lambda \nu$ is a relatively “natural” distribution; also  should have full support.  (It’s also not essential that  generates subspaces with exactly  dimensions, but never mind that for now.), Here is perhaps the simplest possible proposal: Let  be equal-slices on , and let  be equal-slices on .  , The question is: might combining these two actually give equal-slices on  precisely?!  I will submit some evidence in a reply to this post., 1018.1.  Evidence., Well, my first piece of “evidence” is that in these simple probability matters, sometimes things just turn out nicely 🙂, Here is slightly more rigorous evidence…  (I would try to simply give a proof, but I haven’t the time to work on it this evening, so I thought I’d quickly throw it out there.), For my poor brain, let me fix  and fix ,  (red, green, blue)., We can think of the “outer” equal slices as choosing  uniformly, then drawing from the resulting product distribution on .  We can think of the “inner” equal slices as choosing  uniformly, then changing each  to  with probability ,  with probability , and  with probability ., If you think about it a minute, you see that the final is string is drawn from a randomly chosen product distribution  on .  That’s good!  If we could just show that that  is indeed distributed as “uniform on the -simplex” we’d be done., So how is it chosen?  Well, we think of  as being chosen first.  Then, think of  as being independent Exponential‘s.  (Of course, this does not give  numbers adding to , but we use these numbers as proportions, rather than probabilities.), Then  gets generated by putting each  into the “R” bucket with probability , into the “G” bucket with probability , and into the “B” bucket with probability .  Finally, you add up all the Exponentials in each bucket, and  is proportional to these totals., So what is the distribution on the three bucket totals?  It shouldn’t be too hard to really work it out, but let me write heuristically here.  Once  is fixed, we expect about  of the independent Exponentials to go into the R bucket, and similarly for G and B.  (Even moreso do we expect this if  is huge.)  And thinking of  as still huge, we’re adding up a huge number of i.i.d. Exponentials, so the CLT will imply that the sum will almost surely be very close to .  Similarly, the sum in the G bucket will almost surely be very close to , and again for B., But in this case, the proportions will be really close to   I.e., almost surely it seems  will be very nearly .  But  is distributed uniformly on the -simplex, as desired!, 1018.2.  I don’t think it’s exactly correct, but I still hope some variant is…</t>
  </si>
  <si>
    <t>C2780</t>
  </si>
  <si>
    <t>think about it</t>
  </si>
  <si>
    <t>I see now. One should be more careful with the selection of the fliptop lines. I still think that it is duable, but it seems that we have to consider more subspaces. I don’t have much time, but I will think about it.</t>
  </si>
  <si>
    <t>C2781</t>
  </si>
  <si>
    <t>sometimes things just turn out nicely ;)</t>
  </si>
  <si>
    <t>1018.1.  Evidence., Well, my first piece of “evidence” is that in these simple probability matters, sometimes things just turn out nicely 🙂, Here is slightly more rigorous evidence…  (I would try to simply give a proof, but I haven’t the time to work on it this evening, so I thought I’d quickly throw it out there.), For my poor brain, let me fix  and fix ,  (red, green, blue)., We can think of the “outer” equal slices as choosing  uniformly, then drawing from the resulting product distribution on .  We can think of the “inner” equal slices as choosing  uniformly, then changing each  to  with probability ,  with probability , and  with probability ., If you think about it a minute, you see that the final is string is drawn from a randomly chosen product distribution  on .  That’s good!  If we could just show that that  is indeed distributed as “uniform on the -simplex” we’d be done., So how is it chosen?  Well, we think of  as being chosen first.  Then, think of  as being independent Exponential‘s.  (Of course, this does not give  numbers adding to , but we use these numbers as proportions, rather than probabilities.), Then  gets generated by putting each  into the “R” bucket with probability , into the “G” bucket with probability , and into the “B” bucket with probability .  Finally, you add up all the Exponentials in each bucket, and  is proportional to these totals., So what is the distribution on the three bucket totals?  It shouldn’t be too hard to really work it out, but let me write heuristically here.  Once  is fixed, we expect about  of the independent Exponentials to go into the R bucket, and similarly for G and B.  (Even moreso do we expect this if  is huge.)  And thinking of  as still huge, we’re adding up a huge number of i.i.d. Exponentials, so the CLT will imply that the sum will almost surely be very close to .  Similarly, the sum in the G bucket will almost surely be very close to , and again for B., But in this case, the proportions will be really close to   I.e., almost surely it seems  will be very nearly .  But  is distributed uniformly on the -simplex, as desired!</t>
  </si>
  <si>
    <t>CTao_36609</t>
  </si>
  <si>
    <t>972 HOC, Jason, I ran the program for n=8 and solutions of weight 21. The program quickly found a solution and in a few minuets proved that it is the unique solutions of that weight.
The solution is here
http://abel.math.umu.se/~klasm/solutions-n=8-k=3-HOC-21</t>
  </si>
  <si>
    <t>C2782</t>
  </si>
  <si>
    <t>demoralized by large group solving?</t>
  </si>
  <si>
    <t>Dear Tim,, I think I would be more demoralized by a large group solving it than an individual.  Also, if the problem were solved by an individual in this way, these negative feelings would be quickly replaced by awe and admiration for that person; but, with a group solving the problem, it would be harder for me to know where to place my respect — groups are impersonal.  That said, as far as the DHJ problem is concerned, I rather liked all of the ideas that people had, and have respect for everyone involved.  The proof turned out to be very beautiful indeed!</t>
  </si>
  <si>
    <t>C2783</t>
  </si>
  <si>
    <t>visuals would be nice</t>
  </si>
  <si>
    <t>visuals require packaging for understanding</t>
  </si>
  <si>
    <t>We definitely could use more visualizations (I think Thomas Sauvaget is the only one so far who has depicted c_n visually), although things would first have to be packaged in such a way that a casual participant could understand and make such a thing.</t>
  </si>
  <si>
    <t>C2784</t>
  </si>
  <si>
    <t>Tim – an example of a woman commenting on this blog:, https://gowers.wordpress.com/2008/12/28/how-can-one-equivalent-statement-be-stronger-than-another/#comment-1547, Ah yes — I’d forgotten about Carrie, whom I know and who has an interesting blog of her own.</t>
  </si>
  <si>
    <t>C2786</t>
  </si>
  <si>
    <t>Ah yes — I’d forgotten about Carrie, whom I know and who has an interesting blog of her own.</t>
  </si>
  <si>
    <t>C2787</t>
  </si>
  <si>
    <t>this is worth doing</t>
  </si>
  <si>
    <t>I should stress here that I definitely think this is worth attempting. Even if it turns out not to work 100% straightforwardly, the following question exists and is clearly an interesting one. You have a set  of density . How large a subspace  can you find such that  has density at least  in the subspace, and membership of  in the subspace does not change if you flip a  to a ? I do not see any philosophical reason for that being significantly harder than Sperner plus induction, though such a reason might emerge I suppose.</t>
  </si>
  <si>
    <t>C2789</t>
  </si>
  <si>
    <t>anonymous</t>
  </si>
  <si>
    <t>What about Kristal Cantwell (major contributor on the 700’s/900’s thread)?  I’m just guessing from the name.</t>
  </si>
  <si>
    <t>C2790</t>
  </si>
  <si>
    <t>No paper with Bela?</t>
  </si>
  <si>
    <t>CTao_36614</t>
  </si>
  <si>
    <t>CTao_36609; CTao_36591</t>
  </si>
  <si>
    <t>973. A semi-optimist conjecture, Thanks Klas! Now I can say…, For , , This implies at least the optimist conjecture (if not the original version of the HOC, which I guess was an inequality?) which implies DHJ (3).</t>
  </si>
  <si>
    <t>C2791</t>
  </si>
  <si>
    <t>1018.2.  I don’t think it’s exactly correct, but I still hope some variant is…</t>
  </si>
  <si>
    <t>C2792</t>
  </si>
  <si>
    <t>think I've got it</t>
  </si>
  <si>
    <t>1019.  ENDS of ENDS = ENDS., I think I’ve got it now.  Define a distribution on -partitions of  called -Equal Non-Degenerate Slices (-ENDS):  To get it, take  dots in a line, consider the  gaps between them, and place  bars in these gaps, uniformly from among the  many possibilities (i.e., “without replacement”).  Then the intra-bar blocks of dots correspond to  positive integers  which add up to .  Associating block  to character , we get a distribution on “Non-Degenerate” slices (each character appears at least once).  We can extend this to a distribution on  as usual, just by randomly permuting the string., This is actually a kind of convenient variant on equal-slices, because when you’re using equal-slices to pick combinatorial lines, it’s a bit annoying to have to worry about the unlikely case of getting  wildcards., Anyway, I think it’s now easy to see that if you do -ENDS, and then you do -ENDS on that (as described in #1018), then you just get -ENDS, exactly.  Because all that’s really happening is that you’re picking  bar-spots uniformly, and then you’re picking  of those  bars to be the “final bars”, uniformly.  So that’s just the same as picking  bars uniformly to start with.  , I think.  Once again, it’s late.</t>
  </si>
  <si>
    <t>C2793</t>
  </si>
  <si>
    <t>1019.1.  “Formula does not parse” above is “(n-1 choose k-1)”. Fixed</t>
  </si>
  <si>
    <t>C2794</t>
  </si>
  <si>
    <t>google results</t>
  </si>
  <si>
    <t>1019.2.  Some googling reveals this paper (among others) which discusses in its Section 2 the proper nomenclature for this stuff, as well as related probability distributions.  , k-ENDS -&gt; “random composition into k parts”; the consequent distribution on strings is “random ordered partition into k parts”.  , dots -&gt; “balls”
bars -&gt; “walls”</t>
  </si>
  <si>
    <t>C2796</t>
  </si>
  <si>
    <t>Carrie Jenkins</t>
  </si>
  <si>
    <t>female but not mathematician</t>
  </si>
  <si>
    <t>It’s true that I am female, but I am not a mathematician by calling, so it may still be that no female mathematician has commmented. I haven’t done any proper research into this question but I have the impression that in philosophy there are a fair number of female bloggers and blog commentators (fair given the proportion of philosohers who are women). If there is a discrepancy between our disciplines it would be interesting to know why.</t>
  </si>
  <si>
    <t>CTao_36617</t>
  </si>
  <si>
    <t>made an error</t>
  </si>
  <si>
    <t>"something is strange somewhere"</t>
  </si>
  <si>
    <t>974. Linear programming, I made a data entry error causing the bounds announced earlier to be off a little bit.  Currently I can show  and , with the 361 bound improving just to 360 if one assumes e=f=g=0, and to 355 if one assumes g=1.  The 361 extremiser is (28,80,160,80,10,3,0).  , Jason, I am not sure I understand what you are getting at here.  Every solution to Fujimura gives a solution to weighted DHJ, so  always has to be at least as large as ; in particular,  has to be at least ., Actually, this now confuses me quite a bit.  Back in 923, 925, Klas found 72 22-point triangle-free sets in n=8.  This will imply the existence of many 21-point triangle-free sets also, simply by removing one point from these examples.  One can convert this to having many line-free sets with weight 21 in 8D, but the integer program tells us that there is only a unique solution… so something is strange somewhere.</t>
  </si>
  <si>
    <t>C2797</t>
  </si>
  <si>
    <t>practicallity - issues with LaTeX enabled option</t>
  </si>
  <si>
    <t>A comment purely on practical matters.  I suggested earlier that a forum might be better than a blog for this type of project but got – justifiably! – shot down because I couldn’t produce one.  Well, I can now.  bbPress(http://bbpress.org) is a forum system built by the same people that designed wordpress, and it’s designed to live happily side-by-side with wordpress.  I’ve managed to adapt one of the wordpress LaTeX plugins for use with bbPress so it is now possible to have a LaTeX-enabled forum.  If you, or anyone else, wanted to do another polymath problem and wanted to try a forum format then I’d be happy to help with setting it up.</t>
  </si>
  <si>
    <t>C2799</t>
  </si>
  <si>
    <t>explain proof</t>
  </si>
  <si>
    <t xml:space="preserve">1020  DHJ(k), Ryan, that all looks like good news — it would be very nice if we could get the technicalities to run smoothly so that they don’t obscure the main ideas, and your comments above give me hope that it will be possible., I’ve got 25 minutes to spare so I’m going to try to explain why I think that DHJ(k) is basically done too. I’m assuming for this that the proof that a line-free set correlates locally with a set of complexity k-2 is going to work out now, which seems likely, as it’s been sketched down to a pretty fine level of detail and you’ve scrutinized the parts that looked most likely to go wrong if anything was going to., In order to explain how I think the rest of the proof will go, what I need to do is explain the difference between the proof for DHJ(k) and  the proof of DHJ(3) outlined on the wiki here. , Analogue of Step 1. We need to replace 1-sets by what I call -sets. These are sets $\latex \mathcal{B}$ such that  if and only if  for some suitable collection  of disjoint (k-2)-tuples of sets and  stands for the set of places where x takes the value i. To save writing, I’ll call these simple sets. So the next obvious aim is to prove that a simple set can be approximately partitioned into subspaces. Once that’s done, I think it is fair to say that the rest of the proof is exactly as in the k=3 case., The one other thing that needs to be changed in Step 1 is that the appeal to the multidimensional Sperner theorem has to be replaced by an appeal to multidimensional DHJ(k-1), a proof of which is sketched on the wiki here. Otherwise, the changes are trivial: 3 becomes k, and  becomes our simple set  (I admit that I haven’t been through Step 1 line by line checking what I’m saying — that would use up more than my 25 minutes.), I’ve looked through Step 2 and I think all the changes needed are of the trivial variety (changing 3s to ks and that kind of thing). It might be nice at some point to write an abstract version of this argument, since what we’re using seems to be very general — that we can partition  into subspaces very conveniently, that the structure of good sets is preserved when we do so, that dense good sets contain lots of subspaces — that kind of thing., Step 3. And now we do the same trick as we did in DHJ(3) except that we have to apply Step 2 k-1 times instead of twice. The end result is that a set of complexity k-2 can be almost partitioned into subspaces, and that’s what we’re looking for. </t>
  </si>
  <si>
    <t>CTao_36623</t>
  </si>
  <si>
    <t>something is odd</t>
  </si>
  <si>
    <t>this *is* really odd</t>
  </si>
  <si>
    <t>975. HOC, Oh yes, even though the weights of the individual points represented by the edges of the lattice are larger, each complete slice has a weight that adds up to 1. This *is* really odd.</t>
  </si>
  <si>
    <t>CTao_36624</t>
  </si>
  <si>
    <t>976. Moser set n=4,     Here I am proving a partial result. Eventually I want to get the following:
If a Moser set for n=4 has 4 or more points with three 2’s it has less than 41 points.,     If a Moser set for n=4 has six or more points with three 2’s it must have less than 41 points. We note that there cannot be a point with four 2’s as then we would have 39 points. We have 5 points with exactly three 2’s and one coordinate not equal to 2. That gives 5 values not equal to 2 and four coordinates one coordinate must have the coordinate value not equal to 2 from 2 of the five points. One value must be three the other one. We slice at this point and get two cubes with the center point filled which by the n=3 section of the wiki on Moser sets must have 13 points or less. Since there are six or more points with three 2’s the center slice must have the remaining four or more. Now if we have 41 or more points it must have a center slice equal to 15 points or more. However by the Pareto-optimal statistics in the section n=3 of the wiki we see that a cube with c greater than three can have value at most 14. So there at most 13+14+13=40 points and we are done.</t>
  </si>
  <si>
    <t>CTao_36625</t>
  </si>
  <si>
    <t>977. HOC
This got me really worried too  so I have been checking things and I think I have found the problem., In order to get an integer problem with  integer coefficients I multiplied all weights with n!. For small n this is perfectly fine but for the larger n this will actually cause the bound used to specify a solution of a given weight to be too large for the datatype the linear programing solver uses for coefficients., So I created formally correct input files for the solver, but  the weights are to large for the solver I have been using. This means that the claimed uniqueness in the weighted problem for n greater than  5 is meaningless., For the other problems all weights and coefficients are 0/1 so they do not suffer from this.</t>
  </si>
  <si>
    <t>C2800</t>
  </si>
  <si>
    <t>what it take to be sufficiently established to not mind being stupid</t>
  </si>
  <si>
    <t>A thought that’s a mixture of practical and fundamental. It seems that, quite understandably, some people were reluctant to contribute because they didn’t want to seem foolish. I remember the feeling of liberation I had when I became sufficiently established not to mind asking stupid questions in seminars, but it definitely didn’t happen immediately — as a beginning graduate student I’d have been mortified to ask a question that had an answer that was obvious to most people, or that revealed some misunderstanding of what the speaker was saying. And it doesn’t seem to be enough to say, as I did at the beginning of the project, that “stupid” comments are welcome., I’ve been wondering whether there might be a way of dealing with this, by having some kind of area where people can make comments less publicly. For instance, there could be a place where everyone could post comments, but only a few moderators could read them. These moderators would then email the posters of comments, and responses could range from “Great idea — you should definitely go public on this one” at one end of the spectrum to something like “If you look at comment 126, you will see that this has already been discussed, and it doesn’t work” at the other. , That way, people could make comments without the risk of seeming foolish, except perhaps to the small team of moderators who would be chosen for their great kindness and understanding., At the moment, the main snag I can see with this idea is the possible difficulty of finding the moderators — it could be quite a bit of work. On the other hand, maybe that work would itself be a good way of getting involved., I think having that sort of gating is a terrible idea.  To my mind one of the advantages of a polymath approach is that the person who has an idea doesn’t need to be the same person who realizes its a good idea or the person who makes it work.  Recently in a smaller collaboration we had something where A suggested an idea, B gave a very compelling explanation of why it probably wouldn’t work, A bought the explanation so dropped the idea, and C didn’t buy the counterargument and went off and did the calculation, and low and behold it worked.  If A or B had been the gate keeper here then progress wouldn’t have been made., Again, I wasn’t suggesting it for all comments — definitely not. I was suggesting it only as a means of getting useful comments out of people who would otherwise have remained silent (in which case something less than perfect is better than nothing at all). But even for this it may be suboptimal — a possibly better solution is suggested below., Why on earth would anyone be afraid of making a stupid comment when it is possible to do so anonymously or pseudonymously (as I am doing)? If a shy junior researcher want to later get a share of the credit they can use a genuine email address, which can be used to authenticate them later., This is a non-issue.</t>
  </si>
  <si>
    <t>C2801</t>
  </si>
  <si>
    <t>davidspeyer</t>
  </si>
  <si>
    <t>what makes it awkward</t>
  </si>
  <si>
    <t>Personally, I think I’d feel MORE awkward having a moderator tell me which of my submissions were good than simply throwing them out to the world. But I’m pretty unembarrassed by asking questions in general, so maybe the policy shouldn’t be built around my preferences., Another option would be for participants to choose a pseudonym if they think they may be posing a naive question., The idea would be that some people would feel like you, and would post in the normal way, whereas this other space would be a different option for the benefit of people who felt the other way — if there were any., I’m going to have to agree here from my experience as a K-12 teacher — having a moderator check first would make people even more sheepish., The best thing to overcome that is to have a “critical mass” of people asking stupid questions., I know I asked at least one (there was some point I needed clarified in one argument that turned out to be trivial) but there were a couple others that came up I never posted not because I was afraid, but I didn’t want to interrupt the flow of thought. (Having threading helps with this.), I was going to cite the super-optimist conjecture I made (which was disproved in something like 10 minutes) as another stupid comment, but the semi-optimist conjecture based on it seems extremely promising, which demonstrates another reason it’s ok to ask stupid questions., I agree that the critical mass idea is better, if it happens. Also, moderators needn’t be in the position of judges — they could just offer a bit of feedback and leave it up to the potential commenter to decide what to do., Another idea, perhaps better, would be to have different comment threads, but not so much for different subject matter as for different purposes. For instance, one could have a mainly expository thread, where people could post comments like, “X wrote`by an argument similar to Shelah’s proof of the Hales-Jewett theorem. Does anyone know a good reference for that?” and somebody else might respond by sketching the proof, preferably on the wiki. And on that thread, someone who didn’t know about the area might feel happier to post a comment like, “The discussion has left me behind for now, but can someone tell me why a simple-minded argument like this doesn’t work?” and follow it with an explanation of an approach that the poster knew had no chance of working. Such a comment might be unsuitable for the main thread, because it would interrupt the flow, but nevertheless valuable as a way of improving the collective understanding of the problem., Anyhow, my proposal was just meant as a zeroth approximation. Perhaps this new one could serve as a first., While I still would prefer stupid questions to new material be addressed in the main thread (due to it being likely others may have the same question, and also to help build the critical mass) I can see a expository thread being useful for those trying to catch up with earlier material. I can’t imagine posting a question about something that happened back in the 200s long after the thread has been closed. Even asking about something that happened only 50 comments back likely seems awkward to the casual observer., Concurrent to that, the expository thread might help those simply trying to learn the subject in question (when Ryan’s comments started jumping past my knowledge I would have liked to ask about some the concepts at a more elementary level)., Just to leave my note on the balancing side, Tim’s original idea would indeed work for my personality – I would feel comfortable exposing my incomplete thoughts in a private forum to get exactly the kind of feedback Tim proposes (either “ah you have an incomplete misunderstanding”, or “that’s interesting post it to the blog and take credit”)., John, I’ve been thinking about your dilemma: instead of a thread would it help to have someone offer an open an email address designed for moderation? Then you can get a private message about if it should be put in the thread, yet because it’s a side feature it shouldn’t get anyone nervous about posting to the main thread., However, saying all that, I’m still against it. Let me give a specific example why., In the other thread I just made a “semi-optimist conjecture” which is a perfect example of a stupid comment a moderator might shoot down — it only is true by violating something in the original definitions we’ve been working with., However, because it was based on experimental data (why I formed it in the first place), it led Terry to realize something was wrong and Klas to spot the bug in the program he was using., A moderator not might not notice that connection, and we’d never spot the problem and we’d still be using the bad data., In other words, even the most basic-premise-violating of stupid comments may yield something useful., I have to agree with Jason both on the specific example and on the general principle: “dumb” questions should be encouraged (in addition to “smart” questions, of course :-).</t>
  </si>
  <si>
    <t>C2802</t>
  </si>
  <si>
    <t>The idea would be that some people would feel like you, and would post in the normal way, whereas this other space would be a different option for the benefit of people who felt the other way — if there were any.</t>
  </si>
  <si>
    <t>C2803</t>
  </si>
  <si>
    <t>Colin Reid</t>
  </si>
  <si>
    <t xml:space="preserve">why less women??? </t>
  </si>
  <si>
    <t>I think there is a certain tendency for men and women to segregate, and this tendency may be stronger on the internet than one might expect from other contexts.  I don’t have any numbers to back this up, but anecdotally at least, it seems that a blog written by a woman will have disproportionately many links to and from blogs written by women, and similarly for men, even after one allows for subject matter.  Perhaps this also applies to frequent commenters on blogs.  So it’s possible that the picture the average male or female blogger would get ‘locally’ will give a biased estimate of the internet as a whole., I have seen a few blogs by women who are interested in mathematics, but in most cases the authors seem to be either students or amateur mathematicians, rather than more established figures.  This may or may not have something to do with the overall demographics of the maths community.</t>
  </si>
  <si>
    <t>C2804</t>
  </si>
  <si>
    <t>critical mass of stupid questions, k-12 teacher</t>
  </si>
  <si>
    <t>I’m going to have to agree here from my experience as a K-12 teacher — having a moderator check first would make people even more sheepish., The best thing to overcome that is to have a “critical mass” of people asking stupid questions., I know I asked at least one (there was some point I needed clarified in one argument that turned out to be trivial) but there were a couple others that came up I never posted not because I was afraid, but I didn’t want to interrupt the flow of thought. (Having threading helps with this.), I was going to cite the super-optimist conjecture I made (which was disproved in something like 10 minutes) as another stupid comment, but the semi-optimist conjecture based on it seems extremely promising, which demonstrates another reason it’s ok to ask stupid questions.</t>
  </si>
  <si>
    <t>C2805</t>
  </si>
  <si>
    <t>proof complete</t>
  </si>
  <si>
    <t>de-anonymized</t>
  </si>
  <si>
    <t>1021.  Varnavides., Hi Tim, I think the -ary proof that line-free sets correlate with simple sets is now done to about 100% satisfaction in my mind.  I’ll try to wikify some details later, but to illustrate the simplicity with which it’s working out, here is a complete proof of Varnavides:, Assume we have DHJ(k)., Technicality: I want to say that a combinatorial line is (also) “degenerate” if the fixed coordinates do not use each character from  at least once.  Deducing DHJ(k) with this very slightly stronger notion of degeneracy is trivial., Proof of Varnavides: Assume  has density  under the “uniform -composition” distribution (i.e., equal-slices conditioned on the slice having at least one of each character).  Let  denote the least integer such that DHJ(k) guarantees the existence of a nondegenerate line in any subset of  with uniform -composition density at least ., Think of choosing  as first drawing a random -dimensional subspace  from the uniform -composition distribution, and then drawing  randomly from  according to the uniform -composition distribution.  Since  with probability at least , we know that with probability at least  over the choice of , the -uniform composition density of  is at least .  Call such ‘s “good”.  By DHJ(k) we know that for any good , there is a (nondegenerate) line inside ., Now suppose we choose a random line  in $k^n$ according to the uniform -composition distribution.  We claim that it is entirely within  with probability at least  .  To see this, again think of  as being drawn by first choosing , and then drawing a random line in  according to uniform -composition.  With probability at least   is good, in which case there is at least one nondegenerate line in .  The probability  is picked to be it is at least , since the least probability under uniform -composition of  is at least this quantity (er, or something like that)., 1021.1.  That was me again, not logged in.  I wanted to add that we can complete the whole “line-free implies correlation with simple set” proof exclusively in this uniform -composition measure rather easily, I think.  The only thing to really check is that if you choose a  fraction of the coordinates  randomly, do uniform--composition on , and then independently do uniform--composition OR uniform--composition on , then the overall probability distribution has total variation distance at most  from the usual global uniform -composition distribution.  Which is, I’m pretty sure, true.</t>
  </si>
  <si>
    <t>C2806</t>
  </si>
  <si>
    <t>how to use moderators</t>
  </si>
  <si>
    <t>I agree that the critical mass idea is better, if it happens. Also, moderators needn’t be in the position of judges — they could just offer a bit of feedback and leave it up to the potential commenter to decide what to do., Another idea, perhaps better, would be to have different comment threads, but not so much for different subject matter as for different purposes. For instance, one could have a mainly expository thread, where people could post comments like, “X wrote`by an argument similar to Shelah’s proof of the Hales-Jewett theorem. Does anyone know a good reference for that?” and somebody else might respond by sketching the proof, preferably on the wiki. And on that thread, someone who didn’t know about the area might feel happier to post a comment like, “The discussion has left me behind for now, but can someone tell me why a simple-minded argument like this doesn’t work?” and follow it with an explanation of an approach that the poster knew had no chance of working. Such a comment might be unsuitable for the main thread, because it would interrupt the flow, but nevertheless valuable as a way of improving the collective understanding of the problem., Anyhow, my proposal was just meant as a zeroth approximation. Perhaps this new one could serve as a first.</t>
  </si>
  <si>
    <t>C2807</t>
  </si>
  <si>
    <t>1021.1.  That was me again, not logged in.  I wanted to add that we can complete the whole “line-free implies correlation with simple set” proof exclusively in this uniform -composition measure rather easily, I think.  The only thing to really check is that if you choose a  fraction of the coordinates  randomly, do uniform--composition on , and then independently do uniform--composition OR uniform--composition on , then the overall probability distribution has total variation distance at most  from the usual global uniform -composition distribution.  Which is, I’m pretty sure, true.</t>
  </si>
  <si>
    <t>C2809</t>
  </si>
  <si>
    <t>Erdos Number - potentially a duplicated comment?</t>
  </si>
  <si>
    <t>As do Randall (via Hindman) and I (via Bollobas or Saks).  Tim &amp; Terry, you’re the outliers 🙂</t>
  </si>
  <si>
    <t>C2810</t>
  </si>
  <si>
    <t>no gatekeeping</t>
  </si>
  <si>
    <t>I think having that sort of gating is a terrible idea.  To my mind one of the advantages of a polymath approach is that the person who has an idea doesn’t need to be the same person who realizes its a good idea or the person who makes it work.  Recently in a smaller collaboration we had something where A suggested an idea, B gave a very compelling explanation of why it probably wouldn’t work, A bought the explanation so dropped the idea, and C didn’t buy the counterargument and went off and did the calculation, and low and behold it worked.  If A or B had been the gate keeper here then progress wouldn’t have been made.</t>
  </si>
  <si>
    <t>C2811</t>
  </si>
  <si>
    <t>not gatekeeping but drawing out ... interesting use for moderators (almost like local omniscience for teachers)</t>
  </si>
  <si>
    <t>Again, I wasn’t suggesting it for all comments — definitely not. I was suggesting it only as a means of getting useful comments out of people who would otherwise have remained silent (in which case something less than perfect is better than nothing at all). But even for this it may be suboptimal — a possibly better solution is suggested below.</t>
  </si>
  <si>
    <t>C2812</t>
  </si>
  <si>
    <t>somewhere/way to ask elementary conceptual questions</t>
  </si>
  <si>
    <t>While I still would prefer stupid questions to new material be addressed in the main thread (due to it being likely others may have the same question, and also to help build the critical mass) I can see a expository thread being useful for those trying to catch up with earlier material. I can’t imagine posting a question about something that happened back in the 200s long after the thread has been closed. Even asking about something that happened only 50 comments back likely seems awkward to the casual observer., Concurrent to that, the expository thread might help those simply trying to learn the subject in question (when Ryan’s comments started jumping past my knowledge I would have liked to ask about some the concepts at a more elementary level).</t>
  </si>
  <si>
    <t>C2813</t>
  </si>
  <si>
    <t>Anonymous</t>
  </si>
  <si>
    <t xml:space="preserve">start another thread - chaotic with multiple threads, hard work to browse ... what to do </t>
  </si>
  <si>
    <t>&gt; I definitely intend to start another polymath project, How about allowing all interested parties to record their e-mail
addresses somewhere to be notified when this new project starts off?, &gt; I would be very interested to hear from anyone who thought that they
&gt; might like to contribute but ended up not doing so., One of the reasons for me is that the project was spread in a pretty
chaotic way between half-a-dozen+ threats, and just browsing all these
threads systematically is a lot of work! It was probably a good idea to
keep the project non-linear, but it would be great to have this
non-linearity well-organized. (No practical suggestions though as to
exactly how to organize it.), Another reason is the absence of appropriate references and the fact that
not all participants always made enough effort to be clear and present
appropriate context. As a curious example: I know from Tim’s
introduction to this thread that the problem seems to be solved, but I do
not know where to look for the solution! (Is it in the “second outline of a
density-increment argument”? I can only guess!)</t>
  </si>
  <si>
    <t>CTao_36634</t>
  </si>
  <si>
    <t>frustration &amp; can we test something</t>
  </si>
  <si>
    <t>978. Making c^mu_n tractable, This is starting to get frustrating to work with in that we have no good way to approach c^mu_n by hand. Is there at least a conjecture we can make here that if true which might help us get a handle on it?</t>
  </si>
  <si>
    <t>C2814</t>
  </si>
  <si>
    <t>who writes it</t>
  </si>
  <si>
    <t>This comment is mainly aimed at the participants in polymath1, though others may have useful thoughts about it. , It does seem very much as though we should be writing up a complete proof of DHJ(k). Up to now, the policy has been that whoever can first be bothered to write something up (on the wiki) does so, but I think for the actual paper a bit more planning is required, both of the write-up itself (how to organize the paper into sections and subsections, etc.) and of how we go about producing it. To get the discussion started, here are a few thoughts., 1. I have one or two very strong, but I think uncontroversial, views about the style of the paper: basically, it should be as easy to understand as possible, and aimed at a reader who is not necessarily an expert in additive combinatorics. So if anybody else writes part of the paper and I find it hard to understand, I will have a strong desire to rewrite it. I also like to err on the side of putting in too much detail of proofs rather than too little. (So not too many “it is easy to show that”s and the like.), 2. If, as seems to be the case, the proof has a nice modular structure, then we should work it out in advance. Then in principle different people could write (first drafts of) different modules., 3. I wouldn’t in fact mind writing the whole lot, at least if I could consult people from time to time. (I’m thinking particularly of Ryan and some of his nice arguments that should make parts of the proof run much more smoothly.) So I don’t think anyone should do any writing unless they would positively like to. But if they would positively like to, then I think we should share the writing in some appropriate way., I’m sure I had some other thoughts, but they temporarily escape me and I’ve got to go for now.</t>
  </si>
  <si>
    <t>C2815</t>
  </si>
  <si>
    <t>advantage of a moderator</t>
  </si>
  <si>
    <t>Just to leave my note on the balancing side, Tim’s original idea would indeed work for my personality – I would feel comfortable exposing my incomplete thoughts in a private forum to get exactly the kind of feedback Tim proposes (either “ah you have an incomplete misunderstanding”, or “that’s interesting post it to the blog and take credit”).</t>
  </si>
  <si>
    <t>C2816</t>
  </si>
  <si>
    <t xml:space="preserve">not enough expertise to comment </t>
  </si>
  <si>
    <t>Like many others, I followed the project at the beginning of the threads but since I didn’t have a particular expertise to draw on to start making comments, and then had other work/duties to take care of, I couldn’t continue reading thoroughly all the comments.
But this is definitely a very remarkable project.  I actually think of it as a great illustration of how research works, which may be enormously useful by being completely open (so it can be given as example to people wondering what research is like…).  Even if the framework and the number of people involved was very purposely different from the usual way mathematical research evolves, I still see a lot of similarities.</t>
  </si>
  <si>
    <t>C2817</t>
  </si>
  <si>
    <t>Congratulations to all who worked on this project!  I think that the solution of  DHJ(3) will help spread the word and probably any follow up project will have more initial participants and if that level persists throughout the pace will be faster. I worked mostly on the thread on DHJ numbers. I enjoyed my experience I can’t think of any major changes I want made. I suspect with time and increasing number of participants a lot of small changes will occur to make things run smoother as problems come up and are solved.</t>
  </si>
  <si>
    <t>CTao_36636</t>
  </si>
  <si>
    <t>see e.g. Jakobsen.210, Jakobsen.216, Tao.219, Peake.220; CTao_36634</t>
  </si>
  <si>
    <t>return to earlier method</t>
  </si>
  <si>
    <t>also a cross-thread reference</t>
  </si>
  <si>
    <t>979.  , Well, we may have to go back to the very small values of n.  For instance, I can work out  by hand, but already  is rather challenging.  My guess is that we should be looking at the slice densities  of the line-free set A, and finding linear relations between them, perhaps to throw into an integer program to maximise , which is the maximal sum of all the .  (This of course sounds a lot like what Klas is doing, but this will be an integer program on  variables rather than  variables, and so has a chance of being scaled up to reasonable values of n, such as 6 or 7.)  We actually did a little bit of this way back in the 200 thread (see e.g. Jakobsen.210, Jakobsen.216, Tao.219, Peake.220).  , We know that given any equilateral triangle, the sum of the  in that triangle adds up to at most 2.  This should already give some bound; after finding that bound, we can see how to improve it.</t>
  </si>
  <si>
    <t>C2818</t>
  </si>
  <si>
    <t>multi-author issues; if there are HiPPOs in the list, would there be any value of lesser animals contributing?</t>
  </si>
  <si>
    <t>Here’s a related difficulty.  Suppose I take the attitude, “If you can’t beat ’em, join ’em.”  That is, when I see Polymath getting interested in one of my problems, I decide to join Polymath.  Even if things work out beautifully from a mathematical point of view—say my ideas prove to be critical, while at the same time I could not have had those ideas without the input of others, and the problem is solved when it might not have been solved otherwise—it might not work out well from the point of view of getting credit.  I’ve already encountered the following reaction from some people when I tell them about polymath1: “Oh, that just proves once again that Gowers and Tao are geniuses.”  It confirms a suspicion I had before polymath1 really got started—few people are going to sort through the 1000 comments to assess the value of individual contributions.  Most will make snap judgments, and the easiest snap judgment to make is that the handful of famous people involved did all the really important stuff., It reminds me of the famous Alpher-Bethe-Gamow paper.  It’s fairly well known that there were only two “real” contributors to the paper, and the third author was thrown in just for the sake of the pun.  Since Bethe and Gamow are famous, many people assume that Alpher was the pseudo-author.  In fact Bethe was the pseudo-author and Alpher had to fight the misconception his whole professional life, becoming quite bitter about it, especially since he had foreseen the problem at the very beginning and had vehemently objected to adding Bethe (but was ultimately unable to stop Gamow).</t>
  </si>
  <si>
    <t>C2819</t>
  </si>
  <si>
    <t>not the right expertise, luxury of not having to prove worth to others</t>
  </si>
  <si>
    <t>By the way, I want to add that I think polymath1 was a great idea and a great success and I hope there will be more projects like it in the future.  Collaborative efforts like this appeal to my personal temperament a lot, and I failed to jump into polymath1 only because I didn’t have the requisite background.  But I’m keenly aware that my enthusiasm for Polymath comes partly from the fact that I’ve reached a point where I have the luxury of not worrying about having to prove to people that I’m a capable researcher.  Polymath is a good thing for mathematics as a subject, but at least in the short term it could be a threat to anyone who needs to prove their worth to others.</t>
  </si>
  <si>
    <t>C2820</t>
  </si>
  <si>
    <t>how could a proof expand?</t>
  </si>
  <si>
    <t>1022.  Shelah, While I wait for reaction about how we should go ahead with writing things up (see this comment), I want to continue thinking a bit about whether the proof we have could be Shelah-ized. Terry said in a comment some time ago that he is a big fan of translating things back and forth between combinatorial and ergodic languages. I (in common with just about every mathematician) am a big fan of “completing the square,” by which I mean completing puzzles of the form “A is to B as C is to ??” For example, “corner is to combinatorial line as large grid is to ??” the answer to which turned out, not completely expectedly, to be “ for some large “. And that was just one part of a bigger such puzzle: “the Ajtai-Szemerédi proof of the corners theorem is to the triviality that a dense subset of  contains two distinct points as ?? is to the proof of Sperner’s theorem.”, So here I would like to think about the puzzle, “The colour-focusing proof of the Hales-Jewett theorem is to Shelah’s proof of the Hales-Jewett theorem as the proof we now have of DHJ(k) is to ??”, The reason I am drawn to this is that I once lectured both proofs of the Hales-Jewett theorem and came to a very clear understanding of the relationship between them, which I’ll have to reconstruct, but I remember it as being natural enough that it will be easy to reconstruct. When I have a spare moment, I’ll write something about this on the wiki, but for now let me just say that Shelah’s basic idea can be interpreted as follows: whereas the old proof of HJ(k) used HJ(k-1) to reduce the problem to the almost trivial HJ(2), Shelah’s new proof used HJ(2) to reduce the problem to HJ(k-1). As I say, I’ll justify that at some point, but here I just want to take that thought and have a stab at applying it to DHJ(k) instead., Of course, I’m not sure that it’s possible to do so, but just having the goal in mind does, I think, suggest some questions. For instance, here’s a place in the proof where DHJ(k-1) comes into the proof of DHJ(k). One first passes to a subspace, which we’ll notate as though it is the whole space, such that the density of  is almost  and the density of  in  is still positive. Writing  for , we use  to construct a dense set  of complexity  that is disjoint from . It doesn’t matter too much what all this means: the main point is that once we have a set of complexity  we are able to hit it with DHJ(k-1)., So a natural question, if we are trying to Shelah-ize, is whether we can construct some set of complexity 1 (which means it’s hittable with DHJ(2), aka Sperner) and thereby, somehow, create a fliptop subspace inside which  is dense. Recall that a fliptop subspace is one inside which if you change any coordinate with value k-1 to a k, then you don’t change whether the point x belongs to the set . So if your set is dense in such a subspace (or rather, dense in the  part of the subspace) then you can hit it with DHJ(k-1) and finish off the proof immediately. Because DHJ(k-1) is used just as the inductive step and not as some part of an iterative procedure for getting to the inductive step, a proof of this kind should be far better quantitatively., In my next comment I shall think about the following question: are there any complexity-1 sets that can be derived from a set ? For now, I don’t care whether we can actually use them.</t>
  </si>
  <si>
    <t>C2821</t>
  </si>
  <si>
    <t>Regarding writing: what I plan to do soonish for the small-n side of the project is to plonk down on the wiki a skeletal outline of what the paper should look like (basically, section headings with a description of what would go inside them).  This would not be in LaTeX, but just informal English at this point.  Then the various stakeholders in the project can debate moving around the outline until it stabilises.  At that point, I am envisaging converting the outline to a LaTeX template (to use as a baseline), and then have people contribute sections.  At some late stage, these sections will be merged into a single paper.  This plan may evolve depending on how impractical it becomes to do all this., I don’t know yet what to do with the “Author” field of a paper.  It is tempting to go the Bourbaki route and just have “A. Polymath” as the author (but presumably we will still need a human as the corresponding author, and of course in the main text of the paper we will expand out Polymath into a set of humans).  On the other hand, for the purposes of citation counts, etc., which are (for better or for worse) valued in certain job evaluation metrics, we may need to put the names of participants in the author field.  But then the question arises where one draws the line – does everyone who contributed a comment get billed as an author?  It’s a bit of a delicate issue.  And, for the reasons that Timothy mentioned above, there is the danger of the authorship list degenerating over time to something like “Gowers et al.”.  , I suppose this issue must already come up in the physical and life sciences, where one routinely has papers with dozens of authors involved.  I wonder how they deal with this problem…, I’d be happy to do something similar for the large-n side, if others were happy to let me. Of course, that too would be just a starting point for debate., I had imagined that the author would be Polymath, and that instead of mentioning authors there would be a link to the blog. (Or perhaps, since the blog has my name on it, it would be better to have a link to the wiki instead.) I am reluctant to have any names on the paper, for precisely the “Where do you draw the line?” reason: excluding anybody is very much not in the spirit of the project, but appearing on MathSciNet as a result of one small remark doesn’t make much sense either. It’s a knotty problem. I had imagined that on my CV I would put polymath papers to which I felt I had made a serious contribution in a separate section on my publication list, together with an explanatory note., I can see that this comment is not going to be the end of this particular conversation., I would not be too defeatist about existing metrics for measuring contributions to a collaborative exercise like this. It is a new way of doing things, and an experiment in opening up new possibilities., This has two implications – those who contribute to the early efforts, and make worthwhile contributions, will register for the novelty value – and their contribution is overt and public. People can see exactly who has contributed and how., If the Polymath way of doing things takes off so it becomes a regular way of doing collaborative mathematics, the metrics will have to change to take this new way of working into account., It would be a real shame if the bold approach to doing mathematics were stifled by a belief that the structures could not be changed. I know structures can be conservative and appear rather stupid and unresponsive – but they can be challenged too., And on moderation – I can imagine, maybe some time hence, research grants approved to fund the moderation of some polymath project – the challenge, given the comments about people being busy, is to find a funding model which encourages participation – thus speaks the accountant, On the credit issue:, I would probably vote for the “Bourbaki” method, for a couple of reasons: One, it’s relatively fair; I’m not sure it could lead to any significantly hurt feelings.  Two, I believe it’s what Tim originally proposed, so one might argue that by contributing to the project, people were implicitly accepting his original rules.  Three, I agree with Tim that it’s fine if a person lists their participation in a polymath project on their CV if they felt it was significant.  , I would also be okay with the anybody-and-everybody-in-the-authors-list (alphabetized) method; in this case, if a person really felt they hadn’t contributed, they would be free to ask for their name to be removed.  Personally, I don’t think it’s overly nonsensical to have dozens of people credited on mathscinet (why not? is my opinion), but I can certainly understand the position that it is., I’d probably be against how they do it in the physical and life sciences, which I believe is to order the authors by some kind of importance measure., Terry – On the issue of how the physical sciences deal with it, it’s very common to just refer to the name of a collaboration.    For example, it’s well known that the top quark was discovered by the CDF collaboration at FermiLab: http://en.wikipedia.org/wiki/Collider_Detector_at_Fermilab , I’m not a high energy physicist, so I don’t entirely understand how this impacts on jobs, but I imagine the main impact is to make letters of recommendation more important.  My understanding is that the big collaborations have internal report series they use to help organize the collaborations internally.  These would seem to play a role analogous to the blog and wiki discussion in Polymath, albeit far less open.</t>
  </si>
  <si>
    <t>C2822</t>
  </si>
  <si>
    <t>potential duplicate (is it threaded?</t>
  </si>
  <si>
    <t>I’d be happy to do something similar for the large-n side, if others were happy to let me. Of course, that too would be just a starting point for debate., I had imagined that the author would be Polymath, and that instead of mentioning authors there would be a link to the blog. (Or perhaps, since the blog has my name on it, it would be better to have a link to the wiki instead.) I am reluctant to have any names on the paper, for precisely the “Where do you draw the line?” reason: excluding anybody is very much not in the spirit of the project, but appearing on MathSciNet as a result of one small remark doesn’t make much sense either. It’s a knotty problem. I had imagined that on my CV I would put polymath papers to which I felt I had made a serious contribution in a separate section on my publication list, together with an explanatory note., I can see that this comment is not going to be the end of this particular conversation.</t>
  </si>
  <si>
    <t>C2823</t>
  </si>
  <si>
    <t>1023.  Shelah., Continuing on from 1022, a completely simple-minded idea would be to pass to a subspace such that  is dense in  and still had density almost . (I’m just going to assume that that’s fine.) If we write  for  then what set  can we construct from ? , In the other argument, we looked at all sequences  such that, for every , if you change all s to s then you get a sequence in . Here, it is clear, we are going to have to do a much more radical collapsing of the sequence. One possibility, which may be nonsense, would be to convert all non-1 coordinates into 2s. In other words, we let  be the set of all x such that the 1-set of x is equal to the 1-set of some sequence in ., In the other argument, we then argued that  is disjoint from  if it does not contain a combinatorial line. What happens here? Well, bearing in mind that (using the Shelah proof as a guide) we are not trying to go straight for a combinatorial line, but rather for a fliptop subspace, we should perhaps assume as our hypothesis that  does not contain such a subspace., Turning that round, we would want to prove that if  intersects  then it contains a fliptop subspace. (This doesn’t sound true, but let’s see what’s wrong with it first.) , For  to intersect  we need a sequence  such that if you convert all its non-1s into 2s, then you get a sequence of 1s and 2s that also belongs to . Why should that be interesting? I don’t know. , But suppose instead that we managed to find quite a large subspace S of such points. Then if x belonged to  and had a variable coordinate equal to 2, we would … no, I don’t see where this goes., Part of the problem is that I seem to be going for the fliptop subspace to be contained in , whereas what I should be aiming for is merely that  is dense in the fliptop subspace (which actually seems to be a flipbottom subspace). , I’m going to stop this comment here — I hope I’ve demonstrated the flavour of the argument that I think might conceivably exist., 1023.1   I should have added the remark that the set  has complexity 1.</t>
  </si>
  <si>
    <t>C2824</t>
  </si>
  <si>
    <t>1023.1   I should have added the remark that the set  has complexity 1.</t>
  </si>
  <si>
    <t>C2825</t>
  </si>
  <si>
    <t>writing</t>
  </si>
  <si>
    <t>interesting threading here?</t>
  </si>
  <si>
    <t>1024.  Austin’s proof, I’ve written down an informal (and sketchy) combinatorial translation of the k=3 case of Austin’s argument at, http://michaelnielsen.org/polymath1/index.php?title=Austin%27s_proof, It’s actually very much in the style of the proof of the triangle-removal lemma, especially if one takes an analytic perspective rather than a combinatorial one and talks about decomposing functions rather than regularising graphs.  In particular, it’s best to avoid thinking in the classical language of vertices and take a more “point-less” approach in the spirit of probability theory or ergodic theory (or operator algebras, for that matter), thus for instance one should think about averages of products of functions rather than counting triangles etc.  One reason for shifting one’s thinking this way is that it allows one to think about strong stationarity in a civilised way, whereas this concept becomes really difficult to work with if one insists on holding on to concrete vertices and edges.  (In classical combinatorial language, being strongly stationary is like saying that a certain graph is a  “statistically equivalent” to the subgraph formed by restricting of its vertex set from a big space such as 3^n to a randomly chosen subspace; but defining what “statistically equivalent” means precisely is sort of a pain unless one decides to give up on vertices altogether.), It’s also clear that this proof will end up being messier than the pure density-increment proof (though cleaner than a finitisation of the Furstenberg-Katznelson proof), and give worse bounds, in large part because one has to apply Graham-Rothschild (with parameters given in turn from a Szemeredi-type regularity lemma!) to get the initial strong stationarity properties.  It looks possible to use density increment arguments as a substitute for Graham-Rothschild, but this is still going to have quite lousy bounds., 1023.1  Information-theoretic approach, Hmm, it occurs to me now that the information-theoretic approach to the regularity lemma that I laid out in, http://front.math.ucdavis.edu/math.CO/0504472, (where I “regularise” random variables using Shannon entropy) is actually well suited to this problem, and may lead to a relatively slick (albeit alien-looking) proof.  What I may do at some point is begin by showing how by playing around with conditional Shannon entropies of various random variables, one can establish the triangle removal lemma, and I believe that this proof may extend relatively painlessly to the case under consideration.  More on this later…</t>
  </si>
  <si>
    <t>C2826</t>
  </si>
  <si>
    <t>test a method</t>
  </si>
  <si>
    <t>1025.  Always the uniform-ordered-partition distribution., Following up on my comment #1006, I feel somewhat sure that we can work entirely within the uniform-ordered-partition distribution (i.e., “equal-nondegenerate-slices”).  I’m going to try to write it down now to be sure, but if it’s correct, it should mean that “DHJ(k)=&gt;Varnavides”, “DHJ(k)=&gt;multidimensional-DHJ(k)”, and hopefully also “line-free sets correlate with simple sets” can all be proved with simple arguments.  , More precisely, they will be the same simple arguments we have now, but with no annoyances due to all the tedious passing back and forth between various distributions via subspaces., 1025.1  Wow — I very much hope you’re right about this. I suppose the bit that would be hardest (but not obviously impossible) would be “simple sets can be almost partitioned into subspaces”. In the uniform measure you are then done, but in other measures you can’t instantly argue that a set of density  inside the simple set must have density almost  on one of the subspaces., But that could well be just another little task to add to your collection. Now the idea would be to prove that the measure on a simple set can be written as a positive linear combination of the measures on subspaces. If that too can be done cleanly in the UOPD/ENS then we are in fantastic shape.</t>
  </si>
  <si>
    <t>C2827</t>
  </si>
  <si>
    <t>response; potential pivot? wow I hope you're right?</t>
  </si>
  <si>
    <t>1025.1  Wow — I very much hope you’re right about this. I suppose the bit that would be hardest (but not obviously impossible) would be “simple sets can be almost partitioned into subspaces”. In the uniform measure you are then done, but in other measures you can’t instantly argue that a set of density  inside the simple set must have density almost  on one of the subspaces., But that could well be just another little task to add to your collection. Now the idea would be to prove that the measure on a simple set can be written as a positive linear combination of the measures on subspaces. If that too can be done cleanly in the UOPD/ENS then we are in fantastic shape.</t>
  </si>
  <si>
    <t>C2828</t>
  </si>
  <si>
    <t>1023.1  Information-theoretic approach, Hmm, it occurs to me now that the information-theoretic approach to the regularity lemma that I laid out in, http://front.math.ucdavis.edu/math.CO/0504472, (where I “regularise” random variables using Shannon entropy) is actually well suited to this problem, and may lead to a relatively slick (albeit alien-looking) proof.  What I may do at some point is begin by showing how by playing around with conditional Shannon entropies of various random variables, one can establish the triangle removal lemma, and I believe that this proof may extend relatively painlessly to the case under consideration.  More on this later…</t>
  </si>
  <si>
    <t>C2829</t>
  </si>
  <si>
    <t>writing the paper</t>
  </si>
  <si>
    <t>paper</t>
  </si>
  <si>
    <t>stall request</t>
  </si>
  <si>
    <t>Could we hold off on the actual writing for at least a little bit?  I feel it might make the final paper significantly better if the ideas gestated slightly.  , I certainly have had the experience of figuring out a complicated proof of a theorem and happily writing out the 30-page proof, only to see later that it could have been done in 10 pages, and more clearly, if I had taken the time to think the argument out carefully., I mean, it doesn’t hurt to write the 30-page proof immediately, but it could lead to some wasted effort., Having seen the wonderful cleaning up that you appear to be managing to do, I agree with you. I was slightly rattled by Gil Kalai’s suggestion that perhaps it was wrong to declare the problem (probably) solved, but my confidence in the proof increases with each comment you post (not to mention each time I revisit the argument and find no nasty surprises)., Well, like Gil I am also too nervous as a rule to declare any result proved until the last t is crossed, but that’s why I’m trying to go through the whole thing now slowly…</t>
  </si>
  <si>
    <t>C2830</t>
  </si>
  <si>
    <t>more confidence each time a revisit doesn't lead to nasty surprises</t>
  </si>
  <si>
    <t>Having seen the wonderful cleaning up that you appear to be managing to do, I agree with you. I was slightly rattled by Gil Kalai’s suggestion that perhaps it was wrong to declare the problem (probably) solved, but my confidence in the proof increases with each comment you post (not to mention each time I revisit the argument and find no nasty surprises).</t>
  </si>
  <si>
    <t>C2831</t>
  </si>
  <si>
    <t>structures can be challenged - don't give up on collaboration because of old structure for credit</t>
  </si>
  <si>
    <t>I would not be too defeatist about existing metrics for measuring contributions to a collaborative exercise like this. It is a new way of doing things, and an experiment in opening up new possibilities., This has two implications – those who contribute to the early efforts, and make worthwhile contributions, will register for the novelty value – and their contribution is overt and public. People can see exactly who has contributed and how., If the Polymath way of doing things takes off so it becomes a regular way of doing collaborative mathematics, the metrics will have to change to take this new way of working into account., It would be a real shame if the bold approach to doing mathematics were stifled by a belief that the structures could not be changed. I know structures can be conservative and appear rather stupid and unresponsive – but they can be challenged too., And on moderation – I can imagine, maybe some time hence, research grants approved to fund the moderation of some polymath project – the challenge, given the comments about people being busy, is to find a funding model which encourages participation – thus speaks the accountant</t>
  </si>
  <si>
    <t>C2832</t>
  </si>
  <si>
    <t>On the credit issue:, I would probably vote for the “Bourbaki” method, for a couple of reasons: One, it’s relatively fair; I’m not sure it could lead to any significantly hurt feelings.  Two, I believe it’s what Tim originally proposed, so one might argue that by contributing to the project, people were implicitly accepting his original rules.  Three, I agree with Tim that it’s fine if a person lists their participation in a polymath project on their CV if they felt it was significant.  , I would also be okay with the anybody-and-everybody-in-the-authors-list (alphabetized) method; in this case, if a person really felt they hadn’t contributed, they would be free to ask for their name to be removed.  Personally, I don’t think it’s overly nonsensical to have dozens of people credited on mathscinet (why not? is my opinion), but I can certainly understand the position that it is., I’d probably be against how they do it in the physical and life sciences, which I believe is to order the authors by some kind of importance measure.</t>
  </si>
  <si>
    <t>C2833</t>
  </si>
  <si>
    <t>Well, like Gil I am also too nervous as a rule to declare any result proved until the last t is crossed, but that’s why I’m trying to go through the whole thing now slowly…</t>
  </si>
  <si>
    <t>C2834</t>
  </si>
  <si>
    <t xml:space="preserve">writing half-baked remarks </t>
  </si>
  <si>
    <t>1026.  Does triangle removal imply DHJ(3)?, A wild thought this one, especially as it’s close to an idea I had several years ago and couldn’t get to work. But with the benefit of a bad memory (something that is very helpful in mathematics, in my view) I now can’t see what is wrong with it., The idea is sort of ridiculous. Let’s pass to a subspace in which, notating it as ,  has average density at least  in the slices up to , where  is much smaller than . Sorry — by that I mean slices where the 1-set and 2-set are of size at most . , The hope now is that the disjointness graph becomes dense (because two sets of size  are almost always disjoint), so we can just apply the usual triangle-removal lemma. My one reason for not completely dismissing this idea is that when I tried it all those years ago I did not have the concept of equal-slices measure to play with. , Unfortunately, it doesn’t become dense. Only the UV-part of it is dense (because it is just the 1-set and the 2-set that I am assuming to be small)., Let me ask a slightly different question, which probably has a fairly easy answer, and that answer will probably kill off this little idea. Given  points in  (where  can be as big as you like), how many combinatorial lines can they contain?, Well, if you don’t care about the dimension, then the number of lines might be  Just take 0-1 sequences as i zeros followed by n-i ones  (for every i) and 0-2 sequences where the zeros are followed by two-s. For any pair of such 0-1 sequences there is a third 0-2, giving a line. So this number itself won’t show that your plan won’t work., I don’t understand — large should mean  surely? Or perhaps  but with the three bipartite graphs dense., Probably I don’t understand the question. Isn’t it so that two points define the line uniquely. In any case, my example won’t work., As it happened before, I didn’t read your post carefully. It is an extremely busy period for me; heavy teaching, committees, etc. So, I’m just writing those “half baked remarks” as Boris would say. I will try to refrain from that in the future.</t>
  </si>
  <si>
    <t>C2835</t>
  </si>
  <si>
    <t>hmmmm</t>
  </si>
  <si>
    <t>why a fear of stupid comments</t>
  </si>
  <si>
    <t>Why on earth would anyone be afraid of making a stupid comment when it is possible to do so anonymously or pseudonymously (as I am doing)? If a shy junior researcher want to later get a share of the credit they can use a genuine email address, which can be used to authenticate them later., This is a non-issue.</t>
  </si>
  <si>
    <t>C2836</t>
  </si>
  <si>
    <t>SECOND VOICE</t>
  </si>
  <si>
    <t>Well, if you don’t care about the dimension, then the number of lines might be  Just take 0-1 sequences as i zeros followed by n-i ones  (for every i) and 0-2 sequences where the zeros are followed by two-s. For any pair of such 0-1 sequences there is a third 0-2, giving a line. So this number itself won’t show that your plan won’t work.</t>
  </si>
  <si>
    <t>C2837</t>
  </si>
  <si>
    <t>CONVERSATION</t>
  </si>
  <si>
    <t>I don’t understand — large should mean  surely? Or perhaps  but with the three bipartite graphs dense.</t>
  </si>
  <si>
    <t>C2838</t>
  </si>
  <si>
    <t>Probably I don’t understand the question. Isn’t it so that two points define the line uniquely. In any case, my example won’t work.</t>
  </si>
  <si>
    <t>C2839</t>
  </si>
  <si>
    <t>justify earlier comment</t>
  </si>
  <si>
    <t>1027.  A single distribution?, In preparation for trying to justify what I wrote in 1025, I have written this document explaining the distribution.  I’ll wikify it if and only if this scheme works out and proves helpful 🙂, 1027.1  I wrote some more here but I’ve gotten too sleepy to finish tonight.  I’ll try to finish tomorrow and explain it properly in a post, but I have to go out of town tomorrow too…</t>
  </si>
  <si>
    <t>C2840</t>
  </si>
  <si>
    <t>Daniel Moskovich</t>
  </si>
  <si>
    <t>not close enough to what I do for me to know how to contribute ************ (me: people need a way to analogize to their areas of expertise!!!!!!!!!!!!!!)</t>
  </si>
  <si>
    <t>I think it went really well… I know nothing about the field, but you solved a hard problem really quickly.
I think it had a lot to do with the “celebrity power” of Tim and Terry, though…
Like a lot of other people, I wish for a polymath project closer to what I actually do… and I have a concrete suggestion.
There are lots of problems involving combinatorics of Jacobi diagrams. These form a graded vector space over a field F (usually Q) spanned by finite graphs whose vertices have valence 1 or 3, and whose trivalent vertices are oriented (clockwise or counterclockwise), modulo a couple of local relations (called AS and IHX). See e.g. http://cornellmath.wordpress.com/2007/12/18/chord-diagrams-understanding-the-4t-relation/
They arise in quantum topology for knots and 3-manifolds. I think that some of these problems would make great polymath problems, and not only because I am personally interested in them, but because these problems admit many different avenues of attack (quantum algebra methods, number theory methods, combinatorics…), are accessible, have significant implications in quantum topology, and (I think) are beautiful. For example, can any Jacobi diagram be expressed via AS and IHX as a sum over F of planar Jacobi diagrams? (conjecture of S. Duzhin) Do all Jacobi diagrams with an odd number of 1-valent vertices vanish modulo AS and IHX?, 1. If you were to start such a project, and if you assured me that there would be no danger of it rolling all over some research student’s PhD thesis, then I would be happy to give it lots of publicity on this blog., 2. If you were to explain the problems in clear and purely combinatorial ways (or perhaps combinatorial with just a hint of algebra …) then I might even try to participate., The same goes for anyone else who thinks they might like to start an open collaboration. But 1 is quite important — I think we need procedures for dealing with this problem, and I don’t think we’ve thought through it properly yet.</t>
  </si>
  <si>
    <t>C2841</t>
  </si>
  <si>
    <t>As it happened before, I didn’t read your post carefully. It is an extremely busy period for me; heavy teaching, committees, etc. So, I’m just writing those “half baked remarks” as Boris would say. I will try to refrain from that in the future.</t>
  </si>
  <si>
    <t>CTao_36652</t>
  </si>
  <si>
    <t>770; 778</t>
  </si>
  <si>
    <t>980 Linear Programming., In 770 Terry described that improvements on bounds of type
4D:  etc help improving bounds in dimension 7., I expect, that for In dimension 4, with e=1  a much better result holds.
In 778 KS Chua mentioned that the best example of this type he found had
36 points, (and his programme found a 124 point example in 5D)., Also, those programmes that classified the 43 extremisers could hopefully
be adapted to verify the maximum number of points in 4D., If 36 is the maximum, this gives
, Similar, for 5D I would expect a considerable gain over the currently used
.</t>
  </si>
  <si>
    <t>C2842</t>
  </si>
  <si>
    <t>1027.1  I wrote some more here but I’ve gotten too sleepy to finish tonight.  I’ll try to finish tomorrow and explain it properly in a post, but I have to go out of town tomorrow too…</t>
  </si>
  <si>
    <t>CTao_36654</t>
  </si>
  <si>
    <t>981 Linear programming, Christian: yes, that’s a great idea.  Inserting the improvements to  that we already had were already instrumental in killing off the large e (or large f,g) counterexamples in 6D, 7D, and improved their bounds significantly (from 164 to 161 in 3D, and from 1092 to 1078 in 3D).  Further such improved estimates would undoubtedly do better, and perhaps even eradicate e, f, g entirely in 6D (note that Kareem’s examples have e=f=g=0)., Another inequality that could stand improving is the inequality  in 4D.  For e=0 this comes by inspection of the 41+ point data (in particular, the fact that d is so small in this regime) plus use of the existing 3D inequalities for 40- point data (somewhat analogous to Kristal’s 976).  For e=1 I am relying purely on the linear programming from the 3D inequalities.  Getting a better upper bound for a+b+c+d+e+d/2 in the e=1 case (currently it is 40.5) would help., I quite like this approach as it wastes as little as possible: any “excess” estimate one gets in, say, 4D, can be recycled into improvements in 5D and higher., This may well be the way to go for the HOC.  For n=2, say, we should be able to classify the Pareto-optimal and extremal statistics for the slice densities , giving linear inequalities.  These inequalities then imply analogues in 3D, which we could then integer program and apply further combinatorial analysis to beget further linear inequalities to use in 4D, and so on and so forth.</t>
  </si>
  <si>
    <t>C2843</t>
  </si>
  <si>
    <t>pick interesting loose ends; don't let them get buried in the discussion; talk RE future polymath project</t>
  </si>
  <si>
    <t>A quick remark that something I think we really ought to do soon is trawl through the various comment threads, pick up any interesting looking loose ends, and organize them properly on a wiki page. Many questions arose in the discussion that would still be well worth answering — an obvious example being to try to find global obstructions for sets that contain the wrong number of lines in equal-slices measure (I still hope that such sets correlate with 12-sets) — and there is a danger that they will get buried., At some point, I imagine polymath1 will quieten down a bit, and investigating some of these problems could be a good way for new people to get involved. But a decent wiki page with proper explanation/motivation for the problems would undoubtedly help with that., Also we might get together a list of general suggestions for how people think polymath should be done in general. (Not jeopardizing a students thesis, for example.) One thought regarding your idea to make a list of new problems: it might be a good idea to keep the scope of any particular “polymath no. n” blog as narrow as possible (while maintaining a more general-purpose wiki). My idea is that participants in a blog pursuing proof of X agree to an implicit “social contract” whereby they don’t think too hard about X non-publically (and almost certainly don’t publish a proof of X, or at least a proof of the type being pursued in the project, on their own); if a blog pursuing X starts taking Y, Z and W indiscriminately under its umbrella, in addition to X, it might complicate the terms of said “contract”.</t>
  </si>
  <si>
    <t>C2844</t>
  </si>
  <si>
    <t xml:space="preserve">how do we do this?? </t>
  </si>
  <si>
    <t>1. If you were to start such a project, and if you assured me that there would be no danger of it rolling all over some research student’s PhD thesis, then I would be happy to give it lots of publicity on this blog., 2. If you were to explain the problems in clear and purely combinatorial ways (or perhaps combinatorial with just a hint of algebra …) then I might even try to participate., The same goes for anyone else who thinks they might like to start an open collaboration. But 1 is quite important — I think we need procedures for dealing with this problem, and I don’t think we’ve thought through it properly yet.</t>
  </si>
  <si>
    <t>C2847</t>
  </si>
  <si>
    <t>1028.
I will make my first visible visit on this side of the project by asking one of the stupid questions discussed in the metathread., Regarding the question from 1026. As far as I understand any pair of points specify a unique line. if that is the case n points can specify at most Cn^2 lines. , Now if we have  a set of points and a set of lines where every pair of points specify a unique line we have the beginnings of a projective plane, but a projective plane has the same number of points and lines., So is there another known nice family of combinatorial objects which instead maximises the gap between the number of points and lines?</t>
  </si>
  <si>
    <t>C2848</t>
  </si>
  <si>
    <t>potential pivot? stupid question</t>
  </si>
  <si>
    <t>1029, Klas, your “stupid” question has exposed the stupidity (without inverted commas) of mine — it’s not what I meant to ask. Let me have another go., The way we prove Sperner using equal-slices measure can be thought of like this. We partition the measure on  into measures where the set of combinatorial lines is dense. Each measure is obtained by taking a random permutation of  and taking all intervals in that permuted set, and then any two points with non-zero measure define a combinatorial line., So a vague version of what I am trying to ask is whether we can somehow find dense structures inside  and play a similar game, this time exploiting the corners theorem. However, I don’t have a sensible precise version of this question, which perhaps suggests that the answer is no.</t>
  </si>
  <si>
    <t>C2849</t>
  </si>
  <si>
    <t>your comments were a significant contribution</t>
  </si>
  <si>
    <t>Boris, I wondered why you had dropped out. Of course, it’s entirely your decision whether it was the best use of your time, but I cannot agree that the comments that you made were minor. In particular, your comments on obstructions to uniformity were a significant contribution to the discussion at that point, for which many thanks.</t>
  </si>
  <si>
    <t>CTao_36655</t>
  </si>
  <si>
    <t>982 Moser(3) Diagonal cubes in 6D, The 6D cube contains 120 3D cubes of the form xxyyzz.  The two xs take the values (11,22,33) or (13,22,31), and the same with the two ys and two zs., Each point in the 3D cube contains 0,2,4 or 6 twos, so this introduces a set of new inequalities connecting a,c,e and g., These inequalities are easiest to express in the density notation .  One of the inequalities for the simple 3D cube is .  The corresponding inequality for these diagonal cubes is .  , I don’t know whether these inequalities provide new information.  Certainly the solution , which satisfies all the old 3D inequalities, satisfies the new ones too.</t>
  </si>
  <si>
    <t>CTao_36656</t>
  </si>
  <si>
    <t>983 6D Moser(3) diagonal cubes, Thanks Michael!  Actually I had put those cubes in the linear program already (it’s the term op(subs(b=c,c=e,d=g,X3)) in the definition of X6) but I had forgotten to tell people about this.  But yes, it does help.  Without it, the bound on  stays where it as at 361, but the bound on  under the additional assumption g=1 worsens from 355 to 358.  (It makes sense that this new inequality is really of use when g is non-zero.)  This cuts down the inequality a+b+c+d+e+f+7g &lt;= 361 to a+b+c+d+e+f+4g &lt;= 361, which ends up worsening the  bound from 1078 to 1079., There are also cubes in which each wildcard occurs a different number of times (e.g. 1xyy23) but I was unable to figure out how to use those “skew” cubes to generate more inequalities.</t>
  </si>
  <si>
    <t>CTao_36657</t>
  </si>
  <si>
    <t>why not this question</t>
  </si>
  <si>
    <t>984. I don’t see anywhere anybody taking up question II.A: what exactly is the bound that comes out of the Behrend/Elkin construction?, Elkin’s bound is . He stated it just for n of a particular form, but it works for all n. The second ingredient is that , this size of  is at least  provided that all of a, b, c, are between  and . The final ingredient is that if  (with ) are a line and  is in , then  are a (possibly constant) arithmetic progression of integers., Now to put these together. Let R be a largest set of integers without 3-term APs that is contained in . The set  has no lines, and has size at least . For each element r of R, we can take  and , in which case .  The size of A is then at least , which is at least , and . Here,  is shorthand for ., As I write this, it doesn’t feel very optimal to set , instead of letting it vary at least a little. In particular, I am unpleased by the asymmetry.</t>
  </si>
  <si>
    <t>C2852</t>
  </si>
  <si>
    <t>1030.  Shelah, Another idea. Instead of struggling to preserve the density of  by constructing just one fliptop subspace, perhaps we can partition the whole of (or almost the whole of)  into fliptop subspaces. Then in at least one of them  would have density almost  and we would be done by induction., Actually, that’s not quite right unless we’re rather careful, because in order to apply induction we need  to be dense in the  part of the fliptop subspace. Let me not worry about this for the time being., Instead, I’d like to think about whether some kind of argument like the one we’ve used for partitioning 1-sets into subspaces could do the job here. I can’t see it in advance so I’ll just try to plunge in., Let m be a medium-sized integer — much smaller than n, but much larger than 1 — and write  as  By the pigeonhole principle we can find a subset  of  of density  such that for every  the set of  such that  is the same. Let that set be , and find a big subspace  in  that is fliptop with respect to . Then all the subspaces  such that  are fliptop. (They could be disjoint from , but we don’t care about this.) Let us include them in our attempted partition and remove them from  Note that we have removed a positive proportion (depending on ) of  as a result of this., We now partition  according to the part that belongs to  The result is a number of subspaces of the form  If  then we have not thrown away any of  and we just repeat the first step. However, if  then things are more complicated, because we have thrown away some of  and are therefore not allowed to use that part in any new cell that we want to add to the attempted partition., At this point I think it helps to imagine that we’ve somehow managed to deal with this problem for several iterations. What position would we expect to be in then? Well, we’d have restricted to some subspace (of codimension  where r is the number of iterations completed), and we would want to find a big chunk (which would be a union of fliptop subspaces) to remove. Hmm, it doesn’t seem to work, since by this stage I’m needing to find a big orderly chunk of subspaces inside a set over which I have pretty well no control.</t>
  </si>
  <si>
    <t>CTao_36659</t>
  </si>
  <si>
    <t>985. c^{\mu}_3=6 , If we have all
Three points of the form aaa removed
Then the remaining points have value 7 and
We have covered all lines that have any set of moving coordinates
And all constant points equal to one value this leaves
The lines xab a,b not equal. Each point of the set
abc covers three of these lines the entire set covers each of these lines
there is no duplication the only alternative is to remove a point
abc and cover the lines with points of the form aab which have
a higher weight and only cover two lines each this would lower the weight
so the maximum weight occurs when all of abc is omitted along with
the three points aaa and that weight is 6. , If we have only two points removed of the form xxx then
The weight is at most 8 say the point not removed is 222
Then we must cover the lines xx2 and x22 we have three six such
Lines and all the xx2 must be covered one at a time by either 112
Or 332 the x22 must be covered one at a time by 322 or 122
These points must be removed and the that lowers the weight
To 8 – 3*(2/6) – 3*(2/6) = 6 again we have c^{\mu} must be less than 6, If we have one point removed say 111 then we must cover all lines of
The form xx2 xx3 and x22 and x33 the best we can do is to cover
Two of these at once as no point can cover x22 and x33 or xx2 and xx3
Only points of the form xxy can cover these lines and as we have 12 lines
Covering 2 at a times we must have 6 such lines which will have weight 3/6
So we will have removed one point with weight one and 6 more
With weight 1/2  giving remaining weight 6 or less for the remaining points., Finally we have no points of the form xxx removed but then we will
have a line of the form xxx so we must have the earlier three cases and the weight of the points not removed can be at most 6.</t>
  </si>
  <si>
    <t>CTao_36660</t>
  </si>
  <si>
    <t>986. Second try at c^{\mu}_3=6,     I don’t think the previous proof works I made some changes., c^{\mu}_3=6
If we have all
Three points of the form xxx removed
Then the remaining points have value 7 and
We have covered all lines any set of moving coordinates
And all constant points equal to one value this leaves
The lines xab a,b not equal. Each point of the set
abc covers three of these lines the entire set covers each of these lines
there is no duplication the only alternative is to remove a point
abc and cover the lines with points of the form aab which have
a higher weight and only cover one line each this would lower the weight
so the maximum weight occurs when all of abc is omitted along with
the three points xxx and the weight is 6 , If we have only two points removed of the form xxx then
The weight is at most 8 say the point not removed is 222
Then we must cover the lines xx2 and x22 we have three six such
Lines and all the xx2 must be covered one at a time by either 112
Or 332 the x22 must be covered one at a time by 322 or 122
These points must be removed and the that lowers the weight
To 8 – 3*(2/6) – 3*(2/6) = 6 again we have c^{\mu} must be less than 6, If we have one point removed say 111 then we must cover all lines of
The form xx2 xx3 and x22 and x33 the best we can do is to cover these lines
Two of at once as no point can cover x22 and x33 or xx2 and xx3
And we have all points of the form aab when a = 2 and b =3
Or b=2 and a=3
Only points of the form xxy can cover these lines and as we have 12 lines
Cover 2 at a times we must have 6 such lines which will have weight 2/6
So we will have removed one point with weight one and six more
With weight 1/3 giving remaining weight 7 and we will have
Lines of the form x11 and xx1 to cover as well as x12 and x13
The lines of the form x11 will have to be covered by 3 lines with
Weight 1/3 however we are not done as we can split a point of the
Form 223 into 113 and 221 then we will cover the lines 22x and xx3
With two lines instead of one but we will cover one line of the
Form 11x however we due this we will either have to split
3 pairs and we will have weight 6 since 7-1=6 or split two
and use one point of the form 11x for the remaining line of the
form 11x or again the total is 6 or split one and use 2 and again
the remaining points total 6., Finally we have no points of the form xxx removed but then we will
have a line of the form xxx</t>
  </si>
  <si>
    <t>CTao_36661</t>
  </si>
  <si>
    <t>986. 4D Moser(3) Diagonal cube, There are 12 3D cubes that fit diagonally in 4D, with coordinates xxyz, where xx = (11,22,33) or (13,22,31), and y and z both range over (1,2,3)., Their points have (a,b,c,d,e) = (8,8,6,4,1)
So each a-point is in 6, each b-point in 3, c-pt in 3, d-pt in 6, e-pt in 12, Of the solutions without a coordinate line, there were 37 Pareto-optimal solutions and the following ten extremal solutions., (34321),(42321),(44221),(44311),(24440), (42340),(44240),(44600),(48400),(80000)., These satisfy  and , The inequality for the 4D set is 4A + B + 2C + 4D + 16E \le 96
8A + B + 2C + 4D + 16E \le 128</t>
  </si>
  <si>
    <t>CTao_36663</t>
  </si>
  <si>
    <t>987. c^{\mu}_3=6 (rephrased), Just to make sure I understand I am rephrasing Kristal’s proof., Consider the line 111, 222, 333. Either one is removed, two are removed, or three are removed. (It’s impossible to have zero removed — we are left with the line.), Suppose all three are removed. Then we are left with 18 disjoint lines represented by a single wildcard. This can be done by removing all points on the slice \Gamma_{1,1,1}; each removal takes out 3 of the disjoint lines and we are left a weight of 6. Removing from the hexagon of slices 120-012-012-102-201-210 removes only 2 disjoint lines at a time with a higher weight, so the removal we’ve already found is optimal., Suppose two are removed, leaving (suppose, noting symmetry) 222. Then we are left with disjoint lines **2, 2**, *2* (corresponding to the slices \Gamma_{2,1,0} and \Gamma_{0,1,2} and *22, 2*2, 22* (corresponding to the slices \Gamma_{1,2,0} and \Gamma{0,2,1}). There must be one removal for each of the six disjoint lines, removing a weight of 2 and leaving a weight of 6., While I was typing Kristal changed her proof of one removed, so I’ll finish the rest later. :)</t>
  </si>
  <si>
    <t>C2853</t>
  </si>
  <si>
    <t>way to moderate</t>
  </si>
  <si>
    <t>John, I’ve been thinking about your dilemma: instead of a thread would it help to have someone offer an open an email address designed for moderation? Then you can get a private message about if it should be put in the thread, yet because it’s a side feature it shouldn’t get anyone nervous about posting to the main thread., However, saying all that, I’m still against it. Let me give a specific example why., In the other thread I just made a “semi-optimist conjecture” which is a perfect example of a stupid comment a moderator might shoot down — it only is true by violating something in the original definitions we’ve been working with., However, because it was based on experimental data (why I formed it in the first place), it led Terry to realize something was wrong and Klas to spot the bug in the program he was using., A moderator not might not notice that connection, and we’d never spot the problem and we’d still be using the bad data., In other words, even the most basic-premise-violating of stupid comments may yield something useful.</t>
  </si>
  <si>
    <t>CTao_36665</t>
  </si>
  <si>
    <t>Kristal one point proof</t>
  </si>
  <si>
    <t>988. c^{\mu}_3=6 question, Looking at your new one point proof: Kristal, are you sure we assume the slices  and  have to be removed? (It’s what you call “points of the form aab when a = 2 and b =3
Or b=2 and a=3”.) Even though it’s non optimal to pick two from one of the other slices it doesn’t put us quite over the weight limit (and shouldn’t be too hard to prove that it will) but since it’s not an immediate contradiction we can’t just assume we pick the locally optimal scenario.</t>
  </si>
  <si>
    <t>CTao_36666</t>
  </si>
  <si>
    <t xml:space="preserve">989. 5D Moser(3) containing diagonal cubes xxyyz, Following on from 986. A 5D Moser cube contains 60 3D cubes diagonally, in the form xxyyz.  Each contains points (a,b,c,d,e,f) = (8,4,8,4,2,1)., The sets without geometric lines have 42 Pareto maxima and the following 13 extrema:
(324211),(413211)(422211)(424111)(424201)(224420)(413320), (424220)(444020)(422410)(424400)(448000)(800000)
giving the following ten inequalities
</t>
  </si>
  <si>
    <t>CTao_36667</t>
  </si>
  <si>
    <t>990.  Diagonal Moser cubes, Michael, this is great!  I of course plunked the inequalities into the linear program at, http://michaelnielsen.org/polymath1/index.php?title=Maple_calculations, to see what improves.  The 4D bound for a+b+c+d+e+d/2 for e=1 improved from 41.5 to 40, giving a new inequality a+b+c+d+e+d/2 + 3e &lt;= 43.  The 5D bound a+b+c+d+e+f &lt;= 119 for f=1 improved to 117, giving a new inequality a+b+c+d+e+f+7f &lt;= 124.  The  bound unfortunately did not budge at 361, but the extremal changed (e and f became even smaller), suggesting that at least some of the 361-point cases were eliminated.  When g=1, the bound dropped from 355 to 352, which is below Kareem’s example and thus demonstrates for the first time that g=0 for the  extremiser., In 7D, the bound for  improved from 1078 to 1073, and when h=1 there is a further improvement from 1071 to 1065.  So the new inequalities are having an impact…</t>
  </si>
  <si>
    <t>C2854</t>
  </si>
  <si>
    <t>James Allen</t>
  </si>
  <si>
    <t>***this is in the a different post</t>
  </si>
  <si>
    <t>I’ve written an online collaborative LaTeX editor called ScribTeX which might suit your needs:, http://www.scribtex.com, Congratulations on all the work you’ve done here!</t>
  </si>
  <si>
    <t>C2855</t>
  </si>
  <si>
    <t>1031.  New distribution., This writeup is practically the same, but I think it sets things up the best.  It’s a bit long, but that was mainly just to convince myself what I was saying is correct., The gist is this: , The basic objects are length- lists (ordered) of nonempty sets, where the sets’ union is .  Such lists are in obvious correspondence with the set of “nondegenerate” points in  (where a point is degenerate if it does not include each character at least once).  , The basic operations are: 1.  = randomly permute the list.  2.  = do a random “coagulation”: pick $i \in m-1$ uniformly, and merge the th set into the th set (shrinking the list length to )., The basic distribution is: Start with the length- list .  If we first apply a  operation, and then apply  consecutive  operations, we get a length- list, which corresponds to a point in .  This is our basic distribution on strings.  It is (one can show) the “equal-nondegenerate-slices” distribution., Finally, note that if we only did  of the  operations, we’d get a string , which we think of as ; i.e., a combinatorial line (template).  If we were to further apply the  operation to this, we’d get one of the  points on this line, uniformly at random.  And, note that  is a string in  distributed according to our basic distribution., —-, I’m quite sure that at the very least, Varnavides and Multidimensional DHJ(k) become “trivial” now.  The proof of line-free sets in  correlating with simple sets was already pretty simple assuming these two tools, but I’m hoping it also gets a paragraph proof now., Of course, I further hope that this helps simplify the “other half” of the proof, namely the density-increment argument.  I’d like to think more about it except I’m going to visit family for a few days and will likely not get the chance., Ryan, the link to your write-up isn’t working. I’m looking forward to seeing it …</t>
  </si>
  <si>
    <t>C2856</t>
  </si>
  <si>
    <t>1032.  Shelah/wikification, I’ve now put on the wiki a very slight modification of the usual proof of the (colouring) Hales-Jewett theorem, together with Shelah’s proof. The purpose of the exercise is to show just how similar the two proofs really are: one uses HJ(k-1) to get you down to HJ(2), while the other one uses HJ(2), in pretty well exactly the same way, to get you down to HJ(k-1). If I’d been feeling silly enough, I would have interpolated between the two cases and written a general argument for how to use HJ(s) to get you down to HJ(k-s+1), which can quite clearly be done. (Indeed, it’s so clear that it can be done that maybe what’s already there can be thought of as doing it by giving enough examples to make clear what the general case is.), I bothered to do this partly because I find it historically interesting that it took such a long time for Shelah’s proof to be discovered, and I think that presenting the two proofs side by side in that way makes it really quite mysterious. But my main motive is to try to get people interested in the process of Shelahification of the proof we (probably) have of DHJ(k). If the induction can be turned upside down so easily in the colouring version, I will need a pretty convincing argument to persuade me that it cannot be done for the density version. And if it can be done, it would be really good to do it because the bounds would drop from Ackermann to primitive recursive., The proofs are on the page about the colouring Hales-Jewett theorem., Isn’t it so that the iterations give you a k-(k-1) fliptop space, then a (k-1)-(k-2) fliptop space in the smaller cube so on? Then if you check any line, it is fliptop for any consecutive pairs, so it is monochromatic. I was wondering if a statistical variant would work or not; Take an almost fliptop subspace (many neighbours have the same colour) and a smaller almost fliptop subspace so on. At the end if at least one line is pairwise fliptop then we are done., Jozsef, I’m not sure if this is what you’re asking, but on the wiki I presented Shelah’s argument in terms of flipbottom subspaces instead of fliptop ones., Tim, I just changed the notation there. I should have followed yours. While I think that I understand Shelah’s proof completely, I’m not sure that I see exactly the limits of the technique. For example, it seems to me that we don’t use that the points of every neighboring pair have the same colour. For example if 11111… is blue and 21111… is red in the first fliptop subspace, it won’t make any trouble later as the line defined by the two elements is outside of the next subspace. In general, every point with coordinate 1 has exactly one “semi-neighbour” which is important in the iteration, where the 1-s are replaced by 2-s. But I don’t see an easy way to consider the important pairs only., Yes, I had a similar thought soon after writing up the wiki page. I modified the usual proof so as to ensure, unnecessarily, that it reduced HJ(k) to HJ(2). But the usual colour-focusing proof doesn’t need that full strength. I therefore suspect that it is possible to modify the Shelah proof so that instead of producing a fliptop subspace you produce a subspace with some weaker property. But I haven’t tried to work out any details, or even to convince myself that it’s definitely possible.</t>
  </si>
  <si>
    <t>C2857</t>
  </si>
  <si>
    <t>Isn’t it so that the iterations give you a k-(k-1) fliptop space, then a (k-1)-(k-2) fliptop space in the smaller cube so on? Then if you check any line, it is fliptop for any consecutive pairs, so it is monochromatic. I was wondering if a statistical variant would work or not; Take an almost fliptop subspace (many neighbours have the same colour) and a smaller almost fliptop subspace so on. At the end if at least one line is pairwise fliptop then we are done.</t>
  </si>
  <si>
    <t>C2858</t>
  </si>
  <si>
    <t>?</t>
  </si>
  <si>
    <t>dumb &amp; smart questions both</t>
  </si>
  <si>
    <t>I have to agree with Jason both on the specific example and on the general principle: “dumb” questions should be encouraged (in addition to “smart” questions, of course :-).</t>
  </si>
  <si>
    <t>CTao_36672</t>
  </si>
  <si>
    <t>991. Diagonal Moser cubes, Inequalities arising from xxxyz diagonals:
Letters a to f are densities
8a+4b+2c+2d+4e+2f &lt;=11
4a+2b+1c+2d+2e+1f &lt;= 6
0a+0b+2c+0d+0e+1f &lt;= 2
4a+4b+1c+0d+2e+1f &lt;= 6
7a+2b+1c+1d+2e+1f &lt;= 7
8a+2b+1c+2d+2e+1f &lt;= 8
4a+0b+2c+0d+0e+1f &lt;= 4
4a+0b+2c+2d+2e+1f &lt;= 6
8a+0b+2c+2d+2e+1f &lt;= 8
8a+4b+1c+0d+2e+1f &lt;= 8, Inequalities arising from xxxxyz diagonals
a,b,c,e,f,g are densities.  These cubes do not intersect the d slice
8a+4b+2c+2e+4f+2g &lt;= 11
0a+0b+2c+0e+0f+1g &lt;= 2
4a+2b+1c+2e+2f+1g &lt;= 6
7a+2b+1c+1e+2f+1g &lt;= 7
4a+0b+2c+0e+0f+1g &lt;= 4
4a+0b+2c+2e+2f+1g &lt;= 6
8a+0b+2c+2e+2f+1g &lt;= 8
8a+2b+1c+2e+2f+1g &lt;= 8
4a+4b+1c+0e+2f+1g &lt;= 6
8a+4b+1c+0e+2f+1g &lt;= 8, Inequalities from xxxyyz diagonals
Letters a to g are densities
4a+2b+0c+3d+1e+1f+1g &lt;= 6
4a+0b+2c+3d+1e+1f+1g &lt;= 6
8a+2b+0c+3d+1e+1f+1g &lt;= 8
8a+0b+2c+3d+1e+1f+1g &lt;= 8
0a+4b+0c+0d+2e+0f+1g &lt;= 4
0a+0b+4c+0d+0e+2f+1g &lt;= 4
8a+4b+0c+0d+2e+0f+1g &lt;= 1
8a+0b+4c+0d+0e+2f+1g &lt;= 1</t>
  </si>
  <si>
    <t>C2926</t>
  </si>
  <si>
    <t>C2919</t>
  </si>
  <si>
    <t>1046.1 Good news and polymath…., Well, perhaps it will be somewhat reassuring that the changes you have made seem to be only adding more detail, and that, from the ergodic perspective at least, it was natural to omit said detail; loosely translated (and unless I misunderstand), what you seem not to be checking more carefully is that when you remove the fibers (over some factor) that recur under a subspace, what you have left is still measurable with respect to that subspace. So perhaps the good news is actually that polymath is like math with a net. (In which case the bad news is the danger than everyone involved will internalize that piece of good news to the point where it becomes a problem.)</t>
  </si>
  <si>
    <t>C2863</t>
  </si>
  <si>
    <t>Jozsef, I’m not sure if this is what you’re asking, but on the wiki I presented Shelah’s argument in terms of flipbottom subspaces instead of fliptop ones.</t>
  </si>
  <si>
    <t>C2864</t>
  </si>
  <si>
    <t>1033. Shelah, I’m still just throwing out guesses here (and seeing whether I get anywhere with them in real time — no luck so far) and here’s another one., In the argument we have now, we could present it as saying that we try to find a combinatorial line, and if we can’t then we get correlation with a set of complexity k-2. If we are going to try to Shelah-ize, then we’re very much hoping to find a fliptop subspace (or perhaps, as Jozsef suggests above, something slightly weaker but still sufficient) where  is still dense. So perhaps we should plunge in and try to construct such a subspace, but instead of being completely determined to succeed, we should hope that either we will succeed or we will get correlation with a set of complexity 1. , The first step of what I was trying to do in 1013, following Jozsef in 1011, was as follows. Write  as , where  is much bigger than . For each  define  to be  We would like to find  and  that differ only in a few places where coordinates that were k-1 in  are k in , such that  So far so good, but we would also like  to have density almost as big as the starting density when restricted to , where  is the unique combinatorial line that contains both  and , Now if we can’t do this, then we potentially get an interesting set inside which  has reduced density. It’s formed as follows: for each pair  as above, form the line , and take the union  of all those lines., Ignoring for now the fact that the union is not an arithmetic operation, so we can’t actually conclude without extra work that if  has reduced density on every  that it has reduced density on  let’s see whether  has any good structure, such as low complexity., A sequence  belongs to  if and only if we can find some  and some subset  of the j-set of  such that when we overwrite  with (k-1)s or ks, we get two points  and  with  Hmm, that doesn’t seem to have low complexity. Back to the drawing board., Just a technical remark; when you cut  into two parts the you can play with the densities. The density of A is c, say. If any  or  had density larger than  then we can go there and repeat. That means that the density of x that  is at least  is almost 1, I think.</t>
  </si>
  <si>
    <t>C2865</t>
  </si>
  <si>
    <t>Tim, I just changed the notation there. I should have followed yours. While I think that I understand Shelah’s proof completely, I’m not sure that I see exactly the limits of the technique. For example, it seems to me that we don’t use that the points of every neighboring pair have the same colour. For example if 11111… is blue and 21111… is red in the first fliptop subspace, it won’t make any trouble later as the line defined by the two elements is outside of the next subspace. In general, every point with coordinate 1 has exactly one “semi-neighbour” which is important in the iteration, where the 1-s are replaced by 2-s. But I don’t see an easy way to consider the important pairs only.</t>
  </si>
  <si>
    <t>C2866</t>
  </si>
  <si>
    <t>Yes, I had a similar thought soon after writing up the wiki page. I modified the usual proof so as to ensure, unnecessarily, that it reduced HJ(k) to HJ(2). But the usual colour-focusing proof doesn’t need that full strength. I therefore suspect that it is possible to modify the Shelah proof so that instead of producing a fliptop subspace you produce a subspace with some weaker property. But I haven’t tried to work out any details, or even to convince myself that it’s definitely possible.</t>
  </si>
  <si>
    <t>CTao_36678</t>
  </si>
  <si>
    <t>something wrong</t>
  </si>
  <si>
    <t>992., Michael, there seems to be something wrong with your third set of inequalities (xxxyyz), for instance they are inconsistent with the densities a=1, b=c=d=e=f=g=0, which is of course feasible.   Perhaps the weighting is a bit off?</t>
  </si>
  <si>
    <t>C2867</t>
  </si>
  <si>
    <t xml:space="preserve">second voice - thinking out loud </t>
  </si>
  <si>
    <t>Just a technical remark; when you cut  into two parts the you can play with the densities. The density of A is c, say. If any  or  had density larger than  then we can go there and repeat. That means that the density of x that  is at least  is almost 1, I think.</t>
  </si>
  <si>
    <t>C2868</t>
  </si>
  <si>
    <t>very vague thought</t>
  </si>
  <si>
    <t>1034.  Shelah, Time for a very vague thought indeed. Maybe the mistake in our thoughts so far about a density version of Shelah’s proof is that we’re still using colourings too much. Is there some “density equivalent” of a fliptop subspace? , To get a handle on this question, let us try to focus on the property that’s good about fliptop subspaces: that if you ever find a line with all the points up to k-1 of the same colour, then the whole line must be monochromatic. The obvious density version of that would be that if the first k-1 points belong to  then so does the kth. , One immediate small observation is that for this to be the case, all we need is that if you change some (k-1)s to ks, you don’t go out of . We don’t mind if this operation takes you in to . But is there perhaps some much more general circumstance under which we can deduce that  contains a line from the fact that  does? Or perhaps from the fact that  contains lots of combinatorial lines? In the latter case, what is the set of points that  will be forced to avoid? , I have to go now, but at first glance it still doesn’t look as though there are any super-low-complexity sets floating about.</t>
  </si>
  <si>
    <t>CTao_36680</t>
  </si>
  <si>
    <t>984; question II.A</t>
  </si>
  <si>
    <t>993. Question II.A revisited, Post 984 is a bit off, as I used  in a place I should have had . Here’s an improved construction, with corrected analysis of its size., It comes down to this:  for some absolute constant , and where all logarithms are base-3., For convenience, let  be a multiple of 3. Elkin’s bound gives , and let  be a subset of  without 3-term APs and with size , and with all elements being integer multiples of 3 (again as a matter of convenience). For each , let . The set  is the union of all . Since all of  are between  and , the size of  is at least . Since there are  choices for  and , we have a set with size at least
This simplifies to , where , assuming my algebra holds this time., Now suppose that  is a combinatorial line in the set . Then  is a 3-term AP contained in , so the  are all the same. Similarly, all of the  are the same, and therefore all of the  are the same, too. But this implies that the  sequence is constant, which means the line is degenerate.</t>
  </si>
  <si>
    <t>CTao_36682</t>
  </si>
  <si>
    <t>CTao_36678; CTao_36672</t>
  </si>
  <si>
    <t>993. Moser’s diagonal cubes – correction, Hi Terry.  Thanks for checking that., The last two inequalities for xxxyyz should have 8 on the RHS.
8a+4b+0c+0d+2e+0f+1g &lt;= 8
8a+0b+4c+0d+0e+2f+1g &lt;= 8
The extremals for xxxyyz are
(4113111),(3223111),(2224220),(4113220),(4224200), (4223011),(4226000),(4222220),(4422020),(4224020), (4222111),(4223101),(4242200),(4444000),(8000000), I checked the other inequalities, and I believe they are correct.
The density inequalities for xxyz, which I didn’t give above, are
4a+2b+3c+2d+e &lt;= 6
8a+2b+3c+2d+e &lt;= 8</t>
  </si>
  <si>
    <t>C2871</t>
  </si>
  <si>
    <t>1035.  Austin’s proof w/o Ramsey theory or density increment, I’ve written up a more or less complete proof of DHJ(3) using a (rather abstract) triangle-removal approach, based on Austin’s proof, at, http://michaelnielsen.org/polymath1/index.php?title=Austin%27s_proof_II, I found that stationarity is not used as much as I had previously thought, and can in fact be obtained by a simple energy increment argument and the pigeonhole principle rather than more high-powered Ramsey-theoretic tools such as Graham-Rothschild., The argument is a bit tedious though.  It follows the approach to triangle removal used for instance in my reworking of the hypergraph removal lemma, in particular, heavily using lots of conditional expectation computations, rather than the traditional language of cleaning out “bad” cells and then counting both “non-trivial” and “trivial” triangles in the surviving cells.  But there are some distracting complications due to the multiplicity of scales, and the presence of some additional random choices (basically, one has to choose some random index sets I to flip from 0 to 2, etc).  One has to make the whole argument “relative” or “conditioned” to these random choices, which makes the argument look stranger than it normally does., The bounds seem to be tower-exponential in nature – not so surprising, being based on triangle removal.  Amusingly, if one used uniform measure rather than equal-slices measure, one would be forced to make a double tower-exponential, because of the fact that each new scale would have to essentially be the square root of the previous.  Hooray for equal slices measure!, I’m pretty sure the density-increment argument is going to end up being shorter and simpler than this one, but I’m putting the triangle removal proof here for completeness., I’ll be travelling overseas shortly, and so I’ll probably be contributing very little for the next week or two.</t>
  </si>
  <si>
    <t>CTao_36694</t>
  </si>
  <si>
    <t>can we say x</t>
  </si>
  <si>
    <t>994. While all the major players are (supposedly) still out there, I wonder whether anything intelligent can be said on the smallest possible size of a Kakeya set in . Let’s denote it ; thus,  is the smallest integer for which a set  exists such that  and for every , the set  has a line in the direction . (A line in the direction  is, of course, a three-element set of the form .), Clearly, we have , and it is easy to see that . Using a computer, I also found  and . I suspect that, indeed,  holds (meaning that in  one cannot get away with just  elements), and I am very curious to know whether : notice the pattern in,  , As to the general estimates, we have,  , and, on the other hand,,  , the former since for each  there are at least three ordered pairs of elements of a Kakeya set with difference , the latter due to the fact that the set of all vectors in  such that at least one of the numbers  and  is missing among their coordinates is a Kakeya set. (I actually can improve the lower bound to something like .) Also, we have the trivial inequalities,  , can the upper bound be strengthened to ?</t>
  </si>
  <si>
    <t>CTao_36705</t>
  </si>
  <si>
    <t>900 - 1100</t>
  </si>
  <si>
    <t>995.  Thread moving, As is now our tradition, I’m declaring this thread full and am moving to the 1100-1199 thread at, https://terrytao.wordpress.com/2009/03/14/dhj3-1100-1199-density-hales-jewett-type-numbers/, I’ll try to respond to several of the interesting new comments on this thread at the other thread.</t>
  </si>
  <si>
    <t>CTao_36708</t>
  </si>
  <si>
    <t>Tao_6</t>
  </si>
  <si>
    <t>from 900</t>
  </si>
  <si>
    <t>1100.  Moser &amp; Elkin, Michael, thanks for the corrected inequalities at 993.  I plugged them into the linear program, of course, but unfortunately the bounds did not budge, only the extremisers, which means that we chipped away a little bit but not as much as before.  I can imagine that there is a law of diminishing returns in play here., Kevin: thanks very much for the precise computation!  I put it on the wiki at, http://michaelnielsen.org/polymath1/index.php?title=Upper_and_lower_bounds#Asymptotics, but I suppose it could be cleaned up more.  (Actually, the same holds for just about everything else on the wiki.)</t>
  </si>
  <si>
    <t>CTao_36709</t>
  </si>
  <si>
    <t>try the thing that worked for this other problem</t>
  </si>
  <si>
    <t>1101.  Hyper-optimistic conjecture, Kristal and Jason: looks like we’re off to a good start with the human proof of .  I copied Kristal’s text to the wiki at, http://michaelnielsen.org/polymath1/index.php?title=Hyper-optimistic_conjecture, but presumably we could develop it further., Given how successful the linear programming method based on sphere densities has been for Moser, I think it is worth a shot at working out linear inequalities for slice densities for the HOC; indeed one can view Kristal’s argument as implicitly using these slice densities.</t>
  </si>
  <si>
    <t>CTao_36710</t>
  </si>
  <si>
    <t>bottleneck check</t>
  </si>
  <si>
    <t>1102.  Genetic algorithm, Kareem, I put some of the description of your GA on the wiki at, http://michaelnielsen.org/polymath1/index.php?title=Genetic_algorithm, If you had any further commentary (e.g. on the performance of the algorithm, and links to data) that would be great.  Do you still think that verification of the line-free property is the bottleneck?  One thought I had on this was to break up the lookup table into pieces, and only apply a piece of the table to each organism.  The problem with this though is that it may allow organisms with one or two lines to survive for a bit longer than they should.</t>
  </si>
  <si>
    <t>C2873</t>
  </si>
  <si>
    <t>broken link</t>
  </si>
  <si>
    <t>Ryan, the link to your write-up isn’t working. I’m looking forward to seeing it …</t>
  </si>
  <si>
    <t>CTao_36711</t>
  </si>
  <si>
    <t>Kakeya is the named thread</t>
  </si>
  <si>
    <t>1103.  Kakeya, Seva, this is a great suggestion!  I transcribed your post to the wiki at, http://michaelnielsen.org/polymath1/index.php?title=Kakeya_problem, A recent result of Dvir, Kopparty, Saraf, and Sudan show that a Kakeya set in  has size at least , while an earlier example of Dvir (and reproduced in an appendix of a paper by Saraf and Sudan) constructs a Kakeya set of size .  These are asymptotically tight to within a factor of 2 when q is large, but it doesn’t look like it works all that well for small q., So, we have a new low-dimensional problem to chew on: is  (i.e. is it impossible to have a 26-point set in 3^4 that contains a line in every direction)?  I guess a starting point would be to get a human proof of .</t>
  </si>
  <si>
    <t>CTao_36713</t>
  </si>
  <si>
    <t>code adjustments</t>
  </si>
  <si>
    <t>1104., Thanks Terry.  I don’t have a lot of time right now but I will add any extra commentary in a few days. , I am not completely sure that the line-free property is the bottleneck with respect to the speed of the program but it is probably a big contributor.  I will have to do some experimenting.  The line-free property causes limitations in several senses.  It grows exponentially with n.  The largest lookup table I have made is about half a gigabyte.  It takes a long time to read into memory.   If I only take part of it then I do think that could speed things up tremendously.  One could squeeze some more speed up out of this idea by picking a random selection of lines in the lookup table and evaluating a whole generation with the same lines.  This reduces cache misses.  If it’s not the same group of lines each time then maybe this won’t hurt us too much.</t>
  </si>
  <si>
    <t>CTao_36714</t>
  </si>
  <si>
    <t>1105.  c^{\mu}_3=6, I have made some changes to one of the cases, that case is
where there is one point removed of the form aaa, c^{\mu}_3=6
If we have all
Three points of the form xxx removed
Then the remaining points have value 7 and
We have covered all lines any set of moving coordinates
And all constant points equal to one value this leaves
The lines xab a,b not equal. Each point of the set
abc covers three of these lines the entire set covers each of these lines
there is no duplication the only alternative is to remove a point
abc and cover the lines with points of the form aab which have
a higher weight and only cover one line each this would lower the weight
so the maximum weight occurs when all of abc is omitted along with
the three points xxx and the weight is 6, If we have only two points removed of the form xxx then
The weight is at most 8 say the point not removed is 222
Then we must cover the lines xx2 and x22 we have three six such
Lines and all the xx2 must be covered one at a time by either 112
Or 332 the x22 must be covered one at a time by 322 or 122
These points must be removed and the that lowers the weight
To 8 – 3*(2/6) – 3*(2/6) = 6 again we have c^{\mu} must be less than 6, If 111 is removed
then we must cover all lines of
the form xx2 xx3 and x22 and x33, Look at the pairs of lines such as xx2 and 33x
one with moving coordinates in two positions and
a fixed coordinate equal to 2 or 3 say 2
the other with fixed coordinates equal to the other
value which in this case is 2 so if the fixed coordinate(s)
in one point of the pair is 2 in the other they or it will
Then we must have one of the points 222
112 332 removed to block the first line of the pair
and for the second line we can use 333
332 331. However we do not have the points
222 or 333 removed in this case so we must have
either 332 or the pair 112 or 331.
For every one of the six point 332 or 223
we will have a similar choice forcing either
the removal of the point itself or the associated
pair. After these choices have been made more points
of the form aab can be added but there must be
a subset corresponding to one set of the above six choices
since in each case there are only two ways to cover the lines noted.
If we start with the configuration 111 removed all six points with
two 2’s and one three and two 3’s and one two removed and all points of
the form abc removed then this configuration has weight 6
then we can perform a series of steps which will
reach all combinatorial line free configurations. , These steps are as follows:, 1 Making choices as above and allowing the addition
Of all possible abcs, 2.Removal of points of the form aab and addition of all possible abc’s, 3.Removal of abc, It will be shown that with each step the weight decreases or remains the same
so the weight is 6 or less
This will give all line free configurations as we must have sub configuration
corresponding to one of the six choices and all we can do is add points
of the form aab and take the resulting set with the most possible
Abc’s and them remove any arbitrary abcs that we wish to remove., Are the making of the six choices noted above and the addition of
any points of the form abc where possible without forming a combinatorial line.
At the start each point of the form abc cannot be added because it has
two lines which are some permutations of x12 and x13 now
look at the points possibly blocking x12 they are 112 212 and 312 initially
point 312 which is removed could not be added because the two points
112 and 212 are not removed as each choice is moved then each of the
removed lines of type 113 covers two lines of the form permutations of  x13
similarly lines of type 133 covers two lines of the form permutations of x13
now each choice to replace a line of the form 332 increase the number of
points removed with two coordinates the same by one thus lowers the weight
by one third and blocks four lines of the form x13 or x12 thus after
n such choices we have reduced the weight by n/3 and covered 4n such
lines since every point of the of the form permutations of 123
starts out with 2 such lines which it is blocking and can only be added
when they are filled we can only add at most 2n such points which
since they have weight 1/6 at the end of n such steps the weight
is unchanged now afterwards if we remove more points of the form
aab they cover at most two lines of the form xab and thus allow
at most two points of the form abc to be added thus the change in weight
is at most -1/3 +1/6 +1/6=0 finally afterwards we can remove points
of the form abc but that will only lower the weight., Finally we have no points of the form xxx removed but then we will
have a line of the form xxx</t>
  </si>
  <si>
    <t>CTao_36717</t>
  </si>
  <si>
    <t>logo</t>
  </si>
  <si>
    <t>Metacomment: Logo, A tongue-in-cheek suggestion.</t>
  </si>
  <si>
    <t>CTao_36719</t>
  </si>
  <si>
    <t>1106. Here is a sketch of what, hopefully, can be developed into a human proof of . The argument depends heavily on the fact that, applying a non-degenerate affine transformation to a Kakeya set, we get a Kakeya set. Let  be the standard basis of ., Suppose that  is a Kakeya set with . For each of the  directions in  fix a line in this direction inside . We thus have  lines, with  points on each line, resulting in  point-line incidences — and just  points; therefore, there is a point in , incident with (at least) four lines. Shifting  suitably, we assume that  and  contains four lines through ., If all lines through  in  are contained in a subspace of dimension , then  actually contains this subspace, and without loss of generality we can assume that the subspace is . Fix a vector in  outside this subspace; WLOG, this vector is . Thus,  consists of , , and two more vectors, and the proof is easy to complete in this case showing that such a set cannot contain a line in every direction., Therefore, the four lines through  are not contained in a proper subspace. Hence, applying a suitable linear transformation, we can assume that the directions, determined by these lines, are , and , with some vector  of weight at least . (The weight of a vector for this purpose is the number of non-zero coordinates in its expansion in the standard basis.) That is, . If the weight of  is , then, changing the signs of the vectors of the standard basis as needed (which is a linear transformation, of course), we can assume ; similarly, if the weight of  is , then we can assume ., We thus are left with two cases to consider, as follows. Case (A):  consists of , and three more vectors. Case (B):  consists of , and three more vectors. Hopefully, both these cases can be completed with some moderate effort.</t>
  </si>
  <si>
    <t>C2877</t>
  </si>
  <si>
    <t>is it known and can we prove it?</t>
  </si>
  <si>
    <t>1036.  Graham-Rothschild, A quick pair of closely related questions: is the density version of Graham-Rothschild known, and do we now have the tools to prove it (whether or not it is known)? , For the benefit of anyone who can’t be bothered to look it up on the wiki, the Graham-Rothschild theorem is like the Hales-Jewett theorem except that the basic objects are combinatorial subspaces of some fixed dimension rather than points. For instance, a special case is that if you colour the lines in  with finitely many colours, then there is a combinatorial subspace of dimension m such that all the lines in that subspace have the same colour — provided n is big enough in terms of m and the number of colours. , It may be that the question is easy. For instance, suppose we think of a combinatorial line in  as a point in  with coordinates that belong to the set  If we then find in our dense set  of such lines an m-dimensional subspace, what does that translate into? It gives us some wildcard sets  each of which can be converted into an element of this alphabet, and it also gives us some fixed coordinates. The problem is that the fixed coordinates can be equal to , so we do not end up with all the lines in some combinatorial subspace., At first this looks problematic: given a dense subset of  we can’t hope to find a subspace inside it with no fixed coordinates equal to , since  might consist of all points with at least one coordinate equal to . However, that’s not a problem, because our entire space consists of points with at least one  (since they are combinatorial lines). , So here’s a DHJ(3) variant. Suppose you have a dense subset  of  Must there be an m-dimensional subspace S such that all the fixed coordinates are equal to 1 or 2, and every point in S that includes at least one 3 is an element of ?, Just realized that the formulation of that last question was a bit careless, since the usual example of a set with roughly equal numbers of all three coordinates is a counterexample to this when m=2. So it’s not instantly obvious what a density version of Graham-Rothschild would even say, but I hope that with the help of equal-slices measure one might be able to formulate a decent statement., Generally, these Ramsey theorems are either “projective” (Schur, Hindman, Ramsey), “affine” (van der Waerden, HJ) or “projective/affine” (Graham-Rothschild, Carlson, CST).  Nothing with a projective aspect will typically have a “naive” density version, though I don’t know exactly what you are shooting for here. (Presumably you don’t mean something that the set of words having an odd number of 3s would be a counterexample to.), Hi Randall, It is an interesting question if these problems have density versions or not. Let’s consider Schur’s thm. Ben Green proved that if a subset of n, S, has only a few, , solutions to x+y=z in S then one can remove o(n) elements from S to destroy all solutions. This might be viewed as a density version of Schur’s theorem. On the other hand I don’t see a simple way to deduce Schur’s theorem from this density version. I tried it as it might give a bound on the triangle removal lemma, but without success.</t>
  </si>
  <si>
    <t>C2878</t>
  </si>
  <si>
    <t>adjustment to previous question</t>
  </si>
  <si>
    <t>Just realized that the formulation of that last question was a bit careless, since the usual example of a set with roughly equal numbers of all three coordinates is a counterexample to this when m=2. So it’s not instantly obvious what a density version of Graham-Rothschild would even say, but I hope that with the help of equal-slices measure one might be able to formulate a decent statement.</t>
  </si>
  <si>
    <t>C2879</t>
  </si>
  <si>
    <t>K.</t>
  </si>
  <si>
    <t xml:space="preserve">one meta/polymath and one on the math; how to do a belated comment </t>
  </si>
  <si>
    <t>A couple of questions, one about the polymath and one on the math. , First, as a reader who couldn’t follow in real time but was able to understand some postings long after their heydey, I wonder:  how does one make a belated contribution to the discussion (not the proof)?  Should one email the people principally involved with a given technical point, or not bother, or …?, Second,  in the analysis of pure combinatorial Shelah-type arguments, probabilistic methods were still used as a source of intuition on what should be true.   This raises, and does not beg, the question:  are there any theorems whose Ramsey (pure combinatorial existence) version is true but whose Szemeredi (density) version is known or suspected to be false?   Or are Ramsey results generally just waystations to the more intuitive but often harder to prove density statements?, A quick answer to the second question: the density version of Ramsey’s theorem itself is false: a complete bipartite graph has density 1/2 but contains no triangle. Another well-known example of a colouring statement with no density counterpart is Schur’s theorem: if you colour the integers from 1 to (a sufficiently large) n with r colours then you can find x, y and z, all of the same colour, such that x+y=z. The odd numbers show that the density version is false. The question of when the Szemerédi phenomenon occurs and when it doesn’t is quite an interesting one.</t>
  </si>
  <si>
    <t>C2880</t>
  </si>
  <si>
    <t>A quick answer to the second question: the density version of Ramsey’s theorem itself is false: a complete bipartite graph has density 1/2 but contains no triangle. Another well-known example of a colouring statement with no density counterpart is Schur’s theorem: if you colour the integers from 1 to (a sufficiently large) n with r colours then you can find x, y and z, all of the same colour, such that x+y=z. The odd numbers show that the density version is false. The question of when the Szemerédi phenomenon occurs and when it doesn’t is quite an interesting one.</t>
  </si>
  <si>
    <t>C2881</t>
  </si>
  <si>
    <t>gelada</t>
  </si>
  <si>
    <t>how to lower the barrier of entry - external link</t>
  </si>
  <si>
    <t>For me the exciting parts seem to be the simpler proof and the need to rewrite in accessible language to enable people to join in.  Maybe this can be made one of the explicit goals of the project.  Not just to create new maths but to work on making mathematics that can be accessible., I say the same thing, but in a more long winded way here., Edmund</t>
  </si>
  <si>
    <t>CTao_36726</t>
  </si>
  <si>
    <t>import existing arguments</t>
  </si>
  <si>
    <t>1107.  Kakeya, I realised that I can import some existing arguments in the literature to get some better lower bounds on Kakeya in this low characteristic, high dimensional regime than the (3/2)^n bound from Dvir-Kopparty-Saraf-Sudan., For instance, we can use the “bush” argument.  There are  different directions.  Take a line in every direction, let E be the union of these lines, and let  be the maximum multiplicity of these lines (i.e. the largest number of lines that are concurrent at a point).  On the one hand, from double counting we see that E has cardinality at least .  On the other hand, by considering the “bush” of lines emanating from a point with multiplicity , we see that E has cardinality at least .  If we minimise  over all possible values of  one obtains approximately  as a lower bound of |E|, which is asymptotically better than ., Or, we can use the “slices” argument.  Let  be the three slices of a Kakeya set E.  We can form a graph G between A and B by connecting A and B by an edge if there is a line in E joining A and B.  The restricted sumset  is essentially C, while the difference set  is all of .  Using an estimate from my paper with Nets Katz, we conclude that , leading to the bound , which is asymptotically better still., For an upper bound, I can invert the “slices” idea and use a construction of Imre Ruzsa.  Let  be the set of strings with  1’s,  0’s, and no 2’s; let  be the set of strings with  2’s,  0’s, and no 1’s, and let .  From Stirling’s formula we have .  Now I claim that for most , there exists an algebraic line in the direction (1,t).  Indeed, typically t will have  0s,  1s, and  2s, thus  where e and f are strings with  1s and no 2s, with the 1-sets of e and f being disjoint.  One then checks that the line  lies in E., This is already a positive fraction of directions in E.  One can use the random rotations trick to get the rest of the directions in E (losing a polynomial factor in n).  , Putting all this together, I think we have, , or , , This seems consistent with your conjecture .</t>
  </si>
  <si>
    <t>start new thread</t>
  </si>
  <si>
    <t xml:space="preserve">
This is a continuation of the 900-999 thread of the polymath1 project, which is now full.  We’ve made quite a bit of progress so far on our original mission of bounding density Hales-Jewett numbers.  In particular, we have shown
: Any subset of  with 451 points contains a combinatorial line; and there is exactly one example with 450 points with no combinatorial line.  (We have two proofs, one by a large integer program, and the other being purely human-verifiable; the latter can be found here.)
: Any subset of  with 125 points contains a geometric line; and we have several examples with 124 points with no geometric line.  (The proof is partly computer-assisted; details are here.)
: A genetic algorithm has constructed 353-point solutions in  with no geometric line; in the other direction, linear and integer programming methods have shown that any set with 362 points must have a geometric line.
: In the triangular grid , any set of 41 points contains an upwards-pointing equilateral triangle  with ; and we have 40-point examples without such triangles.  This was conducted by an integer program.
This timeline shows the history of these and other developments in the project.
There are still several numbers that look feasible to compute.  For instance, the bounds on  should be able to be narrowed further.  Work is slowly progressing also on the equal-slices Hales-Jewett numbers , which are hyper-optimistically conjectured to equal the Fujimura numbers ; this has been verified by hand up to n=3 and by integer programming up to n=5.  We are also looking at trying to reduce the dependence on computer assistance in establishing the  result; the best human result so far is .
Some progress has recently been made on some other related questions.  For instance, we now have a precise description of the lower bound on  coming from the Behrend-Elkin construction, namely
for some absolute constant c.
Also, it is probably a good time to transport some of the discussion in earlier threads to the wiki and make it easier for outsiders to catch up.  (Incidentally, we need a logo for that wiki; any suggestions would be welcome!)
Comments on this thread should be numbered starting at 1100.
Share this:PrintEmailMoreTwitterFacebookRedditPinterestLike this:Like Loading... </t>
  </si>
  <si>
    <t>C2883</t>
  </si>
  <si>
    <t>1031 link</t>
  </si>
  <si>
    <t>1037.  Uniform ordered partition measure., Here is the corrected link from 1031; in other words, add “.pdf” to the broken link.  I think this measure will work well with the Graham-Rothschild problem described above; again, I’ll try to write more in a few days when I get back home., 1037.1 Drat, I keep botching it!  It’s here.</t>
  </si>
  <si>
    <t>C2884</t>
  </si>
  <si>
    <t>1037.1 Drat, I keep botching it!  It’s here.</t>
  </si>
  <si>
    <t>C2885</t>
  </si>
  <si>
    <t>attempted proof</t>
  </si>
  <si>
    <t>wikification as well</t>
  </si>
  <si>
    <t>1038. Subspace implies line, A simple argument shows that DHJ(k) implies d-dimensional subspaces in  for any dense subset (with large enough n). I remember seeing a wiki article about this, but I was unable to find it this morning. It is also true that a subspace theorem implies DHJ. That looks fairly trivial but let me explain it;  I want to show that the following statement is equivalent to DHJ(k): “There is a constant,  that for every d there is an n that any c-dense subset of  contains a d-dimensional subspace.”
I would like to show the direction that the statement above implieas DHJ(k). The other direction is already wikified.
As before, write  as , where s is much bigger than r. For each , define  to be .
Let Y denote the set of , that  is empty. Suppose that  is large, line-free, and its density is  where  is the limit of density of line-free sets and . We can also suppose that no  has density much larger than  as that would guarantee a combinatorial line. But then the density of Y is at most 1-c, so there is a c-dense set Z    such that any element is a tail of some elements of  . For every  choose an x . This x will be the colour of y. It gives a   colouring on Z. By the initial condition Z contains arbitrary large subspaces, so by HJ(k) we get a line in ., I’ve find Tim’s post about DHJ(k) implies subspace DHJ(k).
http://michaelnielsen.org/polymath1/index.php?title=DHJ(k)_implies_multidimensional_DHJ(k)
The right title of the post above would be “Weak subspace DHJ(k) implies DHJ(k)”.</t>
  </si>
  <si>
    <t>C2927</t>
  </si>
  <si>
    <t>correct prior answer</t>
  </si>
  <si>
    <t>I of course meant (a) “now” to be checking more carefully, and (b) measureable with respect to that “factor”.</t>
  </si>
  <si>
    <t>C2889</t>
  </si>
  <si>
    <t>Hi Randall, It is an interesting question if these problems have density versions or not. Let’s consider Schur’s thm. Ben Green proved that if a subset of n, S, has only a few, , solutions to x+y=z in S then one can remove o(n) elements from S to destroy all solutions. This might be viewed as a density version of Schur’s theorem. On the other hand I don’t see a simple way to deduce Schur’s theorem from this density version. I tried it as it might give a bound on the triangle removal lemma, but without success.</t>
  </si>
  <si>
    <t>C2891</t>
  </si>
  <si>
    <t>1036 replies</t>
  </si>
  <si>
    <t>1039  Graham-Rothschild, I’ve got a new attempt at a density version of Graham-Rothschild that might have a chance of being true. I realized that equal-slices measure wouldn’t rescue the previous version, since the set of lines with wildcard set of size approximately  is a counterexample., As I write, I realize that my new attempt fails too. Basically, if you’ve got a 2D subspace then you must have lines with wildcard sets of sizes x, y and x+y, so a density version looks as though it would have to imply a density version of Schur’s theorem, which is of course false. (I realize that I am sort of repeating what people have already said in their replies to 1036.), Maybe one could go down the route Jozsef implicitly suggests and try proving that if  is a set that contains few m-dimensional subspaces, then one can remove a small number of elements from  and end up with no m-dimensional subspaces. I’m not sure that I feel like trying this though …</t>
  </si>
  <si>
    <t>CTao_36756</t>
  </si>
  <si>
    <t>1108. Kakeya in , Dear Terry,, As I see it, your 1107 post essentially solves the problem: the gap between the lower and upper bounds is not that large now, and narrowing it further may be both pointless and tedious (while finding a sharp asymptotic may be hopeless). I would also say that the values of  for small  are not of much interest now that  is known to hold., A couple of minor remarks., The “bush argument” gives the very same estimate as that indicated in my original post. Since this estimates supersedes the Dvir-Kopparty-Saraf-Sudan bound, I have not mentioned the latter., For the estimate  mentioned in my post I used restricted addition and Balog-Szemeredi; so, the “slices argument” is kind of an improvement of what I did., Also, for the slices argument: I don’t quite see why “the restricted sumset is essentially “, but it is contained in , which is just fine for our purposes; correct?</t>
  </si>
  <si>
    <t>C2893</t>
  </si>
  <si>
    <t>what would it look like? and what would we do? if the project failed</t>
  </si>
  <si>
    <t>Now that the polymath1 project is well on track to a successful conclusion, perhaps it is now safe to raise the question of how one would deal the situation of a “failed” polymath project – one in which the problem turned out to be frustratingly out of reach of the available mathematical technology, or which somehow never accumulated enough momentum.  I suppose that one of two things could happen: either a consensus would arise that the project should be closed, with any publishable partial results written up, or else the pace would simply slow down to a crawl, with most participants giving up and moving on to other activities.  I suppose either outcome is not too bad (though it is never much fun to concede defeat, especially publicly), though the second outcome may become a problem if it “blocks” other mathematicians who want to have their own go at the problem, but for one reason or another are disinclined to do so via the polymath.  At what point after a lull in activity would the problem be considered “fair game” again?  Or can a polymath project perform the mathematical equivalent of “squatting” on a particular problem indefinitely?, Here’s what I wrote on this topic in the “official rules”., 14. If it becomes clear that the discussion has run out of steam, then anything that is worth writing up will be written up (this may well be a collaborative process) and submitted to the arXiv, for use by anybody who wishes to use it., It’s not clear to me what should count as “worth writing up”, however, or whether a result that is interesting enough for the wiki but not interesting enough to be submitted to a journal has anything to gain from being polished and put on the arXiv. I suppose the test could be whether any of the participants feel like doing it., More importantly, I didn’t say how we would decide whether a project had run out of steam. This has the potential to be a difficult issue, because it could well happen (as it does with conventional research projects) that the project would run out of steam more for social than mathematical reasons. That is, there might be a lot of promising ideas floating about, but not the energy to deal with them. And then there are several choices., The first, which is the one I had imagined, is that somebody would post a comment saying, “I think I’ve reached my limit on this project,” and everyone else would rapidly agree, the wiki would be tidied up, and the resources created would be free for anyone to use as they saw fit (with, one hoped, a convention that if you made crucial use of an idea you found on polymath-n, you would credit polymath-n in your paper)., Another would be not to declare the project officially closed, but to leave it hanging there, so that if someone had an idea that could revive it again, it would continue, possibly with a rather different set of participants., To avoid the risk of blocking of the kind you talk about, one could mix the two: if people wanted to contribute ideas via blog comments, they could do that, and if they wanted to make private use of polymath-n ideas they could do that too. , Incidentally, I’d also like to make the point that a number of the perceived difficulties with polymath are ones that already exist in conventional ways of doing things: the difference is just one of degree. For example, a PhD student can work on a problem, make quite a bit of progress, and be beaten to the finish by a much more experienced mathematician, or group of mathematicians, who becomes interested in the problem: that has happened to lots of people I know. And if people write a joint paper, there is a tendency to assume that the best known authors are the ones who have made the main contributions. I’m not saying that we shouldn’t take these difficulties seriously — we definitely should — but I don’t think they are deal-breakers., On the subject of the PhD-wrecking problem, one might even make a case for polymath being better than the current system, because as things are at the moment there is no way of checking whether you are risking ruining someone’s life when you work on a problem, whereas because polymath is out in the open, there is the opportunity to check first. , And the same is true of the misguided-apportioning-of-credit problem: whatever else you might say, there is much more information to go on if the research has been fully public. (For instance, X might say, “Look, I am not as famous as Y, but go and read comments 345, 347, 382 and 383 and you will see that I contributed an idea that was enthusiastically taken up by the other contributors and was essential to the solution.”)</t>
  </si>
  <si>
    <t>C2894</t>
  </si>
  <si>
    <t xml:space="preserve">what should a project like this look like </t>
  </si>
  <si>
    <t>1) I think with a large collaboration of this kind we can aim not only for success in settling the problems (which is, of course, the central goal) but also for higher standards in explaining the proof, improving the argument, making sure it is locally correct and detailed (hyperlinks can even allow to give details that are necessary for some while obvious for others), and in the exposition level of the paper. Since everything is in the open there is no preasure to rush on these matters., 2) I think the general rule for having research in the open is that at any point what was achieved or presented openly can be used by other mathematicians who want to have their own go at the problem or use some ideas for other purposes. Of course, if the project looks successful it can be optimal to join in in the open effort. , 3) There are many interesting questions regarding such projects. Large open collaboration turned out too be, apparently a valuable resource; An important issue is how (and who is) to decide on a project; there are various issues regarding credits (and influence) which are of interest in ususal academic research that are of special interest here. , Of course, we should not forget also the joy and effectiveness of standard, often face-to-face collaboration. And of working alone.  , 4) More specifically to this project. Ernie wrote: “For my own case, I am glad you chose the DHJ problem, instead of the F_3 cap set problem (improve Roth-Meshulam), which is a problem I (and many others) have devoted years to attempting to solve. It would be somewhat demoralizing to see that problem solved in six weeks of massive collaborative effort; and, it could negatively affect one in other ways (grant support, salary, etc.).”, I think part of the reason for success here is that many people had some thoughts on the problem and related problems for year. So also for the cap set problem indeed quite a few people thought about it and worked on it and it is possible that an open discussion of avenues that were tried can by itself be useful., 5) In some sense the mode of work in the TCS (FOCS/STOC) community (and other very hot and hectic areas) is similar to  open discussion mode (except that the posts are papers)., I’ve been thinking about your point 4. I am one of the many people who has tried to solve the F_3 cap set problem, and I can’t help wondering, like you, whether enough people have enough slightly different thoughts about it that a largish open collaboration might work very well for it. I’m not actually suggesting it for the time being, but for my own part I’d rather be part of a big team who solved that problem than have a five percent chance of solving it individually before anyone else managed., But that raises another issue. What if lots of people have had thoughts about a problem and there is considerable overlap between the thoughts? We wouldn’t want a silly race where people tried to post reasonably obvious ideas before anyone else in order to claim credit for them. I have a possible solution for this, which is to begin by setting up a wiki. The understanding would be that until the collaboration started in earnest one would put on the wiki only ideas that pretty well any expert who had thought hard about the problem would be likely to have had, so one would not in any way be claiming credit for them (but one might wish to stop others claiming credit for ideas that should rightly be considered reasonably standard). And only after all the standard ideas were there would one begin the search for genuinely new ones., Another thought that occurs to me is that we could take some popular problem like the F_3 cap set problem and announce that polymath was going to attempt it, but only after some time lag such as two years. Then anybody who felt that they had made some serious progress that they didn’t want to share would have ample opportunity to explore their ideas and see whether they could push through to a solution; potential newcomers to the problem would have plenty of advance warning that the start of the polymath project was approaching, so they would know the risks in attempting it; and others might like time to think hard about the problem as individuals in order to be able to contribute better to the collective effort when the time came., Dear Tim, , Regarding notorious problems like improving bounds for Roth or for the cap set problem. Maybe what is needed most is an open (candid) discussion about how people (mainly experts)  see what the state of the art is. The most promising direction I am aware of for the cap set problem is the result by Sanders about  So what could be useful for people in the field (also in terms of expected future credit)  is if this results and the new techniques are discussed and explained. (This can be a sort of follow up to the introduction of the problem in Terry’s blog and not necessarily a full fledge polymath effort.) , But even with a full fledge polymath cap set or Roth project I see higher probability that such a project will not lead to an improvement of the known bounds (as I am not sure if the technology is in place) but rather  will give some better platform for researcher who will work on it in the future. and I see  little chance for off-scale improvements of upper bounds., There are ideas which seem long-shots in terms of the results they are expected to give. Exploring them openly (not necessarily in the polymath mode) may be helpful in shooting them down. (And may lead to some byproducts. And maybe maybe to success.) , For example, you mentioned (in  this remark  ) in a discussion of Elkin’s result the following:, “I recently came up with a slightly different way of proving Roth’s theorem, which I haven’t actually written up properly so can’t guarantee the correctness of, but it looks from that argument as though there is a chance of using strong bounds for Freiman’s theorem (which seem highly plausible, even though nobody has yet managed to prove them) to obtain Behrend-type bounds in Roth. Even this might be a good ‘open source’ project, though it would be too technical to be massively collaborative.”, The possibility that a different proof of Roth (even slightly-so) combined with plausible but strong bounds of Freiman Thm will push the known upper bounds for Roth to the Behrend territory represents such a spectacular possibility that I think exploring it openly or otherwise should be great. Again in view of the spectacular expected result I see more chance that the idea will somehow be shot down (or will show unexpected but not easily applicable equivalence between Roth and Freiman theorems). But there is also the probability that it will work.</t>
  </si>
  <si>
    <t>CTao_36763</t>
  </si>
  <si>
    <t>some additional reading too</t>
  </si>
  <si>
    <t>1109.  Kakeya in , Fair enough.  It may still be interesting to know the dependence on the field size though.  For each prime power q, let  be the minimal size of a Kakeya set in , then we know from submultiplicativity  that  converges to a limit .  For instance I think one can show that , and we now know that .  What happens for other values of q?  Dvir et al. show that  for all q, and of course .  I don’t know which bound is closer to the truth., Your Balog-Szemeredi argument, by the way, sounds very similar to the original slices argument of Bourgain in which my paper with Nets was based (and the Bourgain paper was in turn inspired by Tim Gowers’ paper on Szemeredi’s theorem, and in particular on his version of the Balog-Szemeredi lemma):, http://www.ams.org/mathscinet-getitem?mr=1692486, In our language, the Bourgain argument would give ., p.s. Yes, “contained in -C” is what I meant by “essentially C”.  I got lazy and didn’t want to work out the exact relationship :)</t>
  </si>
  <si>
    <t>C2897</t>
  </si>
  <si>
    <t>1040.
Since the density of a subset of k^n is quite insensitive to the removal of an element, at least for large n, a set with positive density will contain many lines. How many lines can be guaranteed, as a function of the density and n? , From the equal-slices proof of Sperner it is not hard to get a lower bound for DHJ(2) so I’m curious as to what can be said for DJH(3).</t>
  </si>
  <si>
    <t>CTao_36767</t>
  </si>
  <si>
    <t>x is like y</t>
  </si>
  <si>
    <t>this is similar to another argument</t>
  </si>
  <si>
    <t>1110. Kakeya in ${\mathbb F}_3^r$ (in reply to 1109), &gt; Your Balog-Szemeredi argument, by the way, sounds
&gt; very similar to the original slices argument of Bourgain, Not surprising: the idea to use this approach was actually suggested to me by Bourgain!, Also, upon some thinking. It seems that Ruzsa’s argument that you mention is not really about slices; it is about a clever modification of the construction from my initial post. Namely, instead of the set  of all vectors in  with either , or  missing among their coordinates, consider its subset , where  is the set of all those vectors with  coordinates equal to  and the rest equal to , and  is the set of all those vectors with  coordinates equal to  and the rest equal to . Then , being of size just about , contains lines in positive proportion of directions. No slices!</t>
  </si>
  <si>
    <t>C2898</t>
  </si>
  <si>
    <t>reference to official rules; how to claim credit/show contribution</t>
  </si>
  <si>
    <t>Here’s what I wrote on this topic in the “official rules”., 14. If it becomes clear that the discussion has run out of steam, then anything that is worth writing up will be written up (this may well be a collaborative process) and submitted to the arXiv, for use by anybody who wishes to use it., It’s not clear to me what should count as “worth writing up”, however, or whether a result that is interesting enough for the wiki but not interesting enough to be submitted to a journal has anything to gain from being polished and put on the arXiv. I suppose the test could be whether any of the participants feel like doing it., More importantly, I didn’t say how we would decide whether a project had run out of steam. This has the potential to be a difficult issue, because it could well happen (as it does with conventional research projects) that the project would run out of steam more for social than mathematical reasons. That is, there might be a lot of promising ideas floating about, but not the energy to deal with them. And then there are several choices., The first, which is the one I had imagined, is that somebody would post a comment saying, “I think I’ve reached my limit on this project,” and everyone else would rapidly agree, the wiki would be tidied up, and the resources created would be free for anyone to use as they saw fit (with, one hoped, a convention that if you made crucial use of an idea you found on polymath-n, you would credit polymath-n in your paper)., Another would be not to declare the project officially closed, but to leave it hanging there, so that if someone had an idea that could revive it again, it would continue, possibly with a rather different set of participants., To avoid the risk of blocking of the kind you talk about, one could mix the two: if people wanted to contribute ideas via blog comments, they could do that, and if they wanted to make private use of polymath-n ideas they could do that too. , Incidentally, I’d also like to make the point that a number of the perceived difficulties with polymath are ones that already exist in conventional ways of doing things: the difference is just one of degree. For example, a PhD student can work on a problem, make quite a bit of progress, and be beaten to the finish by a much more experienced mathematician, or group of mathematicians, who becomes interested in the problem: that has happened to lots of people I know. And if people write a joint paper, there is a tendency to assume that the best known authors are the ones who have made the main contributions. I’m not saying that we shouldn’t take these difficulties seriously — we definitely should — but I don’t think they are deal-breakers., On the subject of the PhD-wrecking problem, one might even make a case for polymath being better than the current system, because as things are at the moment there is no way of checking whether you are risking ruining someone’s life when you work on a problem, whereas because polymath is out in the open, there is the opportunity to check first. , And the same is true of the misguided-apportioning-of-credit problem: whatever else you might say, there is much more information to go on if the research has been fully public. (For instance, X might say, “Look, I am not as famous as Y, but go and read comments 345, 347, 382 and 383 and you will see that I contributed an idea that was enthusiastically taken up by the other contributors and was essential to the solution.”)</t>
  </si>
  <si>
    <t>CTao_36774</t>
  </si>
  <si>
    <t>1111. Moser sets n=4, If a Moser set for n=4 has 5 or more points with three 2’s it must have less than 41 points it must have the following statistics:
(7, 15, 14, 5,0), (6, 15, 15, 5,0), I have already proved the case with 6 or more points cannot occur so all I need to do here is get the case n=5. We note that there cannot be a point with four 2’s as then we would have 39 points. We have 5 points with exactly three 2’s and one coordinate not equal to 2. That gives 5 values not equal to 2 and four coordinates one coordinate must have the coordinate value not equal to 2 from 2 of the five points. One value must be three the other one. We slice at this point and get two cubes with the center point filled which by the n=3 section of the wiki on Moser sets must have 13 points or less. Since there are 5  points with three 2’s the center slice must have the remaining three. Now if we have 41 or more points it must have a center slice equal to 15 points or more. However by the Pareto-optimal statistics in the section n=3 of the wiki we see that a cube with c greater than three can have value at most 15. Further it must have the statistics (3,9,3,0) The two side cubes must have statistics 3,6,3,1) or (4,6,2,1) this gives three possible combinations which give the following possible sets of statsitcs: , (8, 15, 13, 5,0), (7, 15, 14, 5,0), (6, 15, 15, 5,0)
Now the statistics (8, 15, 13, 5,0) violate the following inequality from the section n=4 of the wiki
4a + b + c + d is less than or equal to 64 as it equals 65. So we are left with:
(7, 15, 14, 5,0), (6, 15, 15, 5,0) and we are done.</t>
  </si>
  <si>
    <t>CTao_36777</t>
  </si>
  <si>
    <t>visualizing solutions</t>
  </si>
  <si>
    <t>1112. Terry suggested that these types of visualizations might be more useful.  I have made a few., http://twofoldgaze.wordpress.com/2009/03/15/visualizing-solutions-i/, http://twofoldgaze.wordpress.com/2009/03/15/visualizing-solutions-ii/</t>
  </si>
  <si>
    <t>CTao_36779</t>
  </si>
  <si>
    <t>1113.  4D Moser, Kristal, I played around with Michael’s linear inequalities using maple and I think I can rule out d=5 completely for the 41+ point sets using them via a purely human proof (which was found, of course, using maple).  On the 3D section of the Wiki, we have the inequalities,  (1),  (2), which when averaged on middle slices gives the 4D inequalities,  (3), . (4), Averaging (1) on side slices similarly gives, . (5), Computing 9/4 *(3) + (4) + 4*(5) gives, , and so if  then we must have ., I got maple to find the integer solutions to  that were consistent with all known inequalities.  They are: (6,16,15,4,0,0), (7,16,14,4,0,0), (7,17,13,4,0,0), and (7,18,12,4,0,0).</t>
  </si>
  <si>
    <t>CTao_36782</t>
  </si>
  <si>
    <t>1114. An animation of extremals of type c’_5:, http://twofoldgaze.wordpress.com/2009/03/16/visualizations-iii/</t>
  </si>
  <si>
    <t>C2900</t>
  </si>
  <si>
    <t>post implies something else</t>
  </si>
  <si>
    <t>I’ve find Tim’s post about DHJ(k) implies subspace DHJ(k).
http://michaelnielsen.org/polymath1/index.php?title=DHJ(k)_implies_multidimensional_DHJ(k)
The right title of the post above would be “Weak subspace DHJ(k) implies DHJ(k)”.</t>
  </si>
  <si>
    <t>C2902</t>
  </si>
  <si>
    <t>1041. Line-free sets correlate locally with complexity-1 sets, I would like to go back to one important part of the DHJ(3) proof, to analyze it from a slightly different angle. Let us consider our set , a dense subset of , as a subset of . Build a graph on  as follows; The vertex set is  and two vertices, a and b, are connected iff for c: a+b+c=0  c is also in . If  was dense then there are many edges in any typical subspace. Now DHJ is equivalent to the statement that there are two connected elements of  with the same set of 3-s and that one’s set of 1-s contains the 1-s of the other. This model leads us to a density Sperner problem.
It just turned out that I have to go somewhere right now. I will come back in a few (4+) hours., 1042.  The distribution. , Hmm.  In fact, it may be even better to view strings in  being generated in the time-opposite way from the one I described.  Specifically, equal-slices and its nondegenerate variant are the same as the following Polya-Eggenberger urn process:, Non-degenerate version: Start with one of the  permutations of the string .  Repeat the following  times: pick a random character in  with probability proportional to the number of times it appears already in the string.  Now insert that character into a random place in the string., Equal-slices version, I think: Same, except: a) start with the empty string; b) for the purposes of proportionality, pretend there is a phantom copy of each of the  characters., This yet-another viewpoint on the equal-slices distribution helps with making “subspace arguments” (which the uniform distribution was good for): the point is, if you do a -color Polya urn process for  steps and , then the final distribution hardly depends at all on what happened in the first  steps., Will write more when I get back in two days.</t>
  </si>
  <si>
    <t>C2903</t>
  </si>
  <si>
    <t>blog posts referenced</t>
  </si>
  <si>
    <t>Two blog posts this weekend discuss the BBP formula in further depth:, Foxmaths (near the end, mentions how the formula was discovered), Gödel’s Lost Letter and P=NP (about the complexity class of the algorithm)</t>
  </si>
  <si>
    <t>C2905</t>
  </si>
  <si>
    <t>no minors, duplicated a comment and felt proud about it (proud because Boris is smart, or proud because didn't realize it had already been said?)</t>
  </si>
  <si>
    <t>I second what Time said about forbiding minors. I think sets satisfying equations proposed by Boris may be useful both as obstructions for unifrmity and as actual examples for sets avoiding various structures (lines etc.) Sort like the pre Behrend examples. Actually I once unoticedly duplicated a comment Boris made and felt quite proud about it…</t>
  </si>
  <si>
    <t>C2906</t>
  </si>
  <si>
    <t>use a wiki to avoid race to credit for thoughts</t>
  </si>
  <si>
    <t>I’ve been thinking about your point 4. I am one of the many people who has tried to solve the F_3 cap set problem, and I can’t help wondering, like you, whether enough people have enough slightly different thoughts about it that a largish open collaboration might work very well for it. I’m not actually suggesting it for the time being, but for my own part I’d rather be part of a big team who solved that problem than have a five percent chance of solving it individually before anyone else managed., But that raises another issue. What if lots of people have had thoughts about a problem and there is considerable overlap between the thoughts? We wouldn’t want a silly race where people tried to post reasonably obvious ideas before anyone else in order to claim credit for them. I have a possible solution for this, which is to begin by setting up a wiki. The understanding would be that until the collaboration started in earnest one would put on the wiki only ideas that pretty well any expert who had thought hard about the problem would be likely to have had, so one would not in any way be claiming credit for them (but one might wish to stop others claiming credit for ideas that should rightly be considered reasonably standard). And only after all the standard ideas were there would one begin the search for genuinely new ones., Another thought that occurs to me is that we could take some popular problem like the F_3 cap set problem and announce that polymath was going to attempt it, but only after some time lag such as two years. Then anybody who felt that they had made some serious progress that they didn’t want to share would have ample opportunity to explore their ideas and see whether they could push through to a solution; potential newcomers to the problem would have plenty of advance warning that the start of the polymath project was approaching, so they would know the risks in attempting it; and others might like time to think hard about the problem as individuals in order to be able to contribute better to the collective effort when the time came.</t>
  </si>
  <si>
    <t>C2907</t>
  </si>
  <si>
    <t>1042.  The distribution. , Hmm.  In fact, it may be even better to view strings in  being generated in the time-opposite way from the one I described.  Specifically, equal-slices and its nondegenerate variant are the same as the following Polya-Eggenberger urn process:, Non-degenerate version: Start with one of the  permutations of the string .  Repeat the following  times: pick a random character in  with probability proportional to the number of times it appears already in the string.  Now insert that character into a random place in the string., Equal-slices version, I think: Same, except: a) start with the empty string; b) for the purposes of proportionality, pretend there is a phantom copy of each of the  characters., This yet-another viewpoint on the equal-slices distribution helps with making “subspace arguments” (which the uniform distribution was good for): the point is, if you do a -color Polya urn process for  steps and , then the final distribution hardly depends at all on what happened in the first  steps., Will write more when I get back in two days.</t>
  </si>
  <si>
    <t>C2908</t>
  </si>
  <si>
    <t>analogous problem</t>
  </si>
  <si>
    <t>1042. Density increasing and an analog problem, (This is a little off topic) Let me mention a problem which I thought of as analogous to Roth/cap set where the gaps between lower and upper bounds are similarly shocking and the current density increasing arguments cannot help; (It is related to old work of mine with Kahn and Linial and also to some more recent work with Shelah that we did not publish.), you have a subset A of  of density c and you would like to find a combinatorial subcube F of dimension 0.9n so that the  projection  of A to F is of large density say 0.99. In other words, we want to find a set of 0.9n coordinates so that for a fraction 0.99 of the vectors supported on this set we can find a continuation on the other coordinates that is in A. (We usually talk here about restriction to a subcube/subspace and not about projections. But traditionally sections and projections are not unrelated.), By a density increasing argument doing it one coordinate at a time it was known from the late 80s that this can be achieved if c is  for  or so. A conjecture by Benny Chor asserts that  is good enough!, I think it is a little analogous to Roth (or cap set), a few points: , 1) The proof is also by a slow density increasing argument (you reduce the dimension by one every time) and there are examples the such an argument cannot be improved., 2) There are some conjectures (by Friedgut and others) which may explain why we can get the density down to  for every  maybe even  but no plans beyond it., 3) There are alarming examples by Ajtai and Linial of Boolean functions descibed by certain random depth 3 circuits (that Ryan already mentioned) that may (or a varian of) give a counter example. It is complicated to check it., I admit that the analogy with density increasing argument for Roth-type problems is not very strong: this problem is about  projection to subcubes and there it is about restrictions to subspaces or similar creatures; But there may be some connecion. , In particular I would try subsets described by low depth small size circuits (with operations over {0,1,2}) as candidates for counter examples for the most ambitious conjectures regarding Roth and cap sets.   , (On the positive side maybe more sophisticated density increasing arguments of the kind we talk about here can be used in this problem.)</t>
  </si>
  <si>
    <t>C2912</t>
  </si>
  <si>
    <t>1043. Graham-Rothschild, From 1036: ” A quick pair of closely related questions: is the density version of Graham-Rothschild known, and do we now have the tools to prove it (whether or not it is known)?
For the benefit of anyone who can’t be bothered to look it up on the wiki, the Graham-Rothschild theorem is like the Hales-Jewett theorem except that the basic objects are combinatorial subspaces of some fixed dimension rather than points. For instance, a special case is that if you colour the lines in  with finitely many colours, then there is a combinatorial subspace of dimension m such that all the lines in that subspace have the same colour — provided n is big enough in terms of m and the number of colours. ”,       I doubt there is density version of the Graham-Rothschild theorem. If one fixes a coordinate and deletes all lines that has a constant coordinate at that point then that will only lower the number of lines by a constant factor but it will prevent the formation of any two dimensional space with all its lines monochromatic as in that case the intersection of the moving coordinates of all of the lines is the null set.</t>
  </si>
  <si>
    <t>C2913</t>
  </si>
  <si>
    <t>convert to different/similar problem</t>
  </si>
  <si>
    <t>1044. Density theorems and Ramsey theorems,     Density theorems are stronger than Ramsey theorems. Any density theorem can be converted to a Ramsey theorem as follows. One sets the density less than 1/r and gets a large enough configuration so that the if the density is greater than 1/r there will be the desired result than for any r coloring there will be one color with density 1/r or more and we will have a monochromatic configuration in that color.</t>
  </si>
  <si>
    <t>C2914</t>
  </si>
  <si>
    <t>1045. Density Schur Theorem,     I have just remembered the counterexample for a density version of Schur’s theorem. One just takes the odd numbers, they have density 1/2 but since the sum of two odd numbers is even there are no triples a,b,c in the set such that a+b=c., The fact that the density version of Schur’s theorem is false implies that density Graham-Rothschild is false — see 1038.</t>
  </si>
  <si>
    <t>C2916</t>
  </si>
  <si>
    <t>x implies y</t>
  </si>
  <si>
    <t>The fact that the density version of Schur’s theorem is false implies that density Graham-Rothschild is false — see 1038.</t>
  </si>
  <si>
    <t>CTao_36800</t>
  </si>
  <si>
    <t>1115., I found a new largest solution for c’_7:, (Text)
http://twofoldgaze.wordpress.com/2009/03/16/solution-of-size-989-text/, (Image)
http://twofoldgaze.wordpress.com/2009/03/16/solution-of-size-989-image/</t>
  </si>
  <si>
    <t>C2918</t>
  </si>
  <si>
    <t>WHAT DO THEY SEE?????</t>
  </si>
  <si>
    <t>Dear Tim, , Regarding notorious problems like improving bounds for Roth or for the cap set problem. Maybe what is needed most is an open (candid) discussion about how people (mainly experts)  see what the state of the art is. The most promising direction I am aware of for the cap set problem is the result by Sanders about  So what could be useful for people in the field (also in terms of expected future credit)  is if this results and the new techniques are discussed and explained. (This can be a sort of follow up to the introduction of the problem in Terry’s blog and not necessarily a full fledge polymath effort.) , But even with a full fledge polymath cap set or Roth project I see higher probability that such a project will not lead to an improvement of the known bounds (as I am not sure if the technology is in place) but rather  will give some better platform for researcher who will work on it in the future. and I see  little chance for off-scale improvements of upper bounds., There are ideas which seem long-shots in terms of the results they are expected to give. Exploring them openly (not necessarily in the polymath mode) may be helpful in shooting them down. (And may lead to some byproducts. And maybe maybe to success.) , For example, you mentioned (in  this remark  ) in a discussion of Elkin’s result the following:, “I recently came up with a slightly different way of proving Roth’s theorem, which I haven’t actually written up properly so can’t guarantee the correctness of, but it looks from that argument as though there is a chance of using strong bounds for Freiman’s theorem (which seem highly plausible, even though nobody has yet managed to prove them) to obtain Behrend-type bounds in Roth. Even this might be a good ‘open source’ project, though it would be too technical to be massively collaborative.”, The possibility that a different proof of Roth (even slightly-so) combined with plausible but strong bounds of Freiman Thm will push the known upper bounds for Roth to the Behrend territory represents such a spectacular possibility that I think exploring it openly or otherwise should be great. Again in view of the spectacular expected result I see more chance that the idea will somehow be shot down (or will show unexpected but not easily applicable equivalence between Roth and Freiman theorems). But there is also the probability that it will work.</t>
  </si>
  <si>
    <t>bad and good news</t>
  </si>
  <si>
    <t>translation created error - argument itself was sound</t>
  </si>
  <si>
    <t>1046. Bad news and good news., Bad news: our proof of DHJ(3) is wrong!, Good news: it isn’t too hard to fix. , But it’s still quite amusing that nobody noticed that Substep 2.2 of the write-up on the wiki of the crucial lemma that a dense 1-set can be almost completely partitioned into subspaces was nonsense as presented. I’ve left the old version there as a cautionary tale. Fortunately, the reason for the mistake was that I had translated the corresponding part of Terry’s argument in a sloppy way — the argument itself was sound. But it did give me a bit of a scare …, 1046.1 Good news and polymath…., Well, perhaps it will be somewhat reassuring that the changes you have made seem to be only adding more detail, and that, from the ergodic perspective at least, it was natural to omit said detail; loosely translated (and unless I misunderstand), what you seem not to be checking more carefully is that when you remove the fibers (over some factor) that recur under a subspace, what you have left is still measurable with respect to that subspace. So perhaps the good news is actually that polymath is like math with a net. (In which case the bad news is the danger than everyone involved will internalize that piece of good news to the point where it becomes a problem.), I of course meant (a) “now” to be checking more carefully, and (b) measureable with respect to that “factor”.</t>
  </si>
  <si>
    <t>Gowers_15</t>
  </si>
  <si>
    <t xml:space="preserve">I’m not sure how many more comment threads we will have, but we are running out of the 1000-1049 thread, so it’s time for a new one. The main news to report since the last post is that progress is being made on writing up the proof of DHJ(3) and DHJ(k). At the moment it is more like preparatory sketches, but they are pretty detailed and can, as usual, be found on the wiki. It looks as though some of the more technical parts will end up very streamlined thanks to work of Ryan O’Donnell: the final proof of DHJ(k) should be surprisingly short (though I hope that we will write it up with plenty of accompanying explanation so that it is not too compressed and hard to understand).												This entry was posted on March 16, 2009 at 1:16 pm and is filed under polymath1.						You can follow any responses to this entry through the RSS 2.0 feed.													You can leave a response, or trackback from your own site.											</t>
  </si>
  <si>
    <t>C2920</t>
  </si>
  <si>
    <t>1047. Wikification, I have now wikified an abstract version of the iterative argument that was wrong before. From the abstract point of view the property that I was forgetting about was the all-important sigma-algebra property. This version should be fine now and is intended to be sufficiently general to deal with DHJ(k) as well. The argument could be sharpened up a bit towards the end — I ran out of energy.</t>
  </si>
  <si>
    <t>C2921</t>
  </si>
  <si>
    <t>Metacomment. I’ve created a thread for comments 1050-1099, so this one should draw to a close.</t>
  </si>
  <si>
    <t>CTao_36809</t>
  </si>
  <si>
    <t>1116. Kareem’s 989 Moser-example in dimension 7., here is an analysis which perhaps helps improving your programme:
I do not exactly know how your programme works, so the analysis is how a programme could have found the 989 set from the 988 set., The 988 solution and the new 989 solution do not differ very much.
Start with the 988 solution.
Delete {1112223, 1311231}
and add {1111233, 1112333, 2312231}
and you have the 989 solution., While a complete search to find such an exchange might need about
988 times 987/2 steps for the deletion, multiplied with
(2187-988)times (2187-989) times (2187-990)/6 steps for the
addition, the following speeds it up considerably:, Start with a progression-free set.
Take a loop over one element to be added. (Here say 988 steps).
Write down all clashes. (those must include of course the new element, so the search may be efficient).
If there are many forget about this case,
if there are very few, delete some of them.
Check if all clashes are avoided, and for any pair of two
elements list those elements that extend the two to a progression., In this example this works extremely well., Start with the 988 set.
add {1111233}, giving 989 elements.
The set of clashes is built by the five elements.
{1111233, 1112223, 1113213, 1211232, 1311231}, Choose subsets of 2 of the 4 elements. (of course avoid 1111233 which we
just added)., If in this way you delete for example {1112223,1311231}, and check for elements which
are now not the last point of an arithmetic progression, then you find
{1112333, 2312231}., (Well, I may have been lucky with this choice, but the point is that there are not so many cases.), More generally, it seems one can iterate this:
instead of deleting k and adding k+1 elements, which seems to produce many
cases, proceed in the above balanced way:
add one, and only use those cases with very few clashes.
Choose from these few clashes two (or more) elements to delete,
and check which elements can then be added etc.</t>
  </si>
  <si>
    <t>CTao_36811</t>
  </si>
  <si>
    <t>acknowledge suggested improvement</t>
  </si>
  <si>
    <t>1117. Christian’s idea sounds like a great idea for a mutation operator.  The current one is somewhat dumb, it adds one where it can and doesn’t do any global considerations of the whole solution.   I ruled out any kind of global examination  of the solution as too slow but now that more computations aren’t yielding dramatically better results, a slow operator doesn’t seem as expensive as it did before., I had been intending to solicit advice on small tricks that people have found useful in generating new solutions. (If Christian or any one else has any ideas please let me know.) , Thanks for the idea, Christian.  There are an ever growing list of things that need to be done with this project but I will implement this one as soon as I can.</t>
  </si>
  <si>
    <t>CTao_36812</t>
  </si>
  <si>
    <t>Micahael Bacon</t>
  </si>
  <si>
    <t>network law --&gt; more progress?</t>
  </si>
  <si>
    <t>I can’t contribute directly to these types of developments, but I would be interested in Mr. Tao’s thoughts regarding what I think is the amazing ability of web-based approaches to these and many other math and physics issues.  Does this new rapid and multi-personal addressing of issues offer hope that much more rapid progress will be made?</t>
  </si>
  <si>
    <t>CTao_36813</t>
  </si>
  <si>
    <t>1118.  4D Moser extremals, The 3D Moser extremals that Michael found (by computer exhaustion of the 2^{27} cases, though I would imagine that we could also verify the resulting linear inequalities by hand if needed) have been very useful in higher D.  It would thus be nice to obtain a list of 4D Moser extremals.  Even just knowing the e=1 extremals would presumably improve our inequalities somewhat., Unfortunately, direct exhaustion requires 2^{81} cases to check, which is too huge.  There is a symmetry group of size  to cut things down a little bit, and we can of course close off any branch of the exhaustion that contains a line, but this is still not feasible.  , On the other hand, by collapsing the 81 points of  into the five classes a,b,c,d,e (with 16, 32, 24, 8, 1 points in each) we get a much more tractable integer program, and we can already get quite far just from using the linear inequalities inherited from 3 and lower dimensions.  But it doesn’t quite give us everything we need, e.g. it gives an upper bound of 44 off the bat, and additional work is needed to get 43, and we still can’t rule out d=4 41-point sets other than via Klas’s data., So I propose an intermediate regime, in which we identify 1s and 3s but leave the 2s intact.  Let’s use x to denote letters that are either 1 or 3, then the 81 points get split up into 16 groups: 2222 (1 point), 222x, 22×2, 2×22, x222 (two points each), 22xx, 2x2x, x22x, 2xx2, x2x2, xx22 (four points each), 2xxx, x2xx, xx2x, xxx2 (eight points each), xxxx (sixteen points).  Let c(w) denote the number of points inside a group w, e.g. c(xx22) is the number of points of the form xx22 inside the set, and is thus an integer from 0 to 4., Every combinatorial line in  gives rise to an inequality between the corresponding c’s.  For instance, the line  gives rise to the inequality  (as can be seen by considering the four lines connecting a 222x point to two 2xxxx points) and more generally we have  whenever  is a line where u has a 2’s and v has b 2’s with ., This is an integer program on 16 variables and 80 line inequalities (plus the upper bound  and the 16 inequalities asserting that all c(w) are non-negative), which looks tractable.  One should be able to get a list of Pareto-optimal and extremal c-statistics either by integer-programming or by brute force.  (The total number of possible c-statistics is , which is at the edge of what brute force can deal with, but presumably one can use symmetries to cut things down a bit (e.g. assuming  cuts things down by a factor of 13 or so; also, c(xxxx) can be easily maximised after making all the other choices, potentially saving a factor of 17).  The e=1 case (when c(2222)=1) should be particularly doable (the total number of possibilities here is now , and after using symmetries this should be quite manageable).  Once the possible c-statistics are known, the (a,b,c,d,e) statistics can then be recovered (for instance, we may be able to improve the current upper bound of 39 for the size of e=1 4D Moser sets).  (Also, the c-statistics also reveal the (a,b,c,d,e) statistics of 4D diagonal cubes in higher dimensions, e.g. xxyyzw, which could lead to further improvement in the 6D and 7D bounds.), Of course, just as the a,b,c,d,e inequalities didn’t fully recover all possible statistics of Moser sets, it could be that the c-inequalities (which are only “averaged” versions of the property of having no combinatorial lines) don’t quite capture the full truth of the situation.  But they should do better than the (a,b,c,d,e) inequalities method, and seem within range of a reasonable computer search.</t>
  </si>
  <si>
    <t>CTao_36814</t>
  </si>
  <si>
    <t>1119.  I thought this analysis of the solutions of c_7 might be of interest:, http://twofoldgaze.wordpress.com/2009/03/16/the-structure-of-the-extremal-1302/, http://twofoldgaze.wordpress.com/2009/03/16/the-structure-of-the-extremals-of-1302-ii/</t>
  </si>
  <si>
    <t>CTao_36815</t>
  </si>
  <si>
    <t>1120.  c-statistics, I should say that perhaps it would be wise to first see if this method can already recover the known extremals in 3D.  I can at least do 2D by hand: here we have four integers , ,  obeying the inequalities, ., By symmetry we may also impose (say) .  The extremals for  are then (0,0,0,4), (0,2,2,2), (1,1,1,2), which correspond exactly to the (a,b,c) extremals (0,0,4), (0,4,2), (1,2,2)., Also, every linear c-inequality at a given dimension implies further linear c-inequalities at higher dimensions by suitable averaging over cubes (but we don’t average as much as in the (a,b,c,d,e) case, we only average over permutations of 1 and 3).  One could imagine iteratively building up the c-inequalities much as we have been doing for the coarser (a,b,c,d,e) type inequalities.  For instance the above 2D extremals show that , which can be leveraged to higher dimensions (e.g. the first inequality implies that  and , and also , by looking at yz2, yzx, and yyz cubes respectively, where the wildcard x is understood to be 1 or 3 but the other wildcards are unrestricted.), Dear Micahael: these issues are being discussed over at Gowers’ blog at, http://gowers.wordpress.com/2009/03/10/polymath1-and-open-collaborative-mathematics/</t>
  </si>
  <si>
    <t>C2922</t>
  </si>
  <si>
    <t>tools for next run</t>
  </si>
  <si>
    <t>Judging from the way the young people are communicating these days maybe we should make the next polymath via  SMS’s , Th@ wd B gr8. We cd prv sm 1drfl lMas &amp; thms th@ wA., Great! And I could use my grant money to buy a cell phone at last, as I would use it for research. (A fancy one, like my son’s)</t>
  </si>
  <si>
    <t>C2923</t>
  </si>
  <si>
    <t>Th@ wd B gr8. We cd prv sm 1drfl lMas &amp; thms th@ wA.</t>
  </si>
  <si>
    <t>CTao_36822</t>
  </si>
  <si>
    <t>1121.  Alternative to c-statistics,     One alternative is breaking up points according to their number of 1’s, 2’s and 3’s this would grow as  as opposed to c-statistics which might be exponential. Also both could be combined in order to get more information.</t>
  </si>
  <si>
    <t>C2924</t>
  </si>
  <si>
    <t>Great! And I could use my grant money to buy a cell phone at last, as I would use it for research. (A fancy one, like my son’s)</t>
  </si>
  <si>
    <t>C2925</t>
  </si>
  <si>
    <t>search on the union of all threads??</t>
  </si>
  <si>
    <t>1050. Shelah, I still haven’t given up on the idea of Shelahifying the proof of DHJ(k), but a weakness in my attempts so far is that I have no good story to tell about corners. So in this comment I am going to try to guess how a proof of the corners theorem might go if the induction worked the other way round. In other words, I want an argument that solves the higher-dimensional corners problem with the one-dimensional Szemerédi theorem as its main tool (rather than Szemerédi in one dimension down). It feels rather unlikely that this is possible, but we aren’t going to know if we don’t try., I think the difference should show up only once we get to three dimensions. I’ve been struggling to think of some way that complexity-1 sets might come into the picture (which in this context means Cartesian products ), and the best I’ve come up with so far is this. The conventional proof takes a “dense diagonal,” meaning a plane of constant  that contains many points of the set , and exploits the fact that this set contains many aligned equilateral triangles to obtain a structured set that  is forced to avoid. What if we try to do things the other way round? We start with the fact that  is dense and try to deduce from that that almost all diagonal planes are sparse. The hope is that the argument works unless  correlates with a set of complexity 1., Let’s be more precise about this. If  is a 3D-corner-free subset of  and  then for any  we cannot have all three points in the aligned equilateral triangle . Thus, each point in  rules out a large number of triangles in a large number of diagonal planes. What we would like to be able to deduce from that is that the density of  in those planes is necessarily small., This suggests the following question, which I have not had time to think about properly. For what collections  of corners (in  now) is it the case that every dense subset of  contains a corner in ? , A more specific question is this. A set of complexity 1 in  is a set of the form  Let us say that  correlates with  if there are more corners with vertices in  than there should be. Suppose that  does not correlate with any dense set of complexity 1. Does it follow that every dense set has a corner in ? And can it be proved surprisingly easily?, If the answer to both questions were to be yes then we might be in business, but as I said at the beginning this feels a bit over-optimistic. , Another point to make is that the above question could need a little adjustment before it becomes sensible. For instance, it might need to talk about more local forms of correlation., Tim, could you please clarify your last question?  “ correlates with if there are more corners with vertices in K than there should be.” (Probably you meant correlates with K.) I can’t see any condition which guarantees that   is not even empty. Probably I missed something., OK. First, I’ve added the missing  — thanks for pointing that out. The idea I had in mind was to assume that  had density  in the set of all possible corners, that  was the density of corners with vertices in , and that the density of such corners that belong to  was significantly different from , I see. This sounds to me like another sparse hypergraph regularity problem. The complexity 1 set is the shadow of  and we check if  is quasirandom on its shadow or not.
The complexity 1 set contains many corners (it is a large Cartesian product with small sumset) so we want to conclude that  contains corners or it is “very irregular”. Isn’t it your modified Ajtai-Szemeredi proof? I have to read your post again, as I lost track of how this relates to a Shelah type argument., Regarding to the first question; There is a very sparse set of corners that every dense subset of  contains one from that set. Using DHJ(4) (I know that we don’t want to use it but anyways) one can show that there is a set of  corners that every dense set contains a corner from that set. To construct such set, consider n as a  dimensional cube and there is a 1-1 correspondence between the points of  and . Take the triangles defined by combinatorial lines. By DHJ(4) every dense subset contains a corner (even a square) from this set of corners. Maybe one can find an even sparser set of corners but I don’t see how. I also can’t see a reasonable lower bound for the size of such set of corners. It seems to be an interesting problem., Shalahifying DHJ(k) is a noble cause indeed; What about DHJ(3)? does the proof gives inverse ackerman type function for DHJ(3) as well? Is the goal of density 1/log log log … log n just for DHJ(3) out of reach with the new proof? (for a bounded number of logs? for two logs?), Another quick question: what are the best bound known for multidimensional Sperner? (The wiki argument with DHJ(2^k) gives terrible bounds). I recall we discussed it but didnt find it. (Another question: is there an easy way to do search on the union of all threads?)</t>
  </si>
  <si>
    <t>C2727</t>
  </si>
  <si>
    <t>might not have found the project except by accident - how can it be more public</t>
  </si>
  <si>
    <t>I would mostly just like to give a big “thank you” to Tim for doing this. I didn’t really even know what a blog was, and found out about your polymath experiment rather by accident, through a student’s offhand comment. It is probably the case that many people who would like to have known about it, didn’t know about it.</t>
  </si>
  <si>
    <t>C2860</t>
  </si>
  <si>
    <t xml:space="preserve">social contract to polymath </t>
  </si>
  <si>
    <t>Also we might get together a list of general suggestions for how people think polymath should be done in general. (Not jeopardizing a students thesis, for example.) One thought regarding your idea to make a list of new problems: it might be a good idea to keep the scope of any particular “polymath no. n” blog as narrow as possible (while maintaining a more general-purpose wiki). My idea is that participants in a blog pursuing proof of X agree to an implicit “social contract” whereby they don’t think too hard about X non-publically (and almost certainly don’t publish a proof of X, or at least a proof of the type being pursued in the project, on their own); if a blog pursuing X starts taking Y, Z and W indiscriminately under its umbrella, in addition to X, it might complicate the terms of said “contract”.</t>
  </si>
  <si>
    <t>C2928</t>
  </si>
  <si>
    <t>Tim</t>
  </si>
  <si>
    <t>Tim, could you please clarify your last question?  “ correlates with if there are more corners with vertices in K than there should be.” (Probably you meant correlates with K.) I can’t see any condition which guarantees that   is not even empty. Probably I missed something.</t>
  </si>
  <si>
    <t>C2929</t>
  </si>
  <si>
    <t xml:space="preserve">OK. First, I’ve added the missing  — thanks for pointing that out. The idea I had in mind was to assume that  had density  in the set of all possible corners, that  was the density of corners with vertices in , and that the density of such corners that belong to  was significantly different from </t>
  </si>
  <si>
    <t>C2930</t>
  </si>
  <si>
    <t>also questions</t>
  </si>
  <si>
    <t>I see. This sounds to me like another sparse hypergraph regularity problem. The complexity 1 set is the shadow of  and we check if  is quasirandom on its shadow or not.
The complexity 1 set contains many corners (it is a large Cartesian product with small sumset) so we want to conclude that  contains corners or it is “very irregular”. Isn’t it your modified Ajtai-Szemeredi proof? I have to read your post again, as I lost track of how this relates to a Shelah type argument.</t>
  </si>
  <si>
    <t>CTao_36864</t>
  </si>
  <si>
    <t>1122. Alternative to c-statistics, Kristal, isn’t that just the  slices we have been using? It only grows as  because the total number of 1s, 2s and 3s is constant., I am running Terry’s idea for  at home, and it looks like it will take a day or two.</t>
  </si>
  <si>
    <t>CTao_36865</t>
  </si>
  <si>
    <t>1123. Alternative to c-statistics,      Yes I think these are the slices we have been using and I agree they are quadratic, .</t>
  </si>
  <si>
    <t>CTao_36875</t>
  </si>
  <si>
    <t>private site</t>
  </si>
  <si>
    <t>1124.  The next installment in my new series ‘Better know an extremal …’:, http://twofoldgaze.wordpress.com/2009/03/17/the-structure-of-the-extremals-of-1302-iii/</t>
  </si>
  <si>
    <t>C2934</t>
  </si>
  <si>
    <t>Regarding to the first question; There is a very sparse set of corners that every dense subset of  contains one from that set. Using DHJ(4) (I know that we don’t want to use it but anyways) one can show that there is a set of  corners that every dense set contains a corner from that set. To construct such set, consider n as a  dimensional cube and there is a 1-1 correspondence between the points of  and . Take the triangles defined by combinatorial lines. By DHJ(4) every dense subset contains a corner (even a square) from this set of corners. Maybe one can find an even sparser set of corners but I don’t see how. I also can’t see a reasonable lower bound for the size of such set of corners. It seems to be an interesting problem.</t>
  </si>
  <si>
    <t>C2935</t>
  </si>
  <si>
    <t>try this idea</t>
  </si>
  <si>
    <t>1051. Shelah, I’m going to have a quick go at the question I asked in 1050 by following the modified Ajtai-Szemerédi proof and seeing what assumptions I need to make about  to get the argument to work., Actually, I’ve got to go — will do this later.</t>
  </si>
  <si>
    <t>C2936</t>
  </si>
  <si>
    <t>Shalahifying DHJ(k) is a noble cause indeed; What about DHJ(3)? does the proof gives inverse ackerman type function for DHJ(3) as well? Is the goal of density 1/log log log … log n just for DHJ(3) out of reach with the new proof? (for a bounded number of logs? for two logs?)</t>
  </si>
  <si>
    <t>C2938</t>
  </si>
  <si>
    <t>1052.  Shelah, OK here goes. The first step was to find a dense diagonal. Do we still want to do that? Well, the point of a dense diagonal was that it gave rise to a large Cartesian product full of forbidden points. But if we’ve only got a certain subset of corners, then we cannot make such a strong conclusion. , So what can we conclude? To investigate this, we could see what happens if the set of pairs on some diagonal that belong to corners in our system  is random. If there are  of these pairs, then they are ruling out a … random set of size , which isn’t very helpful., Actually, what I’m doing is nonsense because the contrapositive of what I’m trying to show is that a dense “diagonal plane” forces a complexity-1 bias in the set A, which is clearly untrue. So I still don’t have any feel for how, or whether, the proof can be given a Shelah version., 1052.1 , This may make absolutely no sense, but what if instead of looking at corners in  you look at four terms progressions in …only you can still look at your dense plane in 3 space, only now your dense set is a set of a special type. Namely, what we really seek is a four term progression in a dense set  of , but we actually look at the set , which is dense in . It seems that even though you are only forbidding a sparse set with your dense plane, that sparse set may project back to a dense set in  (though I have no idea why that would be, if so, so this is mere speculation).</t>
  </si>
  <si>
    <t>C2940</t>
  </si>
  <si>
    <t>1052.1 , This may make absolutely no sense, but what if instead of looking at corners in  you look at four terms progressions in …only you can still look at your dense plane in 3 space, only now your dense set is a set of a special type. Namely, what we really seek is a four term progression in a dense set  of , but we actually look at the set , which is dense in . It seems that even though you are only forbidding a sparse set with your dense plane, that sparse set may project back to a dense set in  (though I have no idea why that would be, if so, so this is mere speculation).</t>
  </si>
  <si>
    <t>C2939</t>
  </si>
  <si>
    <t>1052. Szemeredi’s proof of Roth’s theorem, I just looked for the first time at the page about Szemeredi’s combinatorial proof of Roth’s theorem on the wiki. It seems to me that this proof actual resembles the polymath proof of DHJ3 as much as does the Ajtai/Szemeredi  proof, if not more. After all it uses this “cube lemma” which seems to be more comparable to DHJ(2) than is Szemeredi’s theorem. Indeed, isn’t my post 1002, which was intended to be a dumbed-downed version of our DHJ3 proof that would be just strong enough to tackle corners, essentially the same proof? (Assuming of course that 1002 is even correct….), I had a similar thought at some stage (though less precise): the fact that he uses combinatorial cubes is certainly suggestive. No time just now to think about your question about 1002, but we should certainly try to clarify this.</t>
  </si>
  <si>
    <t>C2941</t>
  </si>
  <si>
    <t>should clarify this</t>
  </si>
  <si>
    <t>I had a similar thought at some stage (though less precise): the fact that he uses combinatorial cubes is certainly suggestive. No time just now to think about your question about 1002, but we should certainly try to clarify this.</t>
  </si>
  <si>
    <t>C2942</t>
  </si>
  <si>
    <t>1053.  Simplifying the DHJ(3) proof., I’ll be back on my normal schedule soon, but let me just say I started thinking about the part of the proof wherein it is shown that if  has a density increment on a 12-set, then we can find a subspace (with  coordinates) on which it also has a density increment., Let’s simplify by imagining that  has a density increment on a 1-set.  By the argument already sketched (based on multidim Sperner), one can show that a 1-set contains not just a combinatorial line but a combinatorial subspace of dimension .  , I think then one can use the new equal-slices perspective to easily show the Varnavides statement, that a 1-set contains a randomly chosen chosen -dimensional subspace with constant probability.  Perhaps this can substitute for the argument which almost partitions 1-sets into combinatorial subspaces…, 1053.1  I think that doesn’t work, for two reasons. First, I don’t see why a 1-set containing lots of combinatorial subspaces gives you a density increase on one of those subspaces. Why couldn’t they all be disjoint from A?, More seriously, and this was an important factor in guiding me to the partitioning-into-subspaces perspective, one can use the Hahn-Banach theorem to prove that IF it follows from the fact that A correlates with X that A correlates with a set of type T, then one MUST be able to partition X into sets of type T. (I’ve oversimplified here, and not explained where partitioning almost the whole set comes in — perhaps I’ll wikify this argument some time soon.), 1053.2   I didn’t quite say what I meant there. The Hahn-Banach theorem tells you that you’re basically forced to find at the very least some kind of fractional partition — that is, a covering by subspaces where almost every element is covered almost the same number of times. But I don’t see a probabilistic way of proving that, because different elements can be in very different numbers of subspaces. (I gave up after failing to find a direct probabilistic proof that a Cartesian product in  can be evenly covered by grids.), Is this Hahn-Banach argument essentially LP duality? A general ststament will be useful and may ring various combinatorial bells…, Gil, I think think so, except that when Tim says “Hahn-Banach” here I’m not sure he actually means “using the Hahn-Banach theorem”.  I interpret it somehow as short for “the argument wherein you say that if one can partition X into sets of type T, then it must be that A being dense in X means A is dense in some set of type T”.  , Or perhaps he does mean, “use the Hahn-Banach Theorem” (i.e., LP duality), I don’t know., My fault for writing in too much haste — sorry, I’ve been rather busy with other things recently (and am just about to go abroad for a few days, so I’ll be going even quieter). I was actually referring to the Hahn-Banach separation theorem, which says that if a point doesn’t belong to a convex body then you can find a linear functional that’s large on the point and small everywhere on the convex body. (I’m oversimplifying slightly, but not too much.) In this case, if the characteristic function f of X can’t be approximated by a suitable positive combination of characteristic functions of subspaces, then you have a convex set to which f does not belong. The functional given by the Hahn-Banach theorem can be used to produce a bounded function that correlates with X but not with any subspace. I’m trying to wikify the details but have kept messing it up. I’m going to work them out on paper and then I’ll get back to the wikification.</t>
  </si>
  <si>
    <t>CTao_36898</t>
  </si>
  <si>
    <t>1125. c-statistics, I ran a search for the sixteen c-statistics (2×22, 22×2, etc)
I could only find 65 rules, from the 65 combinatorial lines., My results limit the total possible points for 4D Moser below 73, which is higher than 43.  Either I have a bug, or there was too little connection between the various c statistics., For the record, the Pareto extremals it found were
16,0,0,0,0,0,0,0,0,0,0,0,0,0,0,0
  8,8,8,8,8,4,4,4,4,4,4,2,2,2,2,1
12,4,4,4,4,2,2,2,2,2,2,1,1,1,1,0
14,2,2,2,2,1,1,1,1,1,1,0,0,0,0,0
10,6,6,6,6,3,3,3,3,3,3,1,1,1,1,0
15,1,1,1,1,0,0,0,0,0,0,0,0,0,0,0
13,3,3,3,3,1,1,1,1,1,1,0,0,0,0,0
11,5,5,5,5,2,2,2,2,2,2,1,1,1,1,0
  9,7,7,7,7,3,3,3,3,3,3,1,1,1,1,0</t>
  </si>
  <si>
    <t>CTao_36899</t>
  </si>
  <si>
    <t>include wiki update</t>
  </si>
  <si>
    <t>1126. c-statistics, I ran through the 2^27 subsets of the 3D cube, looking for Moser sets.  I classified them with the c-statistics.  I collected Pareto optimal points.  Then, from the extremal points I found a set of twenty linear inequalities satisfied by all Moser sets.  They are the same linear inequalities found earlier for the ‘xxxxyyz diagonals’.  They are on Sheet 8 of a spreadsheet in the Moser section of the wiki., I don’t yet know their effects in 4D</t>
  </si>
  <si>
    <t>C2944</t>
  </si>
  <si>
    <t>quick question</t>
  </si>
  <si>
    <t>Another quick question: what are the best bound known for multidimensional Sperner? (The wiki argument with DHJ(2^k) gives terrible bounds). I recall we discussed it but didnt find it. (Another question: is there an easy way to do search on the union of all threads?)</t>
  </si>
  <si>
    <t>C2945</t>
  </si>
  <si>
    <t>1053.1  I think that doesn’t work, for two reasons. First, I don’t see why a 1-set containing lots of combinatorial subspaces gives you a density increase on one of those subspaces. Why couldn’t they all be disjoint from A?, More seriously, and this was an important factor in guiding me to the partitioning-into-subspaces perspective, one can use the Hahn-Banach theorem to prove that IF it follows from the fact that A correlates with X that A correlates with a set of type T, then one MUST be able to partition X into sets of type T. (I’ve oversimplified here, and not explained where partitioning almost the whole set comes in — perhaps I’ll wikify this argument some time soon.)</t>
  </si>
  <si>
    <t>C2946</t>
  </si>
  <si>
    <t>C2942; C2945</t>
  </si>
  <si>
    <t>1053.2   I didn’t quite say what I meant there. The Hahn-Banach theorem tells you that you’re basically forced to find at the very least some kind of fractional partition — that is, a covering by subspaces where almost every element is covered almost the same number of times. But I don’t see a probabilistic way of proving that, because different elements can be in very different numbers of subspaces. (I gave up after failing to find a direct probabilistic proof that a Cartesian product in  can be evenly covered by grids.)</t>
  </si>
  <si>
    <t>CTao_36932</t>
  </si>
  <si>
    <t>first child coming any time now</t>
  </si>
  <si>
    <t>1127. Progress on , What I have typed so far is at the talk page about Fujimura’s on the wiki. My time is limited (my wife is close to giving birth to our first child) so it may be a while before I can finish all the cases.</t>
  </si>
  <si>
    <t>CTao_36933</t>
  </si>
  <si>
    <t>life outside of work</t>
  </si>
  <si>
    <t>1128. Progress on \overline{c}^\mu_6 = 15,     “My time is limited (my wife is close to giving birth to our first child)”,      Congratulations!</t>
  </si>
  <si>
    <t>CTao_36934</t>
  </si>
  <si>
    <t>1129. c^{\mu}_4=9, If c^{\mu}_4 is greater than 9 then the counterexample must occur
when there is exactly one point of the form aaaa removed. The other three cases are below., If we have all
three points of the form aaaa removed
then the remaining points have value 12 and
we have covered all lines any set of moving coordinates
with all constant points equal to one value this leaves
the lines xxab, xabc and xaab. let us also remove the three sets of the form aabc, a, b, c not equal. These block the remaining lines and the size is now 9. , Now suppose we try to replace the removed points of the form aabc by points of the form aaab or aabb. Now we must cover the lines of the form xaab each point of the form aabc covers two and has a weight 1/12 each point of the form aabb covers 4 and has a weight 1/6 each point of the form aaab covers three and has a weight of 1/3 and since each element of the form covers two elements of the form xaab that no other element of the set aabc covers and as noted above all lines of the form xaab are covered by the the elements of the three sets of the form aabc we cannot improve on the weight as we can only cover the xaab’s by the same or higher weight lowering the total from 9 so for this case the value is 9., If we have two points removed of the form aaaa then
the weight is at most 13 say the point not removed is 2222
then we must cover the lines xxx2 and x222 we have eight such
lines and all six xx22 must be covered one at a time by either 1122
or 3322 the four x222 must be covered one at a time by 3222 or 1222
the four xxx2 must be covered by 3332 or 1112
these points must be removed and the that lowers the weight
To 13 – 4*(6/24) – 6*(1/6) – 4(6/24) = 10.
We also have 24 lines of the form xabc which can only be covered
two at a time by the aabc which have weight 1/12 so we need to cover
these with at least 12 of these which we can do by choosing all points which are permutations of
1123 this reduces the number to 9 and
 again we have c^{\mu} must be 9., Finally we have no points of the form aaaa removed but then we will
have a line of the form xxxx.</t>
  </si>
  <si>
    <t>C2949</t>
  </si>
  <si>
    <t>1054.  Simplifying., Hi Tim, perhaps you’re right, but here is an alternative that I think works., By known arguments I think we can Varnavides-ise and multidimensional-ise any DHJ-type statement fairly easily, in the equal-slices measure.  (The multidimensionalising is in the wiki for uniform measure I think, but I’m pretty sure it’s easy to do under equal-slices.)  In particular, we can even Varnavides+multidim-ise any such statement.  Hence, e.g., starting with Sperner, it’s not to hard to get an equal-slices VM-DHJ(2).  M = multidim, V = Varnavides., That’s good, because that’s a key component in pushing up from k = 2 to k = 3.  In particular, with VM-DHJ(2), one can get DHJ(3) for 1-sets (“Step 1” in the overall sketch.)  Were we calling this DHJ(1,3) or something?  Let’s say we were.  , I checked (I think) that again, we can easily V-ise and M-ise.  (One only needs to check that restrictions of 1-sets to subspaces are still 1-sets.)  So we can easily get VM-DHJ(1,3); i.e., a 1-set in  with density  has the property that if you pick a random equal-slices -dimensional subspace, it’s entirely within the set with probability ., Let me now wave my hands and pretend that we can somehow get DHJ(2,3) as well, where I take “DHJ(2,3)” to mean the claim that a dense 12-set in  contains a line.  I’m not quite sure how to do this currently, but the jump from 1-sets to 12-sets in the current proof outline is easy, so let’s pretend it’s easy here too. 🙂  More honestly, I think we should try to do it by using the argument that appears below., Again, we can V-ise and M-ise to get VM-DHJ(2,3)., Now for the main point of this post: how can we use this to conclude DHJ(3)?  If I’m not mistaken (I’m probably mistaken) I think it’s actually easy:  , As usual, we note that if  has (equal-slices) density , yet fails to contain a line, then it must completely avoid a certain 12-set we like to call .  This set  has equal-slices density .  , Let  denote a randomly chosen (equal-slices) -dimensional subspace of .  Note that if we draw  at random (equal-slices), then  is overall distributed as equal-slices.  Hence:, 
., Since  avoids  we have .  But also, by VM-DHJ(2,3), we know that  for some tiny but positive .  Hence the above equation implies, ., Hence there exists a particular subspace  (not in ) such , and we have the desired density increment on a (multidimensional) subspace., A small point:  Actually, DHJ(1,3) follows almost trivially just from Sperner (as I’m sure we noted back in the 1-200 thread).  So you can get to VM-DHJ(1,3) rather quickly.  About DHJ(2,3), I’m still thinking…, 1054.2.  DHJ(3) for 12-sets., Oh, it’s already on the wiki.  Hmm.  Are we done?, 1054.3.  Okay, so just to recap.  The following statements all refer to equal-nondegenerate-slices measure:, (a) DHJ(3) for 12-sets is an easy consequence of Sperner (see 1054.2)., (b) I claim that it is not too hard to Varnavides-ise, Multidimensional-ise, and indeed Varna+Multidim-ise DHJ(3) for 12-sets (using known arguments of Tim and Terry I think that are already on the wiki, but which can be streamlined a bit if you work in equal-nondegenerate-slices), (c) Then, assuming VM-DHJ(3) for 12-sets, use the argument following “Now for the main point of this post:” in 1054., If someone is able to agree with (c), I will endeavour to wikify (b) a bit more clearly., 1054.4.  I’m slightly nervous about the dog-chasing-its-own-tail aspect of the parameters here; you know, getting too small an increment on too small a subspace.  Let me think about why it’s okay in the original proof sketch., 1054.5  I see better what you’re saying now. One detail troubles me, which is that the density increase you get on the subspace depends on the dimension of the subspace, which definitely isn’t the case in the other argument, but I haven’t yet decided whether that’s a serious problem or just an interesting detail., 1054.6  The more I think about it, the more I think that it is a problem. E.g. if on passing to an m-dimensional subspace you get a density increase of  it seems to me that there’s no way of getting the density up to 1., Right, it seems to be a problem.  But I kind of like the flavour of this angle; I wonder if there’s a way to make it work…  Probably won’t get a chance to think about it today though., It would be great if you could simplify the argument. I’m busy wikifying an argument that places some limits on any proof that can possibly work — I hope it will narrow down and therefore speed up the search.</t>
  </si>
  <si>
    <t>C2950</t>
  </si>
  <si>
    <t>quick point</t>
  </si>
  <si>
    <t>A small point:  Actually, DHJ(1,3) follows almost trivially just from Sperner (as I’m sure we noted back in the 1-200 thread).  So you can get to VM-DHJ(1,3) rather quickly.  About DHJ(2,3), I’m still thinking…</t>
  </si>
  <si>
    <t>C2951</t>
  </si>
  <si>
    <t>1054.2.  DHJ(3) for 12-sets., Oh, it’s already on the wiki.  Hmm.  Are we done?</t>
  </si>
  <si>
    <t>C2952</t>
  </si>
  <si>
    <t>1054.3.  Okay, so just to recap.  The following statements all refer to equal-nondegenerate-slices measure:, (a) DHJ(3) for 12-sets is an easy consequence of Sperner (see 1054.2)., (b) I claim that it is not too hard to Varnavides-ise, Multidimensional-ise, and indeed Varna+Multidim-ise DHJ(3) for 12-sets (using known arguments of Tim and Terry I think that are already on the wiki, but which can be streamlined a bit if you work in equal-nondegenerate-slices), (c) Then, assuming VM-DHJ(3) for 12-sets, use the argument following “Now for the main point of this post:” in 1054., If someone is able to agree with (c), I will endeavour to wikify (b) a bit more clearly.</t>
  </si>
  <si>
    <t>C2954</t>
  </si>
  <si>
    <t>1054.4.  I’m slightly nervous about the dog-chasing-its-own-tail aspect of the parameters here; you know, getting too small an increment on too small a subspace.  Let me think about why it’s okay in the original proof sketch.</t>
  </si>
  <si>
    <t>C2956</t>
  </si>
  <si>
    <t>serious problem or interesting detail?</t>
  </si>
  <si>
    <t>1054.5  I see better what you’re saying now. One detail troubles me, which is that the density increase you get on the subspace depends on the dimension of the subspace, which definitely isn’t the case in the other argument, but I haven’t yet decided whether that’s a serious problem or just an interesting detail.</t>
  </si>
  <si>
    <t>C2957</t>
  </si>
  <si>
    <t>1054.6  The more I think about it, the more I think that it is a problem. E.g. if on passing to an m-dimensional subspace you get a density increase of  it seems to me that there’s no way of getting the density up to 1.</t>
  </si>
  <si>
    <t>C2958</t>
  </si>
  <si>
    <t>big collaborations just use the name of the collaboration</t>
  </si>
  <si>
    <t>Terry – On the issue of how the physical sciences deal with it, it’s very common to just refer to the name of a collaboration.    For example, it’s well known that the top quark was discovered by the CDF collaboration at FermiLab: http://en.wikipedia.org/wiki/Collider_Detector_at_Fermilab , I’m not a high energy physicist, so I don’t entirely understand how this impacts on jobs, but I imagine the main impact is to make letters of recommendation more important.  My understanding is that the big collaborations have internal report series they use to help organize the collaborations internally.  These would seem to play a role analogous to the blog and wiki discussion in Polymath, albeit far less open.</t>
  </si>
  <si>
    <t>C2959</t>
  </si>
  <si>
    <t>come back to this later</t>
  </si>
  <si>
    <t>Right, it seems to be a problem.  But I kind of like the flavour of this angle; I wonder if there’s a way to make it work…  Probably won’t get a chance to think about it today though.</t>
  </si>
  <si>
    <t>C2960</t>
  </si>
  <si>
    <t>simplify the argument</t>
  </si>
  <si>
    <t>It would be great if you could simplify the argument. I’m busy wikifying an argument that places some limits on any proof that can possibly work — I hope it will narrow down and therefore speed up the search.</t>
  </si>
  <si>
    <t>C2961</t>
  </si>
  <si>
    <t>1055.  Yes, Tim, I’m starting to see what you say, that this “inner increment/partition argument” is necessary., Without thinking about it too carefully, let me ask the following question:  in the general partitioning argument, it seems to me that the “Subspace Richness” property tends to follow in general just from the “Line-Having” property, by the standard Multidimensional-ising and Varnavides-ising (perhaps one needs some of the other properties here; for example, I’ve only bothered to convince myself for 1-sets and 12-sets)., If so, I guess the overall argument could go (or rather, is going):, DHJ(2) (Sperner) =&gt; 12-sets in  have Lines =&gt; 12-sets in  are Subspace Rich (VM-ise) =&gt; 12-sets in  can be partitioned =&gt; DHJ(3) (because Line-free sets correlate with 12-sets), Now presumably the argument continues: DHJ(3) =&gt; “lower complexity” (??) sets in  have Lines =&gt; lower complexity sets in  are Subspace Rich =&gt; lower complexity sets in  sets are partitionable =&gt; DH(4)…, Sorry, I guess this is already more or less on the wiki already and I’m just thinking out loud / catching up.  Is this right?, I confess I have trouble following these outlines (partly because I just think rather slowly) but I think both proofs of the part in question that we have, Tim’s via almost-partitioning a 1-set into subspaces and Terry’s via dense fibers (really, these are essentially the same proof) proceed via…well…partitioning a 1-set into subspaces. (This is of course a tautology in the case of Tim’s argument, but it’s true of Terry’s as well because the greedy algorithm he uses may in general throw away almost the entire 1-set in question before it locates a suitable set of “maximal density” or drives the density on the remaining part to 1.) More generally, I tend to think Tim is right than any argument that is going to work at all has got to be powerful enough to partition a 1-set into subspaces, so you might as well do exactly that because it’s much easier to follow the proof in that case anyway. (I at least find Tim’s argument easier to follow than Terry’s, despite the fact that Terry’s is closer in spirit to the ergodic heuristic…and also despite the fact that they are essentially the same argument, of course.)</t>
  </si>
  <si>
    <t>C2962</t>
  </si>
  <si>
    <t>Is this Hahn-Banach argument essentially LP duality? A general ststament will be useful and may ring various combinatorial bells…</t>
  </si>
  <si>
    <t>C2963</t>
  </si>
  <si>
    <t>Amir</t>
  </si>
  <si>
    <t xml:space="preserve">Ramsey's Theorem :) </t>
  </si>
  <si>
    <t>It’s not surprising that you knew all of the collaborators: , Ramsey’s Theorem says that if you have 6 collaborators or more, you would guarantee that three people are either mutually acquainted or mutually strangers 😉</t>
  </si>
  <si>
    <t>C2965</t>
  </si>
  <si>
    <t>872.1 (just trying to catch up) I suspect this “localization” means that at the end the emerging argument has a strong (probably central) ingredient of Szemeredi-like-regularity-lemma; so we have a distinction between Roth-like-density-increment and Szemeredi-like-density-increment.</t>
  </si>
  <si>
    <t>C2966</t>
  </si>
  <si>
    <t>JohnJones</t>
  </si>
  <si>
    <t>app to track this?</t>
  </si>
  <si>
    <t>I think that a app on facebook would be just as valid… , what would be cool is a blog entry that got posted in facebook/myspace/mobile that could be tracked…, glad you all had fun !, regards, John Jones
http://www.johnjones.me.uk</t>
  </si>
  <si>
    <t>C2971</t>
  </si>
  <si>
    <t>tool use</t>
  </si>
  <si>
    <t>Mercurial is your friend:, http://www.selenic.com/mercurial/wiki/, I’ve set it up before when my old hoster didn’t allow me to install things on the server.  So, I did a local install to my $HOME and it worked just fine., I know that every person I’ve talked to in research is adverse to such things.  But, learning two or three commands and using them is a fair bit more convenient than manually keeping track of versions, manually uploading them, etc, etc, etc., Of course, CVS/SVN/etc would be fine as well.  It’s just that Mercurial requires *much* less from the IT guy/department/whatever.  So, it can be a DIY project as well.</t>
  </si>
  <si>
    <t>C2972</t>
  </si>
  <si>
    <t>Without having individual names on the paper, how exactly are people supposed to build a reputation again?  Are potential employers supposed to troll through thousands of posts on such projects making sure that someone isn’t lying about being a contributor?  What about *when* these threads cease to exist?  Because, storage is quite fragile and thinking that backups don’t fail and that companies will keep data around forever, or even be in business or the product will be the same, in say, 20 or 50 years, is rather naive.  In other words, expecting an exceedingly high quality product that doesn’t change how it works and to have an eternal life expectancy, especially when that product is free, isn’t exactly reasonable., In all honesty, it’s great that you guys showed that what I said last time around was true, but now you’re going to have to finally address practical issues surrounding this method of research.  You can start with answering the above questions., Reid, I wish I had a complete and fully satisfactory answer to your first question (about credit) but I don’t. If collaborations like this become a mainstream activity then procedures will need to be developed. There is an optimistic point of view, which is espoused by Mark Bennet in a comment above, which is that the present systems of apportioning credit will adapt to fit mathematical practice. I think he may be right, but there could be an awkward transitional period, and that could be very important if it happens to be you who are not getting the credit you should. But I suppose the bottom line is that nobody’s forced to contribute to an online collaboration (at least if people are careful to avoid the PhD-spoiling danger that we’ve discussed already)., Incidentally, Terry Tao wrote a timeline of what he described as some of the highlights of the project. If that became a regular practice then it would make it much easier for people to get a feel for who had done what, since they wouldn’t have to trawl through all those comments. Of course, that presents its own problems: who decides which events qualify as highlights, and on what basis? (Actually, that made me a little uncomfortable about the timeline, but eventually I decided that its utility outweighed that problem, especially as the timeline can be freely edited if anyone feels that a comment has been wrongly left out.), You’ve already mentioned the storage problem, and I took your comment seriously: a few days ago I made a backup on my computer of my entire blog, and I plan to make further copies of it on other systems. I hope that the chances of everything failing simultaneously are sufficiently remote that the record of the solution will be safe., Reid,, As I commented earlier, the first of the problems you mention is already faced by large-scale collaborations in other communities, such as high-energy physics and astrophysics.  My understanding is that it’s addressed largely by letters of recommendation.  Many of those collaborations also have internal (private) working papers that play a role not dissimilar to the role played by blog comments and wiki edits in the Polymath1 project.  Those internal reports are not necessarily used directly by hiring committees, but they play an indirect role through the letters of recommendation., The second problem – preservation and data integrity – is very interesting. Last year, Google announced a service for experimentalists to store scientific datasets, and then axed it just a few months later.  I doubt anyone lost data as a result – it wasn’t around long enough that anyone was relying on it – but it’s sobering as an example of the kind of problem you’re talking about.  , Over the long run, I’m confident this problem will be solved. There are many people in the academic library community and at funding agencies who see long-term preservation of digital data as part of their job.   It takes time to develop the necessary infrastructure, though, and at present those people are still working out what needs to be preserved.  Their work has resulted in systems like CrossRef and the digital object identifier (DOI) system, now used by many journals to provide permanent URLs for papers.  If Polymath-style projects become common, I have no doubt this commnity wil be interested in helping properly archive the information., If polymaths become common, there is an issue that might come up — a polymath where *nobody* is a senior researcher., Just to follow up on the question of preserving the blog record again, this type of question is being discussed now in the library and related communities, see e.g., http://www.gavinbaker.com/2009/03/30/preservation-for-scholarly-blogs/ and http://cavlec.yarinareth.net/2009/03/31/blog-preservation/</t>
  </si>
  <si>
    <t>C2973</t>
  </si>
  <si>
    <t>I should mention that the above came off disturbingly more arrogant that intended.  Sorry.</t>
  </si>
  <si>
    <t>C2974</t>
  </si>
  <si>
    <t>Reid, I wish I had a complete and fully satisfactory answer to your first question (about credit) but I don’t. If collaborations like this become a mainstream activity then procedures will need to be developed. There is an optimistic point of view, which is espoused by Mark Bennet in a comment above, which is that the present systems of apportioning credit will adapt to fit mathematical practice. I think he may be right, but there could be an awkward transitional period, and that could be very important if it happens to be you who are not getting the credit you should. But I suppose the bottom line is that nobody’s forced to contribute to an online collaboration (at least if people are careful to avoid the PhD-spoiling danger that we’ve discussed already)., Incidentally, Terry Tao wrote a timeline of what he described as some of the highlights of the project. If that became a regular practice then it would make it much easier for people to get a feel for who had done what, since they wouldn’t have to trawl through all those comments. Of course, that presents its own problems: who decides which events qualify as highlights, and on what basis? (Actually, that made me a little uncomfortable about the timeline, but eventually I decided that its utility outweighed that problem, especially as the timeline can be freely edited if anyone feels that a comment has been wrongly left out.), You’ve already mentioned the storage problem, and I took your comment seriously: a few days ago I made a backup on my computer of my entire blog, and I plan to make further copies of it on other systems. I hope that the chances of everything failing simultaneously are sufficiently remote that the record of the solution will be safe.</t>
  </si>
  <si>
    <t>C2975</t>
  </si>
  <si>
    <t>Regarding apportioning credit, I think that it’s important to remember that (at least within acedemia)  the most important aspect of a job candidate’s application is their letters of recommendation.   Potential employers won’t necessarily have to examine the record themselves to determine the extent of a candidate’s contribution to Polymath; rather, it’s reasonable to expect that this will be documented in the candidate’s letters., It is already quite common practice, in the case when a candidate has done important collaborative work with a more senior figure in their field, to ask that senior person for a letter, with the goal being to try to determine the role of the candidate in the collaboration.    One could presumably do the same in the case of Polymath: ask one
of the senior figures whose contribution to the project was not in doubt for a letter,
which would then address the significance of the candidates contribution.   , We should bear in mind that if a candidate only makes relatively minor contributions to the project, then the role of their work on Polymath won’t in any case be the main pillar of support of their application: they will presumably have other more major work
on which their reputation, and the strength of their application, rests.    And if they did contribute significantly, then the problem doesn’t seem that different from the already existing problem of determining how to apportion credit for joint work with senior figures in the field, and as I indicated, we already have a standard method for dealing with this problem.</t>
  </si>
  <si>
    <t>CTao_36995</t>
  </si>
  <si>
    <t>1130 ,  from the bound for general n. , Note that there are ten extremal solutions to :, Solution I: remove 300, 020, 111, 003
Solution II (and 2 rotations): remove 030, 111, 201, 102
Solution III (and 2 rotations): remove 030, 021, 210, 102
Solution III’ (and 2 rotations): remove 030, 120, 012, 201, Also consider the same triangular lattice with the point 020 removed, making a trapezoid. Solutions based on I-III are: , Solution IV: remove 300, 111, 003
Solution V: remove 201, 111, 102
Solution VI: remove 210, 021, 102
Solution VI’: remove 120, 012, 201, The on the 7x7x7 triangular lattice triangle 141-411-114 must have at least one point removed. Remove 141, noting by symmetry any logic that follows will also work for either of the other two points., Suppose we can remove all equilateral triangles on our 7×7×7 triangular lattice with only 12 removals., Here, “top triangle” means the top four rows of the lattice (with 060 at top) and “bottom trapezoid” means the bottom three rows., At least 4 of those removals must come from the top triangle (the solutions of  mentioned above)., The bottom trapezoid includes the overlapping trapezoids 600-420-321-303 and 303-123-024-006. If the solutions of these trapezoids come from V, VI, or VI’, then 6 points have been removed. Suppose the trapezoid 600-420-321-303 uses the solution IV (by symmetry the same logic will work with the other trapezoid). Then there are 3 disjoint triangles 402-222-204, 213-123-114, and 105-015-006. Then 6 points have been removed. Therefore at least six removals must come from the bottom trapezoid., To make a total of 12 removals there must be either:
Case A: 4 removals from the top triangle and 8 from the bottom trapezoid.
Case B: 5 removals from the top triangle and 7 from the bottom trapezoid.
Case C: 6 removals from the top triangle and 6 from the bottom trapezoid., * Suppose case A is true., Because 141 is already removed, the solution to the upper triangle must remove either solution I (remove 060, 330, 033), solution II (remove 060, 231, 132), solution IIb (remove 033, 150, 240) or solution IIc (remove 330, 051, 042), Suppose I is the solution for the upper triangle., Suppose 222 is open. Then 420, 321, 123, and 024 must all be removed. This leaves five disjoint triangles which require removals in the bottom trapezoid (150-600-105, 051-501-006, 222-402-204, 231-411-213, 132-312-114); therefore the bottom trapezoid needs at least 9 removals, but we can only make 8, therefore 222 is closed., Suppose 411 is open. Then 213 and 015 must be removed. This leaves five disjoint triangles such that each triangle must have exactly one removal (420-150-123, 321-051,024, 600-510-501, 402-312-303, 204-114-105), so the remaining point (006) must be open, forcing 501 to be removed. This makes 600 and 510 open, and based on the triangles 600-240-204 and 510-150-114 both 204 and 114 must both be removed, but 204 and 114 are on the same disjoint triangle, contradicting the statement that each triangle must have exactly one removal. So 411 is closed., This leaves six disjoint triangles each which must have at least one removal (420-123-150, 321-024-051, 510-213-240, 312-015-042, 501-204-231, 402-105-132). This forces 600 and 006 to be open. Based on the triangles 006-501-051 and 600-204-240, this forces 501 and 204 to be open. But then there are no removals from the triangle 501-204-231, which is a contradiction. Therefore the solution of the upper triangle cannot be I., Suppose II is the solution for the upper triangle., There are seven disjoint triangles (150-600-105, 051-501-006, 222-402-204, 240-510-213, 042-312-015, 330-420-321, 033-123-024), therefore of the three points remaining in the bottom trapezoid (411, 303, 114) exactly one must be removed., Suppose 411 is removed. Then 114 and 303 are open; 114 open forces 510 to be removed, forcing 213 to be open. 114 and 213 open force 123 to be closed, forcing 024 to be open. 024 open forces 222 to be closed, which forces 204 to be open, which leaves the triangle 213-303-204 open so we have a contradiction., By symmetry 114 also can’t be removed. Therefore we must remove 303. This leaves 411 and 114 open, forcing 510 and 015 closed. 510 and 015 closed forces 312 and 213 open, forcing 222 closed. 222 closed forces 402 and 204 open. 402 and 204 open force 501 and 105 closed. 510 and 105 closed force 600 and 006 open, leaving equilateral triangles 600-204-240 and 402-006-042 open. Therefore 303 can’t be removed, and so the solution of the upper triangle can’t be II., Suppose IIb is the solution for the upper triangle., Suppose 024 is open. This forces 420, 321, and 222 closed. Five disjoint triangles remain (510-600-501, 231-411-213, 132-312-114, 123-303-105, 024-204-006) so each must have exactly one point removed, and the remaining points in the lower trapezoid (402, 015) must be open. This forces 312, 411, 510, and 006 closed, which then force the the other points in their disjoint triangles open (600, 501, 231, 213, 132, 114, 204). The triangle 501-231-204 is therefore open, so we have a contradiction, therefore 024 is closed., Suppose 006 is open. This forces 600, 501 and 402 to be closed, and leaves five disjoint triangles (510-420-411, 321-231-222, 312-132-114, 303-213-204, 105-015-006) and so 123 must be open. This forces 222 closed, which forces 321 open, which forces 420 closed, which forced 510 and 411 open, which forces 213 closed, which forces 303 and 204 open, which forces 105 closed, which forces 015 and 006 to be open, leaving an open triangle at 411-015-051. Therefore we have a contradiction, so 006 is closed., Given 024 and 006 closed, now note there are six disjoint triangles (600-510-501, 402-312-303, 204-114-105, 420-330-321, 222-132-123, 411-231-213). Therefore the remaining point in the lower trapezoid 015 must be open, forcing 510, 411, and 312 to be closed. Using the disjoint triangles this forces 600, 501, 402, 303 and 213 to be open, which then forces 420 and 321 to be closed. Both 420 and 321 are on the same disjoint triangle, therefore we have a contradiction, so IIb can’t be solution., Note by symmetry, the same logic for IIb will apply for IIc. Therefore case A isn’t true., * Suppose case B is true., The row 330-231-132-033 has ten possible solutions (excluding reflections, which by symmetry will be handled by the same logic):, Case Q: open-open-open-open
Case R: closed-closed-closed-closed
Case S: closed-open-open-open
Case T: closed-open-closed-closed
Case U: open-closed-closed-closed
Case V: closed-open-closed-closed
Case W: closed-closed-open-open
Case X: closed-open-closed-open
Case Y: open-closed-closed-open
Case Z: closed-open-open-closed, Consider all 10 cases. Note in all these cases we are still assuming 141 is removed., (Case Q) 330, 231, 132, 033 open forces 060, 150, 051, 240, 141, 042 closed, but the upper triangle only allows 5 removals, so case Q forms a contradiction., (Case R) 060-240-042 is left open, so case R forms a contradiction., (Case S) 231, 132, and 033 open force 031 and 042 removed, which means from 240, 150, 061 there must be exactly one removal., Suppose 213 is open. Then 411 and 015 are closed, and five disjoint triangles are left where each triangle must have exactly one removal (600-420-402, 501-321-303, 312-222-213, 204-105-114, 123-024-033). So the two remaining points in the lower trapezoid (510 and 006) must be open. 510 and 006 open force 303 closed, which forces 321 and 501 open, which forces 204 closed, which forces 114 and 103 open, which forces 402 and 312 closed, forcing 222 open, leaving 321-231-222 as an open triangle, so we have a contradiction., Therefore 213 is closed. This leaves six disjoint triangles (600-420-402, 501-231-204, 303-033-006, 411-321-312, 222-132-123, 114-024-015) which each have exactly one removal. Therefore 510 from the lower trapezoid is open. Note since one of 150 and 060 must be open, then one of 114 or 015 must be closed; therefore 024 is open. This forces 123 closed, forcing 222 to be open, forcing 321 to be closed, forcing 411 and 312 open, forcing 421 closed, forcing 600 and 402 open, forcing 303 closed, forcing 006 open, forcing 204 closed, forcing 501 open, leaving the triangle 600-510-501 open and a contradiction., (Case T) 231 is closed, and 330, 132, and 033 open force 060, 150, and 042 closed. Since 141 is already closed we have five removals from the top triangle, so 240 and 051 are open., Suppose 024 is open. This forces 321 and 123 closed, leaving five disjoint triangles (600-510-501, 402-312-303, 204-114-105, 420-240-222, 213-033-015). Therefore 006 and 411 remaining in the lower trapezoid are open, forcing 501, 303 and 015 closed, forcing 600, 510, 312, 402, and 213 open, forcing 222 closed, forcing 420 open, leaving the open triangle 420-510-411, so we have a contradiction., Therefore 024 is closed. There are now six disjoint triangles (510-600-501, 330-420-321, 312-402-303, 132-222-123, 033-213-015, 114-204-105). This leaves 411 and 006 open, which forces 015 and 501 closed, which forces 510 and 213 open, leaving the triangle 240-510-213 open, so we have a contradiction., (Case U) Given the removals 231, 132, 033, and 141, the only possible removal to not leave any equilateral triangles in the upper triangle is 060. So 330, 240, 150, 051, and 042 are open., Suppose 420 is open. This forces 321, 222, and 123 closed. This leaves five disjoint triangles (600-330-303, 510-420-411, 204-105-114, 501-051-006, and 312-042-015), so we have a contradiction., Therefore 420 is closed. This leaves six disjoint triangles (600-330-303, 501-051-006, 204-114-105, 510-240-213, 411-321-312, 222-042-024). 015 in the lower trapezoid is therefore open, forcing 312 and 411 closed, but 312 and 411 are on the same disjoint triangle, so we have a contradiction., (Case V) Given the removals 330, 132, and 033, the only possible removal to not leave any equilateral triangles in the upper triangle is 060. So 150, 051, 240, 042, and 231 are open., Suppose 420 is open. Then 222 and 123 are closed, and we are left with 6 disjoint triangles (150-600-105, 240-510-213, 231-501-204, 024-114-015, 042-402-006, 411-321-312). This exceeds our limit of 7 removals in the bottom trapezoid, so we have a contradiction., Therefore 420 is closed. Again we are left with the same 6 disjoint triangles (150-600-105, 240-510-213, 231-501-204, 024-114-015, 042-402-006, 411-321-312). Therefore 222, 123, and 303 are open. This forces 321, 024, and 105 to be closed, which then forces 411 and 015 to be open, forming an open triangle at 051-411-015, so we have a contradiction., (Case W) Given the removals 330 and 231 with 132 and 033 open, 132 and 033 open force 042 closed. Given 141 is already closed, that leaves one more removal on the upper triangle, which must be one of 060-150-051, so 240 must be open., Suppose 024 is open. This forces 123 to be closed, and leaves 6 disjoint triangles (600-510-501, 420-240-222, 411-321-312, 402-132-105, 213-033-015, 204-024-006). So 303 and 114 in the lower trapezoid are left open, forcing 312 and 005 to be closed, forcing 204 and 321 to be open, forcing 600 and 501 to be closed. 600 and 501 are on the same disjoint triangle so we have a contradiction., Therefore 024 is closed. Suppose 312 is open. This forces 114 to be closed, and leaevs 5 disjoint triangles (600-510-501, 411-321-312, 303-213-204, 222-132-123, 105-015-006). Therefore 402 in the lower trapezoid is open, which forces 105 to be closed, which forces 015 and 006 to be open, which forces 213 and 303 to be closed, which are on the same disjoint triangle, so we have a contradiction., Therefore 312 is closed. This leaves five disjoint triangles (510-240-213, 501-411-402, 222-132-123, 204-114-105, 303-033-006), and leaves 600, 420, 321, and 015 in the lower trapezoid open. This forces 402 and 213 to be closed, which forces 510 and 411 to be open, leaving an open triangle at 510-420-411, so we have a contradiction., (Case X) 330 and 132 closed and 231 and 033 open imply 051 is closed, and since 141 is closed and we have only one more removal in the upper triangle it must be one of 240, 042, or 060. This leaves 150 open., Suppose 321 is open. This forces 222 to be closed and leaves six disjoint triangles (600-420-402, 510-150-114, 411-321-312, 303-213-204, 105-015-006, 123-033-024), leaving 501 in the lower trapezoid open. This forces 204 to be closed, which forces 303 to be open, leaving an open triangle at 501-321-303., So 321 is closed. This leaves six disjoint triangles (600-420-402, 510-150-114, 501-231-204, 312-222-213, 123-033-024, 105-015-006) and leaves 303 and 411 in the lower trapezoid open. This forces 213 and 006 to be closed, and forces 312, 222, 105, and 015 to be open. This forces 600 to be closed and 402 to be open, leaving an open triangle at 402-312-303. So we have a contradiction., (Case Y) 330 and 033 are open, 330 and 033 open force 060 to be closed. With 141 closed there can be only one more removal, so suppose 150 is open (and note that if 150 was closed, we can use symmetry considering 051 to be open)., Suppose 600 is open. This forces 303 to be closed, and leaves six disjoint triangles (510-150-114, 420-330-321, 411-501-402, 222-312-213, 033-123-024, 015-105-006). So 204 in the lower trapezoid is left open. 600 and 150 open implies 105 is closed, forcing 015 and 006 to be open, forcing 024 and 213 to be closed, forcing 312, 222, and 123 to be open, forcing 042 in the upper triangle to be closed (so 051 and 240 are open). 051 and 015 open force 411 to be closed, which forces 501 to be open and leaves the open triangle 051-501-006., So 600 is closed. This leaves six disjoint triangles (510-150-114, 420-330-321, 411-501-402, 222-312-213, 033-123-024, 015-105-006). 015 is the lower trapezoid is then left open, forcing 312 and 411 to be closed. However, 312 and 411 are on the same disjoint triangle, so we have a contradiction., (Case Z) 330, 141, and 033 are closed, and 231 and 132 are open. Suppose 051 is open (note that if this forms a contradiction, by symmetrical argument we can say both 150 and 051 are closed)., Suppose 114 is closed. This leaves six disjoint triangles (600-510-501, 402-312-303, 105-015-006, 411-231-213, 222-132-123, 321-051-024) and so 420 and 204 are open. This forces 501 to be closed, which forces 510 and 600 to be open, which forces 411 and 402 to be closed, which forces 213 and 303 to be open, leaving an open triangle at 213-303-204., So 114 is open. Suppose 213 is closed. This leaves five disjoint triangles (600-420-402, 501-321-303, 411-051-015, 222-132-123, 204-024-006) and in the lower trapezoid 510 and 105 are open. This forces 204 to be closed, forcing 024 and 006 to be open, forcing 015 to be closed, forcing 411 to be open, forcing 420 to be closed, forcing 402 to be open, leaving the open triangle 402-132-105., So both 114 and 213 are open. Therefore 411 and 312 are closed. This leaves five disjoint triangles (600-510-501, 303-213-204, 105-015-006, 222-132-123, 321-051-024). The remaining points in the lower trapezoid (420, 402) are then open, forcing 105 to be closed, forcing 015 and 006 to be open, forcing 024 to be closed. Also note 114 and 213 open force 123 to be closed, which forces 222 to be open, which forces 321 to be closed. 321 and 024 are on the same disjoint triangle, so we have a contradiction., So 150 and 051 are both closed. However, this leaves the triangle 240-042-060 open, so case Z is impossible., Since all ten solutions have been eliminated, case B is impossible., * Suppose case C is true., Suppose the trapezoid 600-420-321-303 used solution IV. There are three disjoint triangles 402-222-204, 213-123-114, and 105-015-006. The remainder of the points in the lower trapezoid (420, 321, 510, 501, 402, 312, 024) must be left open. 024 being open forces either 114 or 015 to be removed. , Suppose 114 is removed. Then 213 is open, and with 312 open that forces 222 to be removed. Then 204 is open, and with 024 that forces 006 to be removed. So the bottom trapezoid is a removal configuration of 600-411-303-222-114-006, and the rest of the points in the bottom trapezoid are open. All 10 points in the upper triangle form equilateral triangles with bottom trapezoid points, hence 10 removals in the upper triangle would be needed (more than the 6 allowed), so 114 being removed doesn’t work. , Suppose 015 is removed. Then 006-024 forces 204 to be removed. Regardless of where the removal in 123-213-114, the points 420, 321, 222, 024, 510, 312, 501, 402, 105, and 006 must be open. This forces upper triangle removals at 330, 231, 042, 060, 051, 132, our remaining 6 removals on the top triangle. However, we have already removed 141, forcing one removal too many, so the trapezoid 600-420-321-303 doesn’t use solution IV., Suppose the trapezoid 600-420-321-303 uses solution VI. The trapezoid 303-123-024-006 can’t be IV (already eliminated by symmetry) or VI’ (leaves the triangle 402-222-204). Suppose the trapezoid 303-123-024-006 is solution VI. The removals from the lower trapezoid are then 420, 501, 312, 123, 204, and 015, leaving the remaining points in the lower trapezoid open. The remaining open points is forces 10 upper triangle removals, so the trapezoid 600-420-321-303 doesn’t use solution VI. Therefore the trapezoid 303-123-024-006 is solution V. The removals from the lower trapezoid are then 420, 510, 312, 204, 114, and 105. The remaining points in the lower trapezoid are open, and force 9 upper triangle removals, hence the trapezoid 303-123-024-006 can’t be V, and the solution for 600-420-321-303 can’t be VI. , The solution VI’ for the trapezoid 600-420-321-303 can be eliminated by the same logic by symmetry. , Therefore it is impossible for the bottom trapezoid to use only 6 removals., We have determined cases A, B, and C to be impossible, therefore it impossible to form a triangle free configuration on the 7x7x7 lattice with only 12 removals. Therefore .]</t>
  </si>
  <si>
    <t>CTao_36996</t>
  </si>
  <si>
    <t>1130. , The proof is complete., I tried to post it here but I guess it was too large and got caught by the spam filter? It’s definitely a level of complexity over latex \overline{c}^\mu_5$.</t>
  </si>
  <si>
    <t>C2978</t>
  </si>
  <si>
    <t>I confess I have trouble following these outlines (partly because I just think rather slowly) but I think both proofs of the part in question that we have, Tim’s via almost-partitioning a 1-set into subspaces and Terry’s via dense fibers (really, these are essentially the same proof) proceed via…well…partitioning a 1-set into subspaces. (This is of course a tautology in the case of Tim’s argument, but it’s true of Terry’s as well because the greedy algorithm he uses may in general throw away almost the entire 1-set in question before it locates a suitable set of “maximal density” or drives the density on the remaining part to 1.) More generally, I tend to think Tim is right than any argument that is going to work at all has got to be powerful enough to partition a 1-set into subspaces, so you might as well do exactly that because it’s much easier to follow the proof in that case anyway. (I at least find Tim’s argument easier to follow than Terry’s, despite the fact that Terry’s is closer in spirit to the ergodic heuristic…and also despite the fact that they are essentially the same argument, of course.)</t>
  </si>
  <si>
    <t>C2979</t>
  </si>
  <si>
    <t>Reid,, As I commented earlier, the first of the problems you mention is already faced by large-scale collaborations in other communities, such as high-energy physics and astrophysics.  My understanding is that it’s addressed largely by letters of recommendation.  Many of those collaborations also have internal (private) working papers that play a role not dissimilar to the role played by blog comments and wiki edits in the Polymath1 project.  Those internal reports are not necessarily used directly by hiring committees, but they play an indirect role through the letters of recommendation., The second problem – preservation and data integrity – is very interesting. Last year, Google announced a service for experimentalists to store scientific datasets, and then axed it just a few months later.  I doubt anyone lost data as a result – it wasn’t around long enough that anyone was relying on it – but it’s sobering as an example of the kind of problem you’re talking about.  , Over the long run, I’m confident this problem will be solved. There are many people in the academic library community and at funding agencies who see long-term preservation of digital data as part of their job.   It takes time to develop the necessary infrastructure, though, and at present those people are still working out what needs to be preserved.  Their work has resulted in systems like CrossRef and the digital object identifier (DOI) system, now used by many journals to provide permanent URLs for papers.  If Polymath-style projects become common, I have no doubt this commnity wil be interested in helping properly archive the information.</t>
  </si>
  <si>
    <t>C2982</t>
  </si>
  <si>
    <t>1056. Wikifying., Just wanted to say I’ve started trying to build a wiki page devoted to giving the all-details-filled-in version of the density-increment proof of DHJ(3).  I’ll report back when I’ve fleshed it out some., Reader, you too should feel free to flesh it out, of course!, Ryan, one aspect of the outline you’ve got on the wiki is different, though perhaps not truly different, from how it is at the moment. You deduce that an ij-insensitive set is subspace rich from the fact that it has subspaces, whereas what we have at the moment deduces it from the fact that a dense subset of  is subspace rich. In both cases the proof is that we can express the measure as a positive linear combination (plus an error if necessary, but I think you’ve managed to avoid that) of suitable measures on subspaces. The way you do it, you need to add the extra remark that the restriction of an ij-insensitive set to a subspace is still an ij-insensitive set., I haven’t checked, but I think it may be that there is a sort of commutative diagram that allows one to see that the two proofs are exactly the same, in the sense that there’s a one-to-one correspondence between the sets they consider. If that is the case, then I find it slightly more natural to prove the subspace richness in  and then lift it up to ij-insensitive sets in ., 1056.3.  Tim: I agree with everything you wrote 100%, and in fact at some point I independently decided that it made more sense to commute those two steps: i.e., first show that dense sets in  are subspace rich, and then pull up to ij-insensitive sets in .  , Besides being arguably more natural, doing it this way has a small benefit: If we really really care, we can use the Gunderson-Rodl-Sidorenko argument to get that dense sets in  have large subspaces, and this paper has way better quantitative parameters than the lines-&gt;subspaces argument we use in general., (On this point, I should note that the alternative-to-GRS lines-&gt;subspaces deduction I put on the wiki a while ago was extremely wrong, so I deleted it.  At some point we should see if we can fix it; if GRS can get civilised parameters, hopefully we can also get civilised parameters for lines-in- -&gt; subspaces-in-.)</t>
  </si>
  <si>
    <t>C2983</t>
  </si>
  <si>
    <t>breaking the fourth wall</t>
  </si>
  <si>
    <t>Reader, you too should feel free to flesh it out, of course!</t>
  </si>
  <si>
    <t>C2985</t>
  </si>
  <si>
    <t>nobody is senior?</t>
  </si>
  <si>
    <t>If polymaths become common, there is an issue that might come up — a polymath where *nobody* is a senior researcher.</t>
  </si>
  <si>
    <t>C2987</t>
  </si>
  <si>
    <t>Gil, I think think so, except that when Tim says “Hahn-Banach” here I’m not sure he actually means “using the Hahn-Banach theorem”.  I interpret it somehow as short for “the argument wherein you say that if one can partition X into sets of type T, then it must be that A being dense in X means A is dense in some set of type T”.  , Or perhaps he does mean, “use the Hahn-Banach Theorem” (i.e., LP duality), I don’t know.</t>
  </si>
  <si>
    <t>CTao_37019</t>
  </si>
  <si>
    <t>1131 c-statistics, The 3D cube has 14 ways to fit in the 4D cube: 4 side-slices 2yzw, 4 middle slices xyzw, and six diagonal slices wwyz.  So twenty inequalities for the cube become 280 inequalities for the 4D cube.  There is some repetition, so there are only 239 different inequalities.  One solution of these inequalities has 44 points:  and permutations., There were 2150 inequalities for the 5D cube with c-statistics; I have not yet found the maximum for that.</t>
  </si>
  <si>
    <t>CTao_37021</t>
  </si>
  <si>
    <t>1132. Commentary on ., The basic proof strategy was to set up removals such that there would be enough disjoint triangles to say that each triangle needed to have one removal. Then any points not in the union of disjoint triangles were forced to be in , and those points could be used to force a chain of removals leading to an impossibility., Unfortunately the process was not very mechanical, so it’d be hard to come up with a mathematical generalization. Each case was like its own individual puzzle, and I often had to go through multiple bad attempts before I found a set that broke things open., However, there was a technique I used in making solution sketches which may have some useful general properties — look for all the possible disjoint triangle sets on a possible configuration, then pick the “overlay pattern” that was the most useful (possibly switching patterns mid-problem)., For example, here’s a simple mathematical property:, Suppose some set of points  on the triangular lattice that has a maximal number of disjoint triangles  where  removals are also sufficient to produce a triangle-free set. Let  be the triangle-free sets of  (if the solution is unique, )., Consider all sets  where  is the number of possible configurations of  disjoint triangles in the set ., Then for each ,  must be a subset of ., (In other words, any points remaining after locating disjoint triangles must be open, considering all of the possible disjoint triangle configurations.), It’s also possible to set up a graph representing where the disjoint triangles overlap., Let me take the case of . There are two disjoint triangle configurations: A = 030-120-021, B = 210-300-201, C = 012, 102, 003 and D = 030-210-012, E = 120-300-102, F=021-201-003. Any removal from A has to remove also remove from either D, E, or F; any removal from B has to remove from either D, E, or F, and any removal from C has to remove from either D, E, or F. This can be represented as a complete bipartite graph between A, B, C and D, E, F., I’m not sure if anything in this will be useful for solving general n, but it might be possible to scrounge some tools to work on low-n cases.</t>
  </si>
  <si>
    <t>C2991</t>
  </si>
  <si>
    <t>C2987; C2962</t>
  </si>
  <si>
    <t>My fault for writing in too much haste — sorry, I’ve been rather busy with other things recently (and am just about to go abroad for a few days, so I’ll be going even quieter). I was actually referring to the Hahn-Banach separation theorem, which says that if a point doesn’t belong to a convex body then you can find a linear functional that’s large on the point and small everywhere on the convex body. (I’m oversimplifying slightly, but not too much.) In this case, if the characteristic function f of X can’t be approximated by a suitable positive combination of characteristic functions of subspaces, then you have a convex set to which f does not belong. The functional given by the Hahn-Banach theorem can be used to produce a bounded function that correlates with X but not with any subspace. I’m trying to wikify the details but have kept messing it up. I’m going to work them out on paper and then I’ll get back to the wikification.</t>
  </si>
  <si>
    <t>C3000</t>
  </si>
  <si>
    <t>Ryan, one aspect of the outline you’ve got on the wiki is different, though perhaps not truly different, from how it is at the moment. You deduce that an ij-insensitive set is subspace rich from the fact that it has subspaces, whereas what we have at the moment deduces it from the fact that a dense subset of  is subspace rich. In both cases the proof is that we can express the measure as a positive linear combination (plus an error if necessary, but I think you’ve managed to avoid that) of suitable measures on subspaces. The way you do it, you need to add the extra remark that the restriction of an ij-insensitive set to a subspace is still an ij-insensitive set., I haven’t checked, but I think it may be that there is a sort of commutative diagram that allows one to see that the two proofs are exactly the same, in the sense that there’s a one-to-one correspondence between the sets they consider. If that is the case, then I find it slightly more natural to prove the subspace richness in  and then lift it up to ij-insensitive sets in .</t>
  </si>
  <si>
    <t>C3002</t>
  </si>
  <si>
    <t>first order questions about the collaboration</t>
  </si>
  <si>
    <t>Perhaps the “first order questions” regarding open collaboration of this kind is: Does it have a good chance to work at all? does it has unique advantages compared to traditional ways of collaborating? And is it overall a good way of collaboration compared to more traditional ways. , I think the answer for the first question is a surprisingly clear ‘yes’., The issue of credits is sort of second order. It is important and it is interesting also in the context of traditional ways of doing science. It is also interesting as an academic problem and it almost bring us back to influences. Understanding the influence of a player on the outcome of a correlated process or function is a complicated issue. What is the influence of a player on the outcome in football, of a musician in a symphonic concert? trying to understand the influence of players and trying to create a good insentive system of credits is not the same thing. (There are notion of influences for non product distributions and interesting studies for them. I think there is often a basic uncertainty involved when it comes to the influence of a player on a complicated process.) , one rule I though could be handy in order not to make the discussion too hectic (and to internally competative) is that every remark will be published after a delay which will be a random variable (say exponential) with expectation of 12 hours (negotiable) and when it will be publishe also the time of sub,ission will be noted. Bit it is probably a bad idea.</t>
  </si>
  <si>
    <t>C3009</t>
  </si>
  <si>
    <t>1056.3.  Tim: I agree with everything you wrote 100%, and in fact at some point I independently decided that it made more sense to commute those two steps: i.e., first show that dense sets in  are subspace rich, and then pull up to ij-insensitive sets in .  , Besides being arguably more natural, doing it this way has a small benefit: If we really really care, we can use the Gunderson-Rodl-Sidorenko argument to get that dense sets in  have large subspaces, and this paper has way better quantitative parameters than the lines-&gt;subspaces argument we use in general., (On this point, I should note that the alternative-to-GRS lines-&gt;subspaces deduction I put on the wiki a while ago was extremely wrong, so I deleted it.  At some point we should see if we can fix it; if GRS can get civilised parameters, hopefully we can also get civilised parameters for lines-in- -&gt; subspaces-in-.)</t>
  </si>
  <si>
    <t>C3010</t>
  </si>
  <si>
    <t>1057.  Wikifying., Just wanted to report that I’ve gotten about 50% of the way through making the aforementioned stub article for the fleshed-out proof.  It’s currently an orphan page on the wiki; when/if I get to 90%+ I’ll put a link to it on the main page.</t>
  </si>
  <si>
    <t>CTao_37100</t>
  </si>
  <si>
    <t>1132 Kakeya k_3 &gt; 12, We try to find a set A containing twelve points in F_3^3 that form a Kakeya set., Seva showed in 1106 that we can assume A contains four lines through the origin, including the three axes. (000),(001),(002),(010),(020),(100),(200), Case A: The fourth line is in the xy plane z=0.  Then seven points are in this plane, leaving five points in the two planes z=1, z=2.  There are nine directions not parallel to the xy plane; each direction must contain two of the five points, one in the z=1 plane and one in the z=2 plane.  This is impossible., Case B: The fourth line is (000),(111),(222)
If there is a sixth point in the z=0 plane, there are only six points left in z=1 and z=2.  To form nine directions out of the xy plane, we need three points in z=1 and three in z=2.  We also need none of the nine directions parallel to each other.  But (002)-(111) is parallel to (222)-(001), so we can’t get nine non-parallel directions out of the plane., So the z=0 plane only contains points along the axes.  Likewise the x=0 and y=0 planes.  There are three points left to place, and they all lie in the cube 1,2^3., To form a (120) line, we need to include (121) and (211).  Then, to form a (110) line, we need to include either (112) or (221), Case B1: the extra three points are (121),(211),(112).  There is no (112) line., Case B2: the extra three points are (121),(211),(221). There is no (102) or (012) line.</t>
  </si>
  <si>
    <t>CTao_37112</t>
  </si>
  <si>
    <t>1133. c^{\mu}_4=9, This is the final case of the partial proof in 1129., If one point of the form aaaa is removed say 1111
then we must cover all lines of
the form xxx2 xxx3 and xx22 and xx33 and x222 and x333
Look at the pairs of lines such as xxx2 and 333x
one with moving coordinates in three positions and
a fixed coordinate equal to 2 or 3 say 2
the other with fixed coordinates equal to the other
value which in this case is 3., Then we must have one of the points 2222
1112 3332 removed to block the first line of the pair
and for the second line we can use 3333
3332 3331. However we do not have the points
2222 or 3333 removed in this case so we must have
either 3332 or the pair 1112 or 3331.
For every one of the eight points 3332 or 2223
we will have a similar choice forcing either
the removal of the point itself or the associated
pair. After these choices have been made more points
of the form aaab can be added but there must be
a subset corresponding to one set of the above eight choices
since in each case there are only two ways to cover the lines noted.
Look at the pairs of lines such as 22xx and xx33
one with moving coordinates in two positions and
a two fixed coordinates equal to 2 or 3 say 2
the other with two fixed coordinates equal to the other
value which in this case is 2 so if the fixed coordinate(s)
in one point of the pair is 2 in the other they or it will
Then we must have one of the points 2211
2222 2233 removed to block the first line of the pair
and for the second line we can use 3333
2233 1133. However we do not have the points
2222 or 3333 removed in this case so we must have
either 2233 or the pair 1133 or 2211.
For every one of the six points with two threes and two twos
we will have a similar choice forcing either
the removal of the point itself or the associated
pair. After these choices have been made more points
of the form aabb can be added but there must be
a subset corresponding to one set of the above six choices, If we start with the configuration 1111 removed all eight points with three 2’s and one three and three 3’s and one two removed and all points with two 3’s and two 2’s removed and all points of the form aabc removed then this configuration has weight  8
then we can perform a series of steps in order which will
reach all combinatorial line free configurations.
These steps are as follows:, 1 Making choices as above for elements of the form aaab and allowing the addition
of all possible aabc’ss., 2 Making choices as above for elements of the form aabb and allowing the addition
of all possible aabc’ss., 3.Removal of points of the form aabb or aaab and addition of all possible aabc’s., 4.Removal of aabc’s., At present none of the aabc can be added
there are lines of the form xx12 and xx13 and x113 and x112
which each have to blocked to allow their addition, What we are going to do is perform the previous steps in order.
we will show that each step eliminates twice as much in weight
of elements of the form aabc as it adds of all other forms. To facilitate the proof
we will have to perform the operations in the order listed. However we will
be able to reach every possible configuration. We must have a subconfiguration
corresponding to one set of choices above then we can delete various elements
of the form aabb and aaab to get all possible line free sets of the elements of
the form aabb and aaab and then for each set we add the maximum possible number
of elements of the form aabc., The point is doing this is that we can only add two units in weight
of the form aabc as the lines of the form xabc must be covered and they
Can only be covered by one unit in weight of elements of the form abc
So if we have the two to one ratio or better and have to stop at two we will
End up with a net change of 2-1 which will raise the weight to 9 or less
And we still have the maximum weight of is 9., When we make a choice deleting a pair and adding say
2223 which will give 1113 and 2221 we block three lines
of the form xx13 and three of the form xx12 thus allowing
the addition of 6 points of weight 1/12 which  give a total
change of weight 1/2 which is exactly twice the net change in
weight caused by the addition of 2223 and the removal of 1113
of 2221, Now with each substitution there will also be the blocking of lines
of the form x113 or x112 however to allow the point say 2113
To be added we must block both x113 and 211x and to do this
We must make choices adding both 2223 and 2333 which unblocks
The line 2xx1 and forbids the addition of the point 2113 thus the increase in
material of the form aabc is twice the net change in weight of the other types, 1122 can block the 11×2 two at a time but their
weight is 1/6 so even if they block two of the 11×2
and allow the addition of two 1132’s the weight will
remain the same and since each replacement of 2233
by 1133 and 2211 has only one element of the form
2211 we are done with step one., For the choices of elements
of the form aabb if we replace an element of the form
2223 by 1113 and 2221 we will be able to block three lines
of the form x113 which gets rid of 3 elements of the form
2113 but the weight of the addional aaab element created is 1/4 and the weight of the removed elements is the same. So step
two can not improve the weight. So we are done with the choices mentioned above and move on two steps 3 and 4 deleting individual elements., If we add an element of the form 2233 and delete 1133 and 2211 then it can unblock two lines of the form x113 and two of the form x112 thus allowing the addition of at most 4 points of the form
3112 thus giving a net change of -1/4 +4/12 and again the ratio is 2 to one., Then after all the above choices have been made we can delete elements of the form 2223 which will block at most three lines
Of the form 2xx3 if created by the above choices
And the ratio of points added to points deleted is at most one
And so is less than 1/2 and we are done. The case 3332
is handled the same way., If we delete an element of the form 1112 we unblock three lines
Of the form xx12 and three of x112 we free at most 6 points with
Weight 1/12 giving a total weight of 1/2 the point removed is weight 1/4 so the ratio is 2 to 1 and we are done the case of
1113 is similar., If we delete an element of the form 3331 it can unblock three lines
of the form xx31 and we free three points for possible addition
The have total weight equal to the weight of 3331 so the ratio is
less than 2 to 1. The case of an element of the form 2221 is similar., If we delete a point of the form 2233
We don’t unblock any lines so we can’t
Add any points of the form aabc., If we delete a point of the form 1133 we unblock two lines
Of the form xx13 and two of x113 and so can add four points
With weight 1/12 which has total 1/3 which is twice the weight
Of the point 1133 so the ratio is less than or equal to 2 and we are
Done. The case of deleting a point of the form 1122 is handled similarly.
So we are done with step three., If we delete a point of the form aabc the weight is less. So we have gone through all steps and the ratio in them 2 or less and thus in this case the weight is 9 or less and we are done. Since this is the final case we have proved the theorem and the weight is 9.</t>
  </si>
  <si>
    <t>CTao_37113</t>
  </si>
  <si>
    <t>1133. c^{\mu}_4=9, This is the final case of the partial proof in 1129. It is divided
into two parts. Here is part one:, If one point of the form aaaa is removed say 1111
then we must cover all lines of
the form xxx2 xxx3 and xx22 and xx33 and x222 and x333
Look at the pairs of lines such as xxx2 and 333x
one with moving coordinates in three positions and
a fixed coordinate equal to 2 or 3 say 2
the other with fixed coordinates equal to the other
value which in this case is 3., Then we must have one of the points 2222
1112 3332 removed to block the first line of the pair
and for the second line we can use 3333
3332 3331. However we do not have the points
2222 or 3333 removed in this case so we must have
either 3332 or the pair 1112 or 3331.
For every one of the eight points 3332 or 2223
we will have a similar choice forcing either
the removal of the point itself or the associated
pair. After these choices have been made more points
of the form aaab can be added but there must be
a subset corresponding to one set of the above eight choices
since in each case there are only two ways to cover the lines noted.
Look at the pairs of lines such as 22xx and xx33
one with moving coordinates in two positions and
a two fixed coordinates equal to 2 or 3 say 2
the other with two fixed coordinates equal to the other
value which in this case is 2 so if the fixed coordinate(s)
in one point of the pair is 2 in the other they or it will
Then we must have one of the points 2211
2222 2233 removed to block the first line of the pair
and for the second line we can use 3333
2233 1133. However we do not have the points
2222 or 3333 removed in this case so we must have
either 2233 or the pair 1133 or 2211.
For every one of the six points with two threes and two twos
we will have a similar choice forcing either
the removal of the point itself or the associated
pair. After these choices have been made more points
of the form aabb can be added but there must be
a subset corresponding to one set of the above six choices, If we start with the configuration 1111 removed all eight points with three 2’s and one three and three 3’s and one two removed and all points with two 3’s and two 2’s removed and all points of the form aabc removed then this configuration has weight  8
then we can perform a series of steps in order which will
reach all combinatorial line free configurations.
These steps are as follows:, 1 Making choices as above for elements of the form aaab and allowing the addition
of all possible aabc’ss., 2 Making choices as above for elements of the form aabb and allowing the addition
of all possible aabc’ss., 3.Removal of points of the form aabb or aaab and addition of all possible aabc’s., 4.Removal of aabc’s.</t>
  </si>
  <si>
    <t>CTao_37114</t>
  </si>
  <si>
    <t>1134. c^{\mu}_4=9, Part 2 continued form 1133:, At present none of the aabc can be added
there are lines of the form xx12 and xx13 and x113 and x112
which each have to blocked to allow their addition, What we are going to do is perform the previous steps in order.
we will show that each step eliminates twice as much in weight
of elements of the form aabc as it adds of all other forms. To facilitate the proof
we will have to perform the operations in the order listed. However we will
be able to reach every possible configuration. We must have a subconfiguration
corresponding to one set of choices above then we can delete various elements
of the form aabb and aaab to get all possible line free sets of the elements of
the form aabb and aaab and then for each set we add the maximum possible number
of elements of the form aabc., The point is doing this is that we can only add two units in weight
of the form aabc as the lines of the form xabc must be covered and they
Can only be covered by one unit in weight of elements of the form abc
So if we have the two to one ratio or better and have to stop at two we will
End up with a net change of 2-1 which will raise the weight to 9 or less
And we still have the maximum weight of is 9., When we make a choice deleting a pair and adding say
2223 which will give 1113 and 2221 we block three lines
of the form xx13 and three of the form xx12 thus allowing
the addition of 6 points of weight 1/12 which  give a total
change of weight 1/2 which is exactly twice the net change in
weight caused by the addition of 2223 and the removal of 1113
of 2221, Now with each substitution there will also be the blocking of lines
of the form x113 or x112 however to allow the point say 2113
To be added we must block both x113 and 211x and to do this
We must make choices adding both 2223 and 2333 which unblocks
The line 2xx1 and forbids the addition of the point 2113 thus the increase in
Material of the form aabc is twice the net change in weight of the other types, 1122 can block the 11×2 two at a time but their
weight is 1/6 so even if they block two of the 11×2
and allow the addition of two 1132’s the weight will
remain the same and since each replacement of 2233
by 1133 and 2211 has only one element of the form
2211 we are done., For the choices of elements
of the form aabb if we replace an element of the form
2223 by 1113 and 2221 we will be able to block three lines
of the form x113 which gets rid of 3 elements of the form
2113 but the weight of the addional aaab element created is 1/4 and the weight of the removed elements is the same. So step
two can not improve the weight. So we are done with step 2 and move on to step three, If we add an element of the form 2233 and delete 1133 and 2211 then it can unblock two lines of the form x113 and two of the form x112 thus allowing the addition of at most 4 points of the form
3112 thus giving a net change of -1/4 +4/12 and again the ratio is 2 to one., Then after all the above choices have been made we can delete elements of the form 2223 which will block at most three lines
Of the form 2xx3 if created by the above choices
And the ratio of points added to points deleted is at most one
And so is less than 1/2 and we are done. The case 3332
is handled the same way., If we delete an element of the form 1112 we unblock three lines
Of the form xx12 and three of x112 we free at most 6 points with
Weight 1/12 giving a total weight of 1/2 the point removed is weight 1/4 so the ratio is 2 to 1 and we are done the case of
1113 is similar., If we delete an element of the form 3331 it can unblock three lines
of the form xx31 and we free three points for possible addition
The have total weight equal to the weight of 3331 so the ratio is
less than 2 to 1. The case of an element of the form 2221 is similar., If we delete a point of the form 2233
We don’t unblock any lines so we can’t
Add any points of the form aabc., If we delete a point of the form 1133 we unblock two lines
Of the form xx13 and two of x113 and so can add four points
With weight 1/12 which has total 1/3 which is twice the weight
Of the point 1133 so the ratio is less than or equal to 2 and we are
Done. The case of deleting a point of the form 1122 is handled similarly. So Step 3 is finished., If we delete a point of the form aabc the weight is less. So we have gone through all steps and the ratio in them 2 or less and thus in this case the weight is 9 or less and we are done. Since this is the final case we have proved the theorem.</t>
  </si>
  <si>
    <t>C3022</t>
  </si>
  <si>
    <t>J. Broll</t>
  </si>
  <si>
    <t>contribute later</t>
  </si>
  <si>
    <t>I suppose I should have said something earlier, as the last comment is a few days old – oh, well, this is what my weekends are for anyway…, I only recently found that a project like this existed – previously the only projects I saw were completely unrelated to mathematics, and I now wish that I had looked around earlier.  I hope to be able to contribute soon – as a first-year graduate student with no research experience (and a degree that only took two years) I’m not sure how much I’ll be able to contribute, but this seems to be a very efficient way of getting work done and I’m very excited to see what can happen next., JB</t>
  </si>
  <si>
    <t>C3023</t>
  </si>
  <si>
    <t>C2975; C3022</t>
  </si>
  <si>
    <t>@Matthew Emerton:, I think you’re confusing where you’re working with academia in general.  I should also point out that there more major work isn’t really provable in a tractable way unless credit is properly given., I also think you are being exceedingly naive that this would even show up in there letters.  Because, the distributive nature of the way “poly-math” is done means that the candidate is likely to have done a fair bit of this work (if not all) not including people where (s)he is physically working., @J. Broll:, There are reasons listed above as to why this particular problem *seemed* to be very efficient.  I would suggest you read the post and its commentary again., I find it stunning that you old guys, that already have tenure, can’t see the importance of obtaining proper credit.  It might not matter to you, or you can’t see the HR/lying/etc problems now, but if this takes off, with the delusional aspect of those now coming up, you’ll *really* start to see it if this is handled improperly., I should also ask the practical question: what happens when one runs out of names for the pseudonym the work will be published under?  Because, no group will have the exact same contributing members and thus demand another new name given.  How would this be managed across the Mathematics community as a whole?  As in, what about duplicate names?  Etc, etc, etc., Come on guys.  This isn’t about idealism.  This is about practicality.</t>
  </si>
  <si>
    <t>C3024</t>
  </si>
  <si>
    <t>@gowers:, The highlights thing is actually quite a problem.  After all, politics is everywhere and I’ve been bit in the … before even when discussing black and white issues with Maths.  So, who writes the highlights will have a great impact especially if the person… dislikes a member of the group.  This can even be subconscious.  Highlights is also extra work that would be better spent on working on other problems or writing up.  Also, if anyone could edit it, then where’s the integrity of that document?  What’s to stop people from freely adding things that, in no way shape or form, are highlights?  Given such loose restrictions on editing, it would need to be constantly watched for “defacement.”, Essentially, highlights only works in ideal cases and will fail the real world test.  In general of course.</t>
  </si>
  <si>
    <t>C3025</t>
  </si>
  <si>
    <t>@Michael Nielsen:, Regarding your reply to me (and pretty much every one else’s), am I the only one that is disturbed the the over use of assumptions in your (these) repl(y|ies)?, I should also mention that if you look at that experimental papers, which have… lots of people working on them, they *all* *do* get there names on it.  Credit where credit is due., @all:, But, as I’ve said, I have no problem with this type of discussion.  The problem is that, as Terry Tao has echoed, it doesn’t scale.  Among other things that I’ve mentioned before.  Saying that a solution is forthcoming (assumption) isn’t good enough.  Specifically for credit, especially since preserving credit, on the paper itself, is extremely easy.</t>
  </si>
  <si>
    <t>C3026</t>
  </si>
  <si>
    <t>fruitful collaboration between non-seniors; does the collaboration need a HiPPO?</t>
  </si>
  <si>
    <t>@Jason Dyer:, Seriously.  Come on., ? I don’t understand the nature of your reply., A consortium of, say, 50 first-year graduate students could discover something significant (especially if they start with a topic with not much known about it in the first place.), The three 1930s students Erdös, Klein and Szekeres are a concrete example of a fruitful collaboration between non-seniors. Certainly three exceptional students, but there will be more of them.</t>
  </si>
  <si>
    <t>C3029</t>
  </si>
  <si>
    <t>Reid?</t>
  </si>
  <si>
    <t>Dear Reid,, I didn’t understand exactly what you were getting at in the sentence “there sic more major work … ”.    I was presuming that they (a beginning researcher who is also a contributor to a Polymath project) will be doing other mathematics as well, which they will be publishing under their own name (so that the issue of credit doesn’t arise).   , But I do think that you might be underestimating the importance of letter writing in the current academic environment, and also the amount of attention that prospective employers pay to the question of evaluating joint work, especially when the authors
are at different levels of seniority.  , You talk about idealism versus practicality, but I don’t think it is a question of idealism
to expect that letters of recommendation will reflect the reality.  In the current system,
beginning researchers rely on the good faith and good will of their senior colleagues to write evaluations that accurately reflect their contributions to their field; letters of recommendation are the basic currency for academic jobs and promotions.    This system  surely doesn’t work perfectly, but it seems to work reasonably well, and is in any case the system that we have.   And I don’t see that the situation with Polymath is so radically different.  (Maybe the latter point is where our disagreement lies?), Regards,, Matthew</t>
  </si>
  <si>
    <t>C3030</t>
  </si>
  <si>
    <t>? I don’t understand the nature of your reply., A consortium of, say, 50 first-year graduate students could discover something significant (especially if they start with a topic with not much known about it in the first place.)</t>
  </si>
  <si>
    <t>C3031</t>
  </si>
  <si>
    <t>The three 1930s students Erdös, Klein and Szekeres are a concrete example of a fruitful collaboration between non-seniors. Certainly three exceptional students, but there will be more of them.</t>
  </si>
  <si>
    <t>CTao_37205</t>
  </si>
  <si>
    <t>1135. Other values of k
I have been busy the last few days, with both work and  more everyday things like having a cold, but I decided to let the computers to do some new work by expandingto new values of k., Here
http://abel.math.umu.se/~klasm/Data/HJ/
is a table with the optimum sizes for subsets of k^n without combinatorial lines, and the optimal solutions for some cases. (Anyone who can edit the wiki is welcome to add it there), One natural question here is; For which values of n and k is the optimum size (k-1)k^n ?, Kareem, maybe your program can improve the lower bounds for the values my program could not determine?</t>
  </si>
  <si>
    <t>CTao_37211</t>
  </si>
  <si>
    <t>1136. c^{\mu}_4=9, Sorry about the duplication I put the proof for the final case in and it did not go through then I split it in half and it went through later the original finally went through. I have put the cases 3 and 4 in the wiki at, http://michaelnielsen.org/polymath1/index.php?title=Hyper-optimistic_conjecture</t>
  </si>
  <si>
    <t>CTao_37233</t>
  </si>
  <si>
    <t>1137. Dimension 2, any k, Regarding the data in Markström.1135, it is simple to show when restricting to dimension two the maximal set size has to be k(k-1). This can be done by removing the diagonal values 11, 22, 33, …, kk. Since they are in disjoint lines this removal is minimal.</t>
  </si>
  <si>
    <t>CTao_37239</t>
  </si>
  <si>
    <t>1138. Dimension 2, any k, The k missing points are one per line and one per column.
So their y-coordinates are a shuffle of their x-coordinates.
There are k! rearrangements of the numbers 1 to k.
The k points include a point on the diagonal, so this shuffle is not a derangement.  There are k!/e derangements of the numbers 1 to k, so k!(1-1/e) optimal solutions</t>
  </si>
  <si>
    <t>CTao_37244</t>
  </si>
  <si>
    <t>1139. Dimension 3, k at least 3
Let S be a latin square of side k on the symbols 1…k, with colour i in position (i,i) ( This is not possible for k=2 ), Let axis one in S correspond to coordinate 1 in k^3, axis two to coordinate 2 and interpret the colour in position (i,j) as the third coordinate. Delete the points so defined., The line with three wild cards has now been removed.
A line with two wildcards will be missing the point corresponding to the diagonal in S.
A line with a single wildcard will be missing a point corresponding to an off diagonal point in S., Something similar should work in higher dimensions if one can find latin cubes etc with the right diagonal properties.</t>
  </si>
  <si>
    <t>CTao_37249</t>
  </si>
  <si>
    <t>1140. , k prime, Delete those points whose coordinates add up to a multiple of k.
Every combinatorial line has one point deleted, except for the major diagonal of d=k, which has all points deleted.</t>
  </si>
  <si>
    <t>CTao_37252</t>
  </si>
  <si>
    <t>1141. Values near primes,     Could we extend 1140 to values near primes with only a slight loss? For instance for 100 we delete all values equal to zero mod 101 and 1 mod 101 then all combinatorial lines with d less than 101 will have 100 different values mod 101 and hence will have one deleted value.  So we will have a line free set for d equal to 101 or less with density 99/101 or more.</t>
  </si>
  <si>
    <t>CTao_37253</t>
  </si>
  <si>
    <t>1142. All values, I am looking for a further extension of 1141 according to , R. C. Baker and G. Harman, “The difference between consecutive primes,” Proc. Lond. Math. Soc., series 3, 72 (1996) 261–280.  MR 96k:11111 , Abstract: The main result of the paper is that for all large x, the interval A=x-x^0.535,x contains prime numbers. , This is from the abstract at, http://primes.utm.edu/references/refs.cgi?long=BH96, I found it using:, http://primes.utm.edu/notes/gaps.html, So for any number n there is a nearby prime p whose difference from
n is x^.535 so then we remove x^.535 +1 values mod p and for those values the density will be (p-x^.535-1)/p
of d less than p we will have no combinatorial lines.</t>
  </si>
  <si>
    <t>Gowers_16</t>
  </si>
  <si>
    <t>this wasn't massive - what would it take to do that?</t>
  </si>
  <si>
    <t>As I have already commented, the outcome of the Polymath experiment differed in one important respect from what I had envisaged: though it was larger than most mathematical collaborations, it could not really be described as massive. However, I haven’t given up all hope of a much larger collaboration, and in this post I want to think about ways that that might be achieved.First, let me say what I think is the main rather general reason for the failure of Polymath1 to be genuinely massive. I had hoped that it would be possible for many people to make small contributions, but what I had not properly thought through was the fact that even to make a small contribution one must understand the big picture. Or so it seems: that is a question I would like to consider here.One thing that is undeniable is that it was necessary to have a good grasp of the big picture to contribute to Polymath1. But was that an essential aspect of any large mathematical collaboration, or was it just a consequence of the particular way that Polymath1 was organized? To make this question more precise, I would like to make a comparison with the production of open-source software (which was of course one of the inspirations for the Polymath idea). There, it seems, it is possible to have a large-scale collaboration in which many of the collaborators work on very small bits of code that get absorbed into a much larger piece of software. Now it has often struck me that producing an elaborate mathematical proof is rather like producing a complex piece of software (not that I have any experience of the latter): in both cases there is a clearly defined goal (in one case, to prove a theorem, and in the other, to produce a program that will perform a certain task); in both cases this is achieved by means of a sequence of strings written in a formal language (steps of the proof, or lines of code) that have to obey certain rules; in both cases the main product often splits into smaller parts (lemmas, subroutines) that can be treated as black boxes, and so on.This makes me want to ask what it is that the producers of open software do that we did not manage to do. I may not have the right answer to this question, but I do have a suggestion. Again, I have to admit that there is a lot I do not know about how open software is produced — for example, is there some big-picture planning stage before people start actually writing code, and if so, how is it organized? I’d be interested to hear from anyone who can answer this kind of question, and my suggestions may well need to be refined in the light of the answers. Here, though, is my preliminary diagnosis. What I think we did that made it hard for all but a few people to contribute was to work on something that was not the final document: instead, we used blog comments in order to produce a high-level plan, which gradually became more detailed and precise. The comments were more like a conversation, and once an idea was digested by the participants one could leave the relevant comment behind and move on. Of course, some of the ideas made it into the eventual proof, but by that time they had been discussed in several other comments and their outer form had often been substantially modified.Now it might seem as though we could not have done otherwise: it looks like a pretty essential feature of solving an unsolved mathematical problem that one does not know in advance what that proof will look like; and it also seems as though the best way to find out is to start with high-level thoughts and lower the level only when a thought seems to be promising. I do not want to deny any of that. What I would like to suggest is that we change what we think of as the “final document”. The obvious notion of “final document” is a write-up of the argument that eventually works, but there is a different notion that might serve as a better model for Polymath projects. I’m not quite sure what the best name for it is, but a first attempt is “proof-discovery tree”.I am not going to discuss what the best implementation would be, because I do not know enough about what wiki-like facilities are out there, but the basic idea would be to produce an online document that thoroughly investigated all reasonable approaches to the main problem and arranged them in a natural hierarchical way. If, say, this was done on a wiki, then the main page would have links to subsidiary pages that would discuss very general ideas. (In the case of DHJ(3), one of these would have been the idea that we started with, namely, to model a proof on the triangle-removal approach to the corners problem.) Each of these general pages would naturally throw up several questions, and there would be links from these questions to pages at the next level of the tree, one page devoted to each question. A big priority in all these lower-level pages would be to make them as self-contained as possible, so that one could treat the whole process recursively: in theory you could go to a lower-level page and treat it just as you would the main problem, proposing general approaches to it, asking questions connected with those approaches, and so on. Of course, some of these lower-level questions might not be very interesting in isolation, but if you wanted to understand the motivation for them then all you would have to do is go up a level or two to see how they arose.What would determine when a branch of this tree of web pages ended? It would be when a question was definitively answered. This definitive answer could well propagate up a few levels in the tree: for example, it might be a counterexample to a conjecture one level up, which might itself be so obviously necessary for the success of an approach outlined one level up still that that approach could be definitively labelled as not working (in which case one would put a note to that effect, but leave the lower parts of the tree that explained why it didn’t work), and so on. A complete proof-discovery tree could then be defined as one where all its branches had definitive endings, though it seems highly unlikely that this would ever be achieved for a problem such as DHJ. A successful proof-discovery tree could perhaps be defined recursively as follows: at the top level, one would have a precise approach to the problem, with links to subproblems that be sufficient, if solved, to solve the main problem, and each of these subproblems would have successful proof-discovery trees. The base case would simply be a question with a definitive answer. In general a proof-discovery tree would have far more information than just a proof of a theorem: it would contain explorations of many other related ideas, and they would be organized in such a way that even if the tree was not a successful one, the document would make it easy to see what ideas had been considered and either rejected or temporarily abandoned. Such a document would be similar to the long sequence of comments that resulted from Polymath1, but with two differences, one major and one minor. The minor difference is that not everything in those comments would be worth including in a proof discovery tree. The major difference is that the logical structure of the mathematical ideas would be far more apparent. This would be a huge advantage for anybody who wanted to contribute to the project: they could simply follow a branch that interested them until they got to the end, and at that point they would attempt to make a contribution. Or if they preferred they could jump straight to a fairly deep point in the tree and think about a subproblem in isolation.How might this all work in practice? I think it could be done in a way that is not too different from the way Polymath1 was organized, but there would be a change of emphasis. Instead of the blog conversation being seen as primary and the wiki being an add-on, the more codified proof-discovery tree would be the main focus of attention. However, there would still be a blog conversation. A typical contribution to the collaboration might be the creation of a new page of the proof-discovery tree and a brief explanation on the blog of what one had done and why. But it might be a minor edit to the proof-discovery tree (perhaps to make some page easier to understand), in which case a blog comment would not always be necessary — though for more elaborate edits it probably would be.Why bother with the blog comments at all? Well, the linear structure of Polymath1 had definite advantages as well as disadvantages. The main advantage was that it was easy to find out what had been done recently. It was also good to have personal contact with other participants and to keep track of who had said what. And it would almost certainly be useful to be able to make blog comments that did not obviously fit into a proof-discovery tree.My hopes for Polymath1 before it started were that it would be possible to make contributions without much effort. My reason for believing in this possibility was that, as Michael Nielsen elegantly put it, the solution to a problem arises as a result of an aggregation of small insights. I hoped that it would be possible to break the process of discovery down into sufficiently small steps that each one was fairly easy.To some extent, that is what happened, but a serious problem with the idea was that, as I have already mentioned, having a small insight often depends on a rather deep understanding of the problem at hand. (If nothing else, this understanding helps one recognise which ideas are likely to be helpful.) A second problem is that a small idea can often depend on some other rather large ideas. For instance, “Mimic the proof of Theorem X” could be a small idea in the sense of being an idea that one can think of quickly and express in just six words, but quite a big idea in another sense if the proof of Theorem X has many stages, some quite technically complicated.If we were to organize a Polymath project in the way that I am suggesting, then these two difficulties could be alleviated to some extent. We would value very highly the formulation of precise questions with yes/no answers, because such questions can be considered in isolation. Somebody adding such a question to the proof-discovery tree would be expected to explain it very carefully, and to present it as though it were the main question. This would be quite a lot of work, but the payoff would be that others would find it much easier to contribute. And in any case that kind of work could also be done collaboratively. Also, if somebody proposed a high-level approach such as “Mimic the proof of Theorem X,” the expectation would be that they, or others, would add links to detailed explanations of what Theorem X was and how it was proved. If Polymath1 had been organized this way, then my initial contribution would have been to add to the top-level page (the main content of which would be a description of the density Hales-Jewett theorem), “Approach 1: mimic the triangle-removal approach to the corners theorem.” This would have been a link to an article explaining that idea in more detail. On the more detailed page there would have been the definition I gave of the tripartite graph in which triangles corresponded to combinatorial lines. There would also have been a link to a page explaining the triangle-removal proof of the corners theorem (on which there would have been a link to a page explaining the statement and proof of Szemerédi’s regularity lemma). And there would have been an enumeration of the definitions and proof steps associated with the proof of the corners theorem for which analogues were needed. These would have been hyperlinked to pages discussing them in more detail. One of these pages would, for example, have been a link to a page with the following subproblem: is there a usable analogue of Szemerédi’s regularity lemma for subgraphs of the tripartite graph where you join two sets if they are disjoint? And so on.I have slightly oversimplified matters, because the logical structure of a proof-discovery tree would not always be as clear-cut as the above account would suggest. For example, if somebody proposes a variant of a question on the grounds that it might illuminate that question, then how does such a proposal fit into a proof-discovery tree? Here, I would envisage sticking to the tree structure, but making clear that one was not talking about formal logical implication. For instance, if a node of the tree was concerned with trying to prove Statement A, then Approach 1 might be, “Prove Statement B first, and then modify the argument to give a proof of Statement A.” There would be no guarantee that this approach would succeed, even if one managed to prove Statement B, but one could still have a link to a page all about Statement B. If the Statement B node ended up as a successful one, then one would go back to the Approach 1 node and follow a different subtree that was devoted to the question of how to modify the (now known) proof of Statement B. That subtree would be connected to Statement A in a more precise logical way.My ultimate fantasy is that it might be possible to solve a problem without anybody taking a global view: everybody would concentrate on local questions, and at some point the proof-discovery tree would become a successful one. Success would be a purely formal property that one could verify automatically. How? Well, each time you had a node of the tree at the top of a successful tree, you would go to its parent node and make a note to the effect that one of the ingredients needed for that node to be successful had now been supplied. If it was the last ingredient then you would iterate this process, and if the top node became successful then you would be done. I should explain further what I mean by “global view”. In one sense the initial, very general nodes of the tree would constitute global views of the problem. But that is not what I am talking about. These nodes would still be local when considered as part of the proof-discovery tree: it might be possible to understand that a certain general approach was worth trying but have only a very limited appreciation of how that idea could play out. So what I mean by “global view” here is a good understanding of a large part of the tree rather than merely an understanding the vertices that happened to be near the root.If some fantasy like this became a reality, so that in an essential way the problem was solved by a collective super-brain and not by the combined global understanding of a handful of individual brains, then the problems about credit would be even more interesting. An ultimately successful Polymath project would be one in which nobody had done anything very impressive (just as a neuron doesn’t have deep thoughts) and yet the collective achievement was a notable one. Why would anybody want to contribute to such a project? I’m not sure, but I’m also not sure why so many people are prepared to give so much of their time to the open software movement. Perhaps it might be for some strange reason like wanting to know the solution to an interesting mathematics problem.												This entry was posted on March 24, 2009 at 9:57 am and is filed under Mathematics on the internet, polymath1.						You can follow any responses to this entry through the RSS 2.0 feed.													You can leave a response, or trackback from your own site.											]</t>
  </si>
  <si>
    <t>CTao_37254</t>
  </si>
  <si>
    <t>1142. lower bounds on line free sets, I think the results of 1141 can be used to get lower bounds on lines free sets for large n for all values of k. For any k and any n we can find a prime prelatively close to k^n  then we remove the first k+1 values mod p then we pick a value then we remove the must k+1 so we only have k+2, 2k+3, etch
the idea is to prevent any two values on a line because two points on a combinatorial line increase by at most k. This has density 1/k so we have
a line free density of 1/(k+1).</t>
  </si>
  <si>
    <t>CTao_37265</t>
  </si>
  <si>
    <t>self-improvement</t>
  </si>
  <si>
    <t>1143. I think the bound in 1142 could possibly be improved. First by getting most of the set concentrated around the point with equal numbers of ones twos and threes or the point with values closes to equality the standard deviation should be something like the square root of n. Then we could apply the near prime with sets c(k^.5 + 1) and get a density of roughly c/k^.5
which I think will be better than the Behrend-Elkin construction as e^-x will eventually be less than 1/x as x increases without limit and the square root of k will increase without limit.</t>
  </si>
  <si>
    <t>C3043</t>
  </si>
  <si>
    <t>silly spin-off problem</t>
  </si>
  <si>
    <t>While following, and cheering the emerging proof on the wiki, and resting a little from the serious efforts that took place here over the last 6 weeks or so (and I hope there will be a follow up math discussion (not just meta discussion) for a couple of weeks even after the success,) can I offer to amuse ourselves with the silliest spin-off problem that was offered in these discussions: (naturally, by me): What is the size of the largest family of subsets of {1,2,…,n} without two sets A and B so that A\B is twice as large as B\A. Any slice will do and we can (as pointed out by NK) add to the middle slice also silices of size n/4, n/8 etc. Can we do better?</t>
  </si>
  <si>
    <t>C3044</t>
  </si>
  <si>
    <t>Dear Tim, , Actually the success of the project was beyond my expectation (and beyonf any reasonable fantasies) both in terms of achieving tha mathematical goal and in terms of the open collaboration. Your initial post contained a very detailed plan with 38 steps (A-Z+AA-LL) on an attack on the problem, and when I saw it I was quite pessimistic  that this plan can lead to a large open collaboration. At the end it was a large open collaboration. To have a successful open collaboration even without a massive number of contributors is already significant.  , Here there was a fair number of collaborators and even larger number of precious participans who observed the progress.  , Probably in order to make it larger you need to have less internal, often hectic, “competition” in the collaboration itself. On the other hand the intense mode of the efforts by a few participans was the major reason for the mathematical success of this project.  , As you mentioned, problems that require much background and that a few people thought a lot about already,are probably worse in terms of “massive collaboration”. Your suggestion for polymath3 to openly discuss your ideas for Behrend-type upper bounds for Roth’s problem is a great idea for a next open collaboration; the stakes are order of magnitute higher than DHJT and it can be fruitful even if you will be the main player and it will force you to write these ideas in the open, and also if other people will just try to shoot them down. But it can lead to a larger form of open collaborations where the bounds will actually be pushed, or pushed relative to some other plausible conjectures., I agree that the success of polymath1 depended on many people having some good prior understanding of the problem and related issues, and the open mode helped aggregating these understandings. Good! this is already very significant., Is a  large open collaboration a potentially good tool for gaining understanding collectively when we do not have it at all? We need more tries. Trying to attack a problem where little is known and little background is needed can be a good test., As a metameta comment: I think some of the metadiscussion is premature.</t>
  </si>
  <si>
    <t>C3045</t>
  </si>
  <si>
    <t>name</t>
  </si>
  <si>
    <t>“This makes me want to ask what it is that the producers of open software do that we did not manage to do. I may not have the right answer to this question, but I do have a suggestion. Again, I have to admit that there is a lot I do not know about how open software is produced — for example, is there some big-picture planning stage before people start actually writing code, and if so, how is it organized?”, I believe that almost no open source project is a massive collaboration from the very start. Take for instance the Linux kernel. Before even releasing it to the public, Linus Torvalds had written a significant amount of code, a “skeleton” so to speak. Only after that did people start to contribute, adding things they needed that were missing, rewriting portions that they thought could be made better, and so on. The source code then grew a factor of 1000 over the next 17 years (the cumulative code size being much larger). Other projects start out with a mid size group, like the one in Polymath1, but having something with hundred of contributers from the start is very rare., A project then picks up contributers as it goes along: if your new hard drive doesn’t work with the system you might be compelled to patch the device driver so that it does, and so on. An individual contributer typically doesn’t, and need not, see the “big picture”, but for every part of the software there is someone or a group of people who maintains that piece and knows how things fit together. (In the “cathedral” model this is a chosen group, otherwise it’s someone whose track record makes people trust him or her.), Random comments on Polymath:(i) If you come across a fun/simple lemma, consider if you really should write down the formal proof yourself — it might be a perfect opportunity for an outsider to get into the project. (ii) Online reading seminars such as the one Tao organized are an awesome idea! (iii) Don’t make the platform overly complicated.</t>
  </si>
  <si>
    <t>C3047</t>
  </si>
  <si>
    <t>It’s a very interesting idea to compare mathematics with OSS.  It’s something I’ve pondered a little recently.  In fact, I’ve been setting up a blog/forum/wiki to explore this (and related) ideas!, My thoughts are summarised in this:
Open Source Mathematics</t>
  </si>
  <si>
    <t>C3048</t>
  </si>
  <si>
    <t>Matt Leifer</t>
  </si>
  <si>
    <t>One of the things that large-scale open source software products do is to offer a shallow learning curve, so that new contributers can start adding to the project straight away.  Along with this, they also make it possible for individual developers to customize the software in their own way, without having to share the same “big picture” as the core developers., In web-based applications (where I have most of my experience) there is often a plugin architecture that achieves this.  For example, in WordPress you can easily write a plugin that displays a widget on the sidebar, a new theme, or a new language translation.  These things can be written after reading only a small portion of the documentation and without understanding how most of the main WordPress engine works.  The vast majority of developers just stay at this level, maintaining their plugins as the core engine is updated.  However, if a developer starts working on more and more sophisticated plugins, e.g. something that changes the way that the admin controls work, they gradually have to absorb more of the documentation and start looking at the source code to figure out how to do things.  In this way, they begin to notice bugs and improvements in the source code and start to submit patches to the core engine.  If they get even more interested, they may then become part of the team working on core development., It is also important that several different “big pictures” are allowed to coexist in the same project.  For example, the core WordPress team want to make the best individual blogging platform on the planet.  However, other groups see WordPress as a more general CMS and release distributions that are pre-installed with custom plugins specific functionality.  There is Buddypress (a general social networking engine), WordPress mu (a multi-user, multi-blog version of WP) and something that turns a wordpress installation into a Twitter clone.  Similar examples exist in other open-source projects, e.g. often people will write a version of something for the mac that looks more mac-native than the original – compare OpenOffice vs. NeoOffice, Firefox vs. Camino, etc., For most open-source projects, it is a relatively small group of developers that end up maintaining the core engine of the project.  Most are working on plugins or customizations of the software for some specific purpose.  Relatively few people care about the “big picture” and it is more usual to find a benevolent dictatorship rather than a democracy behind it all.  In fact, these days it is fairly common to find a commercial company behind all the core development., The bottom line is that what you need is a “plugin architecture” for polymath projects, i.e. a way of contributing small things without having to know much about the core of the project.</t>
  </si>
  <si>
    <t>C3049</t>
  </si>
  <si>
    <t>Chris Johnson</t>
  </si>
  <si>
    <t>-is there some big-picture planning stage before people start actually writing code, and if so, how is it organized?-
For open-source projects, I think the model is often that the core of the program is built by one person, and this program becomes a successful open-source project if is sufficiently interesting to, and extendable by, others. The big-picture planning (‘software architecture’) is done by the project initiator before he starts writing, and the practicalities of software development mean that once the core code has been written, it’s hard to change the structure. In commercial software, the big-picture planning will be done by a small team of expert programmers and project managers., This software-design stage is the part that is most like working out a mathematical proof, in the sense that it involves creative thought and lines of thought that lead one down blind alleys. In large commercial projects, there will be a formal specification of what the software is to achieve, and once the software architecture meets this specification, ‘the theorem is proved’. The actual coding stage is analagous to writing up the proof in LaTeX, using sufficiently explicit mathematical language that a computer could interpret it., It’s unusual for an open-source software project to have no-one who understands the overall picture, though common for some (perhaps the majority) of contributors to understand only a small part. The latter contributions are, in mathematical terms, simple corollaries to the main result or one of the main lemmas, often quite tangential to the main direction of the proof, which add a simple feature to the software to allow it to do something not anticipated or thought important by the original software designer.</t>
  </si>
  <si>
    <t>C3050</t>
  </si>
  <si>
    <t>Daniel</t>
  </si>
  <si>
    <t>Much has been correctly said about Open Source and it’s /modus operandi/, and i don’t mean to be pedantic nor repetitive, but i’d like to add a few notches and maybe contextualize things a bit., The creation of UNIX is really the “critical point” in this context: at that point, before the formal creation of ‘computer science’, what was done was to apply the already galvanized principles of science (including math) into doing computing. In this sense, Free Software was born, and lo and behold, it’s a strong reflection of the principles by which we all abide when doing science: collaboration (massive or not), free exchange of information, modularization (the break-down of a problem into its constituent parts), etc. So, firstly, i believe the appropriate metaphor here would be “Free Software”, rather than the more pragmatic “open source”, but this is just a minor point., Having said that, i believe there’s one fundamental difference between the way to prove a theorem and its analogue in software development, namely the writing of a piece of code: when you’re developing a piece of software, it’s very possible to “algorithm-ize” each and every step of the way; and although this may be similar to the construction of a proof, a technique for proving a certain theorem may not be so “modularizable”, i.e., sometimes it’s not possible to break a theorem down to it’s “dumb-bits”, tiny-little pieces that require very little “thinking” to be proved — which is something very common in the development of FLOSS (“Free-Libre-Open-Source-Software”). So, along this line, here’s my take on this problem:, (1) modularization: Even though, sociologically and ecologically speaking, a FLOSS project is usually not born with all of its “management” ready (meaning, the formal breakdown of all the little pieces involved), it’s true that one of the core UNIX principles is that of maximum modularization: make one tool that does one job very well, can compound them to obtain a certain desired result. IMHO, this is only “perturbatively true” in math (or physics, for that matter) — meaning to say that, sometimes, it’s not possible to breakdown an action into its constituent bits… it’s very common for this to be possible only in hindsight (which is the very opposite of what’s done with FLOSS projects). Further, sometimes in math it’s not about “piping” the result of one tool into the input of another, but more like a “star-like” application, a multi-faceted combination of the use of these bits. And, in this sense, as Tim has already pointed out, one does need to have some sort of “global picture”, otherwise it’s all but impossible to know how to proceed., (2) Focus on *collaboration*: this may look like a marginal point, but the inner workings of a piece of software do model its outcome in a very clear way. For instance, Wiki projects focus on a database-heavy approach, i.e., as far as wikis are concerned, it’s about accumulating data, filling the DB with information. However, from the point of view of software development, i believe that an approach like ‘git’ (i.e., a “version control”-like approach) is better suited: this approach focuses on the particular contributions /per se/, rather than on “volume of data gathered”. While it’s true that wikis do have a very basic “version control” system, this is not their main fulcrum; while for “version control” software, this is the very point — and this is the reason, e.g., ‘git’ was chosen to handle the projects of the Kernel, Gnome, X, etc; this way, massive collaboration can be better handled., So, in summary, i’d say that if a person was able to break apart the proof of a theorem into completely dumb-proof bits, it’s massive collaboration would be optimized, once one could sit and blindly apply a few highly modular tools in order to ‘spit’ the answer. However, for more intricate projects, the collaboration may need to be twofold: on the front of the proof itself, but also on the strategical front as well (which makes it a bit of a meta-collaboration)., Cheers.</t>
  </si>
  <si>
    <t>CTao_37272</t>
  </si>
  <si>
    <t>check in</t>
  </si>
  <si>
    <t>Just a quick note to say that I’m traveling at present and have not been able to reply to all the interesting progress made in the last week or so, but it looks like the project is humming along nicely without my assistance anyway!  I’ll try to say something more constructive when I return next week.</t>
  </si>
  <si>
    <t>C3052</t>
  </si>
  <si>
    <t>Robert</t>
  </si>
  <si>
    <t>how can you contribute modules without understanding the big picture?</t>
  </si>
  <si>
    <t>Others have mentioned modularity and plugin-in structure before. But what I would like to emphasize is the specification of “interfaces”: In order to contribute modules without having to understand the big picture, you would need to have a somewhat clear structure of what the finer grained structure is supposed to deliver. Such minimal interface allows you to contribute plug-ins with only the requirement to match the interface., In the tree model of progress, there is of course as well the danger of reinventing the wheel a million times: There should be a possibility to have cross connections for sub-problems that appear at different places but that are of a similar nature so they might as well be handled all at once. To discover those, of course, a more global point of view is needed.</t>
  </si>
  <si>
    <t>C3053</t>
  </si>
  <si>
    <t>Martin Schwarz</t>
  </si>
  <si>
    <t>OSS v. mathematical proof</t>
  </si>
  <si>
    <t>With regards to the similarities of OSS and mathematical proof development, I think there is one crucial difference to observe: A successful OSS project is usually released very early, giving only an idea of where it is about to go and what might be useful, but where it is already sufficiently useful to attract some expert users that both, make use of it, and – as they are experts – have the capabilities to change, extend, and generalize it to solve their higher-level goals even better. Only after the expert group has sufficiently generalized and completed the product, non-experts users will be able to pick it up and use it as black-box., Translating to maths collaborations, I think this would translate to proof important special cases first, that are usable by quite a number of experts, attract their attention and make them generalize the special-case to full generality. Or, it might map to the development of good conjectures with supporting evidence, that would allow to proof various conditional results within some other context and which would attract experts of these fields motivated to remove the condition their higher-level proof depends on.</t>
  </si>
  <si>
    <t>C3054</t>
  </si>
  <si>
    <t>Jason Rute</t>
  </si>
  <si>
    <t>collaborative math process; really good references in this one</t>
  </si>
  <si>
    <t>Hi Tim,, One comment I have to add is that your new suggestions on how to do collaborative math remind me of collaborative projects in formalized math where the goal is too find a machine-checkable formal proof of a math theorem.  The projects–whether done individually or in a group–often involve splitting a much bigger project into smaller subgoals, which in the case of a collaborative project can be handed out to individuals who don’t necessarily need to know the details of the larger proof., One example is Tom Hale’s Flyspeck project to give a formal proof of the Kepler conjecture using the theorem proving system HOL Light.  It’s hosted on Google Code  under an open source license.  It involves collaborators from across the world.  And each can work on their part of the project without necessarily having to understand the other parts.  (This is only one such project, but also possibly one of the most open ones.  There are others using the Mizar, Coq, and Isabelle systems.  See the December copy of the Notices  for more details.), There are however some big differences between your approach and that of formal math.  Formal math projects usually start from an existing informal proof (although it may still need to be modified novelly to make it easier to proof formally).  Also, it’s easier to hand out smaller projects since it usually involves giving someone a proof of lemma X and saying “go formalize this.”  Also the time frame on these projects can be quite long because of the tediousness of formalizing even the most simple math., Yet, there may still be some similarities that can be learned from.  It seems in the Flyspeck case, that there are two types of participants.  The first are those who are “experts” in the field who have helped Tom considerably in checking the correctness of the computer code (the reason his proof was so controversial in the first place).  The others are the people newer to the scene (many undergrad or grad students) who formalize basic mathematical facts needed for the proof.  To make the later case go smoothly, Tom Hales spent (what I imagine was) considerable time making a clear outline of the facts needed for his proof and a sketch on how to prove them.  This document is on the Google code site and may have similarities to the wiki idea you have.  Although, as I already mentioned, the goals are a bit different.</t>
  </si>
  <si>
    <t>C3056</t>
  </si>
  <si>
    <t>how is polymath like software?</t>
  </si>
  <si>
    <t>There are many interesting points here, of which one, which has been made in various ways, strikes me as the main one: that in order to make small contributions to a large software project you need to have something that’s already fairly well developed (or at least, if this isn’t an absolute necessity then it certainly makes things far easier)., Just to make sure there is no misunderstanding, I’d like to spell out the analogy I am drawing, because I think I didn’t make it sufficiently clear. In the third paragraph I may have seemed to suggest that the analogy was between computer programs and mathematical proofs, with subroutines corresponding to lemmas, and so on. And indeed, I think there is a close analogy there. However, that is not the analogy I want to highlight. The important analogy from the Polymath point of view is between a big piece of software and a proof-discovery tree. The proposer of a Polymath project could get things started by writing down a number of thoughts and arranging them in a tree-like fashion (or perhaps some more general directed graph). That would be the analogue of an initial piece of software that did actually perform some interesting function., Note that the initial Polymath document would not necessarily need to prove anything: the analogue of “perform some interesting function” would be “improve understanding of the main problem”. Then the analogue of “discover that the existing software does not do what you want it to do” would be “find that the existing explanation is hard to understand”. The analogue of “rewrite part of the code so that it works on my computer” would be “rewrite part of the proof-decision tree so that I find it more transparent”, and so on., In other words, the hope would be to get the project to take off by having as its main objective not so much the solving of the problem (though of course that is what one wants to be the result of the exercise) as achieving a very complete understanding of it and all its attendant difficulties. , Another point I’d like to make very clear: if you have a tree-like structure then there is implicitly some relationship that is expected to hold between a node and its children. That relationship would not be logical dependence, but rather something like “is the motivation for”. Logical dependence from a child node to a parent node would be just one of many ways in which the parent node could be motivation for the child node. , If somebody were to produce a proof-discovery tree that reached a certain critical mass and had lots of “open” leaves (that is, leaves with well-defined questions that were still not answered in any remotely definitive way), then I think that some of the barriers to participation would be removed.</t>
  </si>
  <si>
    <t>CTao_37279</t>
  </si>
  <si>
    <t>1144. Implication of Behrend/Elkin for ., If  is sufficiently large, then , where the ‘s are base 2., I’ve posted the details to the wiki under “Hyper-optimistic conjecture” (http://michaelnielsen.org/polymath1/index.php?title=Hyper-optimistic_conjecture).</t>
  </si>
  <si>
    <t>CTao_37280</t>
  </si>
  <si>
    <t>1145. Gaps between primes, If I recall correctly, then the Riemann hypothesis implies that there is always a prime between  and  (provided of course that  is large enough, while the truth is believed to be that there is a prime between  and , and some people have guessed .</t>
  </si>
  <si>
    <t>CTao_37283</t>
  </si>
  <si>
    <t>1146. Hyper-optimistic conjecture extended beyond 3, If the Hyper-optimistic conjecture is extended to 4, 5 etc I can prove it for some specific values., Specifically I think I can prove it Hyper-optimistic conjecture for all the values k greater than d where k is prime as in 1140, the key is every incidence is exactly one and every incidence is of minimum weight on the lines consisting of x repeated d times x followed by d-1 a’s not divisible by the prime k, x followed by d-2 a’s not divisible by the prime k etc these lines will have to be blocked somehow and this can only be done at greater or equal cost. So for the extension of this conjecture beyond 3 we have that it holds true for primes p for values less than or equal to p.</t>
  </si>
  <si>
    <t>CTao_37284</t>
  </si>
  <si>
    <t>1147. Hyper-optimistic conjecture extended beyond 3, The previous anonymous comment was by me, I forgot to include my information.</t>
  </si>
  <si>
    <t>C3058</t>
  </si>
  <si>
    <t>there were a large number contributing; simultaneous discovery in ZCP</t>
  </si>
  <si>
    <t>“First, let me say what I think is the main rather general reason for the failure of Polymath1 to be genuinely massive.”, “Here, though, is my preliminary diagnosis. What I think we did that made it hard for all but a few people to contribute…”, I do not know what masses are expected when overall the mathematical community is rather small.  And I also do not fully understand what “few” means. But I think Tim’s statement are simply false. , There were a large number of people contributing, and there was an even larger number of people following in a way which make them potential contributors if something will come their ally. When people said that they followed the discussion and had some idea but then somebody presented it before they had a chance to, for me this is part of contributing. In fact, even people who followed it and thought about the issues and did not come with something to say are contributors to this collective effort.  , So I think that overall the large collaboration we have witnessed is superior in terms of potential in solving math problems and in terms of having a large number of people being part of a collective effort compared  to the tree-fantasy in the post., “My ultimate fantasy is that it might be possible to solve a problem without anybody taking a global view: everybody would concentrate on local questions, and at some point the proof-discovery tree would become a successful one.”, What so good about this fantasy? Having a global view is a nice part of doing mathematics and the bottlenecks are often with technical matters and not with global views. , “If some fantasy like this became a reality, so that in an essential way the problem was solved by a collective super-brain and not by the combined global understanding of a handful of individual brains, then the problems about credit would be even more interesting.”, Maybe we should wait with this super-brain ideas for a little while.</t>
  </si>
  <si>
    <t>C3061</t>
  </si>
  <si>
    <t>Hunter</t>
  </si>
  <si>
    <t>wikipedia + discussion page</t>
  </si>
  <si>
    <t>Re: the form of informal discussion
(the original) wikipedia now has a ‘discussion page’ attached to each content page… It seems to me that following this model would provide a good place for what were formerly blog comments. The discussion pages should have rss feeds automatically generated so collaboraters could aggregate the feeds of parts of the problem they’re interested in. If the project got large, perhaps someone would come forward to do a daily digest of a broad range of the discussions so the thing didn’t get too balkanized.</t>
  </si>
  <si>
    <t>C3062</t>
  </si>
  <si>
    <t>how do we make it easier to (1) join and (2) solve or continue later?</t>
  </si>
  <si>
    <t>Gil, the super-brain idea is perhaps a little far-fetched, and risks taking some of the joy out of doing mathematics. It would be good only if there were some problems that could be solved in that way that could not be solved with smaller collaborations, and as you say it is far from clear that that is the case. , Nevertheless, I think that the change of emphasis I describe could be a good thing quite independently of whether it increased the number of participants by a factor of ten. If we took the wiki part of the process much more seriously, aiming to include, in a carefully organized fashion, all the promising thoughts that emerged in the blog conversation, then the result would be a document that ought to be much more useful to people who wanted to join in the collaboration. And it would also be make it much easier for people who wanted to attempt the problem at a later date if it did not end up being solved by the Polymath collaboration.</t>
  </si>
  <si>
    <t>C3063</t>
  </si>
  <si>
    <t>1058. Hyper-optimistic conjecture, Could the Hyper-optimistic conjecture be extended beyond 3, and if so if it is true would it imply DHJ(n) for higher values of n. For example if it is true for 4 would we have DHJ(4)?</t>
  </si>
  <si>
    <t>C3064</t>
  </si>
  <si>
    <t>claiming success</t>
  </si>
  <si>
    <t>this was a cool new way to do things - worth celebrating</t>
  </si>
  <si>
    <t>Dear Tim, , Indeed you may be right. I tried also to think if the idea of more emphasis on wiki rather than blog threads is good or bad but beside my personal hunches and preferences I simply dont know. , Regarding polymath1 I’d love to see the discussion continues in parallel to having a wiki proof at place and letting the participants digest it. Talking about Shalahfication or Gowersfication of the approach towards better bounds and discussing spin-off matters with the attention the project got, can be more useful (and more timely) than trying to  tune the polymath mechanism itself, and I am sure many like me are eager to see how the simplest Szemeredi proof will look like, and perhaps teach it soon. , But the main point is this: polymath1 was a success in all respects. It should be completed  (where, as usual, those who contributed the most will have the lion-share of the writing and finishing and explaining job). And you should be proud and happy; it is not GRH, neither it is a computationally-superior mode of doing mathematics (yet),  but it is a very important problem, and a truly novel mode of collaboration, which attract attention and enthusiasm.</t>
  </si>
  <si>
    <t>CTao_37300</t>
  </si>
  <si>
    <t>1148. Extending Hyper-optimistic conjecture,     To extend this conjecture we need to define a weight beyond 3
we do this by letting the weight of a point with a ones b twos c threes
and d fours to be a!b!c!d!/a+b+c+d! Similarly we can add e for 5 f for6
the general pattern should be clear.
    We also need to extend slices thus in the case of k=4 we add a d which is the number of 4’s in the slice similarly we add an e in the case of k=5. The extension of the conjecture would that the maximal weight is realized by a set of slices.</t>
  </si>
  <si>
    <t>C3065</t>
  </si>
  <si>
    <t>what to do next?</t>
  </si>
  <si>
    <t>I think the idea of proof-discovery tree sounds interesting. It is worth being implemented to see what happens. I suspect that any growth between this and the next such project will be around a factor of two and that a series of projects might be needed to get greater growth. Your ultimate fantasy reminds me of the Chinese room argument. It might come up as an attempt at converting a large computer proof into something that could be understood by humans.</t>
  </si>
  <si>
    <t>CTao_37301</t>
  </si>
  <si>
    <t>I'll look into it</t>
  </si>
  <si>
    <t>1149., Klas,,         I will look into it.  I did not have much time last week but things are opening up now., Kareem</t>
  </si>
  <si>
    <t>CTao_37302</t>
  </si>
  <si>
    <t>1148. Extending Hyper-optimistic conjecture, I am going to try to prove part of the result I tried to prove in 1146, there is at least one mistake., I want to prove that if p is a prime and d is a dimension less than p and the Hyper-optimistic conjecture is extended as in 1148 for p then for the specific values of d
less than p the Hyper-optimistic conjecture is true., To try to prove this try we remove all points whose sum is divisible by p, then since permuting the coordinates will not change the sum this is a set of slices we only need to prove it is minimal in weight and it covers all combinatorial lines. So I have it is a set of slices., It covers all combinatorial lines because the line since d is less than p must increase by a number less than p hence all values modulo p will be realized including p and we are done. So I have it covers all combinatorial lines., I still need to prove the weight is minimal though to get the result I want.
I thought I could do this in 1146 but what I wrote did not work.</t>
  </si>
  <si>
    <t>C3066</t>
  </si>
  <si>
    <t>Joseph Myers</t>
  </si>
  <si>
    <t>also suggested reading - Eric Raymond's essays</t>
  </si>
  <si>
    <t>(Writing as a mathematician turned (mainly open source) software developer.), There is by now a substantial body of literature dealing with open source software development from a social sciences viewpoint.  This might help answer some of the questions about how and why it works and what motivates people to take part.  (I do not have any specific guide to or bibliography of this literature to recommend.  Although Eric Raymond’s essays are certainly worth reading as one viewpoint on things.), Then again, the literature is likely to give several different answers to some questions; different open source projects can be very different in how their development communities operate, so you can’t necessarily read general conclusions from a study of or experience in one community.  And just as the communities differ, so too do the individual participants and how they participate.  Some do make small local changes without a global picture, some make more wide-ranging changes or refactor code after subsequent changes have made it clearer how things should be structured; some projects have more scope for the local changes and others have greater need of the refactoring.  Some discuss and agree on designs for more complicated changes before bringing them into effect.  Some provide community leadership, official or otherwise.  Some may focus on documentation, or on triage of bug reports.  Some prefer to contribute pieces to larger longstanding projects and choose projects to contribute to accordingly; others prefer creating something new on their own and found new projects.  (Sourceforge is littered with any number of duplicative and largely defunct projects from people who made their own instead of contributing to someone else’s project to do something similar.)  It’s likely massively collaborative mathematical research also has room for the different styles of projects and contributors., Studies have, for example, considered such areas as: the economics of open source software; how developers interact in open source development; the demographics of open source development (linking into a previous question regarding women contributing to Polymath, at least one study found that open source developers were 98-99% male compared to 70-80% in traditional software development, and there is a whole bibliography concerning that subject); motivations of open source developers; the extent to which the development is done by developers who are or are not paid to do it.  (And where any such area is studied statistically, different results may and do arise depending on whether you count by number of developers, number of separate contributions or amount of code contributed.), One day social scientists may be looking at Polymath collaborations in similar ways.</t>
  </si>
  <si>
    <t>C3067</t>
  </si>
  <si>
    <t>Michael Hudson</t>
  </si>
  <si>
    <t>continuing the discussion RE how is polymath like software? ... also, what about an issuetracker for the proof-tree idea?</t>
  </si>
  <si>
    <t>Two points:, 1) There is a growing belief in software development in general that the “top down” style of software/project organization where requirements are understood before the architecture is laid out before the programming begins is not a realistic or helpful model for how to get things done (keywords “agile”, “lean”, “scrum” etc, though it does seem to turn into a religion for some people).  I have no idea what this means for collaborative mathematics — except that perhaps it’s worth thinking about not over-emphasizing on solving a particular problem and rather try to develop tools that are generally useful., 2) The way open source projects keep track of where they are and what needs to be done is often in an issue tracker, not a wiki.  Have you considered using trac or Bugzilla or similar software?, Two points about issue tracking software:, (1) Issue trackers help a lot with modularizing problems (and localizing the scope of conversation), making it easier for more people to contribute in parallel, without being overwhelmed by the quantity of conversation.  , (2) In a fashion similar to Tim’s suggestion of a proof-tree, issue trackers can be used to track dependencies in a hierarchical way, even showing dependency graphs., (The link is to the Firefox “bugtracker”, but despite the name it’s used to handle issues other than bugs, including feature development – here’s an example.), I don’t think existing issue tracking software is suitable for Polymath-like collaborations, but as a successful existing mode of organization it’s a useful model, and addresses some of the problems raised in Tim’s post.</t>
  </si>
  <si>
    <t>C3068</t>
  </si>
  <si>
    <t>Rajiv Das</t>
  </si>
  <si>
    <t>what about a storyboard?</t>
  </si>
  <si>
    <t>You can explore more collaborative UI like a storyboard that makes it easy to add/rearrange tag ideas as well as have a big picture view of what’s hapenning.</t>
  </si>
  <si>
    <t>C3070</t>
  </si>
  <si>
    <t>1059. hyper-optimism
Great question. I looked at the wiki and did not find it stated beyond 3. I also do not see off hand what it will give.</t>
  </si>
  <si>
    <t>CTao_37310</t>
  </si>
  <si>
    <t>1149. Gaps between primes., There is a later improvement of the gap result., Baker, R. C.(1-BYU); Harman, G.(4-LNDHB); Pintz, J.(H-AOS)
The difference between consecutive primes. II.
Proc. London Math. Soc. (3) 83 (2001), no. 3, 532–562. , Here they find a prime in x-x^{0.525},x</t>
  </si>
  <si>
    <t>C3074</t>
  </si>
  <si>
    <t>Josh Burdick</t>
  </si>
  <si>
    <t>bottleneck in moderation</t>
  </si>
  <si>
    <t>I’m more a programmer than a mathematician, but it was interesting watching progress being made., It seems to me that a bottleneck was the moderators’ job.  When people suggested a possible proof, or conjectured that some other lemma would suffice, someone (you, Terry Tao, or someone else) at some point had to see if it made sense.  Although since it’s a blog, there were more people looking who might spot a bug; but it wouldn’t always be obvious when a step was incorrect., In the glorious future of flying cars, perhaps the blog format could be integrated with a proof-checking system; many people have been thinking about related things.  Many of the ideas involved have been around for a while, but this still hasn’t taken off on a large scale, and so advice from working mathematicians might be helpful.</t>
  </si>
  <si>
    <t>C3076</t>
  </si>
  <si>
    <t>this was successful; fantasies don't match</t>
  </si>
  <si>
    <t>I do not understand, Polymath has succeeded in solving a larger problem than it meant to solve. It did so quickly. Why then is “small” scale of polymath a failure? Why is it a failure to solve a problem having expended efforts of fewer humans rather than more? Doubling the number of people will not only double the number of thoughts produced, but also increase the number of duplicate thoughts, and increase the communication overhead regardless of communication infrastructure used. Is it a wise expenditure of human efforts? Isn’t it better if instead there are two (or more) completely independent projects, so that less effort is wasted overall?, My personal feelings are strongly against doing mathematics without “global picture”. Even if I concur that it is possible, I would not want to be the person on the bottom of this solution-tree, who labours on a subproblem he hardly understands relevance of. The “ultimate fantasy … that it might be possible to solve a problem without anybody taking a global view” is my ultimate nightmare. The only reason I think about this or that piece of mathematics is that I want to understand what goes on. I do not care whether a theorem is true or false. If tomorrow there is a solution to some problem in which I am greatly interested, such as the diagonal Ramsey numbers or Roth in Z_3^n, but it is such that I have no realistic hope of understanding the solution, or the solution ‘cheats’ and provides no insight, it will make me sad rather than happy. I do not want to become a part of a “super-brain”, I want to understand the mathematics with my own feeble brain,</t>
  </si>
  <si>
    <t>CTao_37327</t>
  </si>
  <si>
    <t>1150. Dimension 2, any k, The number of optimal solutions is this sequence.</t>
  </si>
  <si>
    <t>CTao_37343</t>
  </si>
  <si>
    <t>check for work</t>
  </si>
  <si>
    <t>1151. Bounds on c_n from Fujmura., Has anyone calculated which lower bounds for c_n we get from the optimal solutions to Fujimura’s problem I constructed a while ago?</t>
  </si>
  <si>
    <t>C3081</t>
  </si>
  <si>
    <t>also a response</t>
  </si>
  <si>
    <t>Boris, maybe it was a mistake to talk about the fantasy of lots of people rapidly solving a problem with nobody having a global picture. I would be fascinated if that were possible, but I would be no keener than you to spend my life making small contributions to lots of proofs that I didn’t really understand. However, I would like to repeat that one obtains a different and more palatable version of the fantasy if one interprets the word “local” differently: I think it could be mathematically rewarding to participate in a Polymath project and understand only a tiny part of the proof-discovery tree if that tiny part had the structure of a branch. Then one could be working on a small problem, but because one understood the entire path that led from the statement of the main problem to the small problem, one would have a clear motivation for the work, a clear sense of progress if one managed to solve it, a clear idea of where to go next, and so on. Indeed, this is very like usual research: one spends a lot of time thinking about local problems, and it is even possible to forget the big picture while one is doing so., I’d also add that it seems very likely that some problems are by their nature much more parallelizable than others, and this could have a big effect on the optimal size of a collaboration. I think this is the right way of looking at what happened with DHJ: I certainly don’t regard that as a failure, and the size of the collaboration felt as though it worked extremely well. Perhaps it was even more or less optimal for that problem. , One last thing I wanted to say was to take up a point made by somebody in a comment on another post. (I apologize for not being able to remember exactly where the comment is and who made it. Gil, was it you?) They compared Polymath to what goes on in theoretical computer science, with posts corresponding to papers, which in that area are often short and made public very rapidly. There is a large subset of what goes on in theoretical computer science that could be regarded as a massive collaboration aimed at proving that P does not equal NP. One can have a rich and satisfying mathematical life contributing to this huge project, even without understanding every last detail of every promising approach to the problem. What I envisage is something like this but on a smaller scale and done online.</t>
  </si>
  <si>
    <t>C3083</t>
  </si>
  <si>
    <t>cloud rather than tree; also a response</t>
  </si>
  <si>
    <t>Re: Boris’s comment., For massive collaboration, I think a “cloud” metaphor is better than a “tree”. We need to get away from the notion of one portion of the work being “more important” than another. Yes, there are problems that contribute more to the larger mathematical picture, ideas that are more brilliant, but side problems can be interesting in themselves (and form their own spin-off projects that have nothing to do with the original — and I think that should be allowed). For example, even if the hyper-optimist conjecture is proven false, I think Fujimura’s problem is interesting enough to be studied in itself., This ought to remove some of the depression of not being able to see all the parts of the cloud. This is how it is in normal mathematical development anyway., What also is appealing to me about a “cloud” is that there could be many different separate projects, yet if everything is united with the right technical tools. Imagine two projects having the exact same side question, and another group is formed to solve that side question which “links” the other two projects.</t>
  </si>
  <si>
    <t>C3084</t>
  </si>
  <si>
    <t>nicolaennio</t>
  </si>
  <si>
    <t>cross-field connection</t>
  </si>
  <si>
    <t xml:space="preserve">insights about combinatorics; instructive theorems (where the goal is more the common background/collective work than the solution)? </t>
  </si>
  <si>
    <t>polymath project is about finding a mathematical proof, but an important by-product is that collaborators gained knowledge and insights about combinatorics., What I mean is that this kind of collaboration is a format for teaching mathematics in the same way an open source project makes you learn about a software or train you to produce clearer code., Wouldn’t be nice to look for “instructive theorems”? That is theorems that should be solved by a group and that challenges people to “create” a common background that will be the real product of the collaboration?</t>
  </si>
  <si>
    <t>C3087</t>
  </si>
  <si>
    <t>corners &amp; hyperoptimistic</t>
  </si>
  <si>
    <t>1060. Corners theorem, Could the corner’s theorem be extended to higher dimensions? Has it been already? I think that such a result might be useful in trying to get DHJ(n)
from the hyper-optimistic conjecture for values of n greater than three.
Even without the corner’s lemma if we could get the grid a+b+c+d=n
of quadruples (a,b,c,d) with density delta contains (a+r,b,c,d),(a,b+r,c,d),
(a,b,c+r,d),(a,b,c,d+r) that and its extension into n might be useful in a possible proof., The corners theorem is known in all dimensions, either by ergodic theory or as a consequence of hypergraph regularity. (It also follows from DHJ but obviously that’s no help if you want to use it to prove DHJ.) The hyperoptimistic conjecture can be formulated for any k, and I do not know of any counterexamples. The result you talk about with the grid is equivalent to the 3D corners theorem, if I interpret correctly what you are saying. , I recently tried to come up with a lower bound for DHJ(3) that would beat the Behrend bound applied to slices, but had absolutely no luck. But I’d be amazed if the hyperoptimistic conjecture turned out to be true …</t>
  </si>
  <si>
    <t>CTao_35757</t>
  </si>
  <si>
    <t>adjust &amp; continue</t>
  </si>
  <si>
    <t>early stage requires faith</t>
  </si>
  <si>
    <t>610: Fixed some typos I found on an airplane today and put a better version up. The most potentially confusing of these were in Lemma 1 (continued), the first display on page 4 and in the definition of \delta on page 6. There may be others so please speak up if you see anything that looks incongruous. , The notion of stationarity is more familiar for (linear) processes. If (X_i) are random variables taking values say in {a,b,…,z}, then we call (X_i) a process and we say that the process is stationary if the probability that X_1X_2X_3=”cat” is the same as the probability that X_17X_18X_19=”cat” (for all cats and all shifts)., In the current setup, you can view the sets B_w as random variables X_w taking values in {0,1}. Stationarity says: take any finite set of words. Call that set I. The probability of seeing a certain pattern of 0s and 1s in the random variables X_w, w in I, is exactly the same as the probability of seeing the same pattern of 0s and 1s in the random variables X_wv, w in I, where v is any word. Here “v” plays the role 16 did in the cat example, the pattern of 0s and 1s plays the role of “cat”, and I plays the role of {1,2,3}. , I can certainly sympathize with the sentiment that it seems quite unclear what 3.1 can possibly do to help.  It gives you some measure preserving transformations, but nothing resembling honest ergodic theory, really, because although there are measure preserving transformations around, they don’t even constitute an action (as Terry pointed out). I guess the thing to do at this early stage is just have faith….</t>
  </si>
  <si>
    <t>C3094</t>
  </si>
  <si>
    <t>issue tracking software</t>
  </si>
  <si>
    <t>Two points about issue tracking software:, (1) Issue trackers help a lot with modularizing problems (and localizing the scope of conversation), making it easier for more people to contribute in parallel, without being overwhelmed by the quantity of conversation.  , (2) In a fashion similar to Tim’s suggestion of a proof-tree, issue trackers can be used to track dependencies in a hierarchical way, even showing dependency graphs., (The link is to the Firefox “bugtracker”, but despite the name it’s used to handle issues other than bugs, including feature development – here’s an example.), I don’t think existing issue tracking software is suitable for Polymath-like collaborations, but as a successful existing mode of organization it’s a useful model, and addresses some of the problems raised in Tim’s post.</t>
  </si>
  <si>
    <t>C3095</t>
  </si>
  <si>
    <t>tree-proof idea; additional reading</t>
  </si>
  <si>
    <t>The tree-proof with nobody having a global view of what is going on is sort of a nice idea even if a little far fetched (not the idea itself but the position that it may lead to some sort of a superior ability to prove theorems). We can try to experiment it sometime. It seems related to automatizing doing math which is another intruiging idea. , I wouldnt mind spending time in doing some little work in a big project I do not understand. Actually I took part in a sort of a similar project. It was a large tree-like collaboration aimed at refereeing Doron Zeilberger proof of the alternating sign matrices conjecture (monotone triangles). At some point Doron thought that his new refereeing tree-process where nobody has a global understanding but only locally check some subtree of the proof as even more important than the proof itself. You can find the paper and the refereeing story in Electronic journal of combinatorics.
The entire proof was checked also single handedly by David Bressoud., One lesson I had from that project that a more involved directed graph is better for various reasons than a tree. Maybe it applies also here., (“There is a large subset of what goes on in theoretical computer science that could be regarded as a massive collaboration aimed at proving that P does not equal NP.”, I think a lot of it is indeed around NP not equal P but only small part of it really meant at proving that NP is not P.)</t>
  </si>
  <si>
    <t>CTao_37392</t>
  </si>
  <si>
    <t>923-927; CTao_37343</t>
  </si>
  <si>
    <t>1152. Bounds on c_n from Fujmura.,      I have gone back to the posts 923 through 927 where you gave some of these solutions. I didn’t find any improvement to our current bounds. I think to go over some of these solutions the process will have to be automated since there are a lot of solutions in some cases. Possibly we might be able to improve some of the bounds at higher levels by going through all the cases.</t>
  </si>
  <si>
    <t>CTao_37394</t>
  </si>
  <si>
    <t>can someone automate?</t>
  </si>
  <si>
    <t>1153. Bounds on c_n from Fujmura., Yes for the smaller n we might actually already have the optimal values, but for higher n we could possibly get better bounds than we get from the bounds for general n., Does anyone want to volunteer to automate this?, I can probably find the full set of optimal solutions to Fujimura’s problem for a few more values of n too.</t>
  </si>
  <si>
    <t>CTao_37395</t>
  </si>
  <si>
    <t>1154. , Do we have any “hand made” values for small n for the quadruple version of Fujimura’s problem Kristal suggested?</t>
  </si>
  <si>
    <t>CTao_37400</t>
  </si>
  <si>
    <t>1156. Higher-dimensional Fujimura, for k=4:, When n=2, the largest triangle-free set is trivially 2 (remove for example 1000 and 0100)., When n=3, the largest triangle-free set is 6 (remove 0200, 1010, 1001, 0011). Proof: One of 2000, 0200, 0020 must be removed — say it is 0200, and note by symmetry the logic that follows will apply if 2000 or 0020 is removed. There are three disjoint triangles (1010-0110-0020, 2000-1100-1001, 0002-0101-0011) which must all have at least one removal, so the minimal number of removals is 4, so we have proven our solution to be optimal.</t>
  </si>
  <si>
    <t>CTao_37401</t>
  </si>
  <si>
    <t>1157. Higher-dimensional Fujimura, Oops, my n=3 is wrong. Higher dimensions are tricky: I left 2000-0020-0002 open. Let me fiddle and come back.</t>
  </si>
  <si>
    <t>CTao_37402</t>
  </si>
  <si>
    <t>1158. Higher-dimensional Fujimura, Do over!, When n=3, the largest triangle-free set is 6 (remove 2000, 0200, 0020, 0002). Proof: One of 2000, 0200, 0020 must be removed — say it is 0200, and note by symmetry the logic that follows will apply if 2000 or 0020 is removed. There are three disjoint triangles (1010-0110-0020, 2000-1100-1001, 0002-0101-0011) which must all have at least one removal, so the minimal number of removals is 4, so we have proven our solution to be optimal., Note this not only leaves “upside down” triangles but “lateral” triangles like 1100-1010-0010, but none seem to form a combinatoric line.</t>
  </si>
  <si>
    <t>C3100</t>
  </si>
  <si>
    <t>carnegie</t>
  </si>
  <si>
    <t>does problem-solving work in collaboration? some other projects to look at</t>
  </si>
  <si>
    <t>Are problem solving projects really suitable for mega-collaboration? A focus on problem-solving tends to involve lots of deep thought rather than lots of broad thought. Usual caveats about no clear dichotomy etc. apply., Theory building projects would seem to me to be far easier to compartmentalize, to have a “benevolent dictator” (like Langlands) keeping track of the direction and management – and also for people doing “small” things to feel they are making genuine contributions whilst maintaining a sense of the bigger picture., In many ways Gorenstein already accomplished this, just not quickly and without the massive communication boosts the internet allows. Atiyah did too, with his “influence number theory using tools from QFT” project which has come to fruition with (e.g.) the proof of the fundamental lemma or the calculation of Tamagawa numbers using Yang-Mills theory.</t>
  </si>
  <si>
    <t>CTao_37410</t>
  </si>
  <si>
    <t>1159. Higher-dimensional Fujimura, My n are one off from our convention, I of course mean:, When k=4 and n=1, the largest triangle-free set is 2.
When k=4 and n=2, the largest triangle-free set is 6., I believe that when k=4 and n=3, the largest triangle free set is 12, but I do not have a proof yet., The lower bound is 6(n-1), using the exact same pattern on each face of the tetrahedron as general n bound with the k=3 case., We also need a symbol to represent the problem. It’s tempting to use  for k=4 but we might be working with larger k (making the stack rather large).</t>
  </si>
  <si>
    <t>CTao_37411</t>
  </si>
  <si>
    <t>1160. Lower bounds on line-free sets, There are  disjoint lines *abcd..m, so the density of removed points must be at least 1/k, and retained points at most (k-1)/k.
If  then one can get a density of (p-1)/p by deleting points whose coordinates sum to a multiple of p.
The lower bound (p-1)/p approaches (k-1)/k as .</t>
  </si>
  <si>
    <t>CTao_37414</t>
  </si>
  <si>
    <t>1161. Tetrahedron geometry, In the k = 3 case of Fujimura things get tricky when n &gt;= 3 because the internal points in the tetrahedral lattice must be considered. I believe my early lower bound was too hasty.</t>
  </si>
  <si>
    <t>CTao_37424</t>
  </si>
  <si>
    <t>1162. k=4 Fujimura, Now I see where my problem has been, we need the tetrahedron-free set to match combinatoric lines, not the triangle-free set., So n=1 would just be one removal and a set size of 3.
and n=2 would be two removals (say, 1100 and 0002) and a set size of 8.</t>
  </si>
  <si>
    <t>CTao_37425</t>
  </si>
  <si>
    <t>1162. Higher-dimensional Fujimura, Jason, are you considering triangles or squares?   I’m just wondering if you are looking at the problem Kristal posted at Tim’s blog  or a different version?</t>
  </si>
  <si>
    <t>CTao_37426</t>
  </si>
  <si>
    <t>nvm</t>
  </si>
  <si>
    <t>answered question while it was being written</t>
  </si>
  <si>
    <t>It seems you answered my question while I was writing it.</t>
  </si>
  <si>
    <t>C3103</t>
  </si>
  <si>
    <t>some additional examples, where polymath might work the best</t>
  </si>
  <si>
    <t>It surprises me a little that, in this discussion, there haven’t been more frequent mentions of the classification of finite simple groups as an example of a polymath-type effort where nobody had a “global” view in Tim’s sense.  As I understand it, no single individual has a complete grasp of the entire proof.  The lack of this global view didn’t mean that working on individual pieces of it was not intellectually satisfying., What strikes me as being a key feature shared by (a) large-scale software development, (b) Flyspeck-like formal theorem-proving, and (c) Zeilberger’s tree of referees is that there is a pretty clear idea at the outset of what needs to be done.  To be sure, the details are not at all clear and can turn out to be quite different from what one might initially expect.  However, one knows at the start that there are no fundamental obstacles to completing the project and that the difficulties are largely logistical.  I suspect, then, that while Polymath might be extremely good at solving problems for which a lot of the necessary tools are already “out there,” it may not have any particular advantage when it comes to coming up with radically new ideas.</t>
  </si>
  <si>
    <t>C3104</t>
  </si>
  <si>
    <t>C3100, C3103</t>
  </si>
  <si>
    <t>discuss contradictory opinions requested</t>
  </si>
  <si>
    <t>Hé, Hé, interesting…
It seems carnegie and Timothy Chow hold contradictory opinions.
Could any or both of you elaborate?</t>
  </si>
  <si>
    <t>CTao_37438</t>
  </si>
  <si>
    <t>1163. Fixing k=4 Fujimura, Just in case I make any more mistakes I will putting current progress for now on the talk page of the Wiki., The current values I have now (barring any further mistakes *cough*) are:, n = 0, largest set of 1
n = 1, largest set of 3
n = 2, largest set of 7, I’m using  for now (until we decide on a better notation).</t>
  </si>
  <si>
    <t>CTao_37439</t>
  </si>
  <si>
    <t>1164. HJ(3,3) is greater than 7, For a fixed r and k, the least n needed for the Hales-Jewett theorem to apply is denoted HJ(k,r).
See http://michaelnielsen.org/polymath1/index.php?title=Coloring_Hales-Jewett_theorem
Currently we have:, HJ(3,1) = 1
HJ(3,2) = 4
HJ(3,3) &gt; 6 , We start with the set formed by removing (0,1,6), (1,0,6), (0,5,2), (5,0,2) , (1,5,1), (5,1,1),(1,6,0), (6,1,0) from D_7.
Note that none of (0,1,6), (1,0,6), (0,5,2), (5,0,2) , (1,5,1), (5,1,1),(1,6,0), (6,1,0)contains a point whose coordinate sum is divisible by three we give it color 1
where (a,b,c) is shorthand for the slice Γ_a,b,c.
It is combinatorial line free from the n=7 section of the upper and lower bounds wiki at
http://michaelnielsen.org/polymath1/index.php?title=Upper_and_lower_bounds#n.3D7, then we divide the remaining points into all points whose coordinate sum is not equal to 0 mod 9 and
all points of (0,1,6), (1,0,6), (0,5,2), (5,0,2) , (1,5,1), (5,1,1),(1,6,0), (6,1,0)whose coordinate sum is equal to 1 mod 3 We give these color 2, then we take all points of (0,1,6), (1,0,6), (0,5,2), (5,0,2) , (1,5,1), (5,1,1),(1,6,0), (6,1,0)whose coordinate sum equal to 2 mod 3 and those points
whose sum is equal to 0 mod 9. We give these color 3., Then with this coloring there are nor monochromatic lines. If there are any monochromatic
Lines with number of moving coordinates not divisible by three in color 2 they must contain point whose coordinate sum is equal to 2 mod three
But there are no such points with color 2. If there are any monochromatic lines whose coordinate sum is divisible by three
Than they must contain points whose coordinate sum is 0 mod 9 but there are no such points with color 2. So there
Are no monochromatic combinatorial lines with color 2. , If there are any monochromatic
Lines with number of moving coordinates not divisible by three in color 3 they must contain point whose coordinate sum is equal to 1 mod three
But there are no such points with color 3. If there are any monochromatic lines whose coordinate sum is divisible by three
Than they must contain points whose coordinate sum is not 0 mod 9 but there are no such points with color 3.,  As already noted color 1 is combinatorial line free and we are done.</t>
  </si>
  <si>
    <t>CTao_37440</t>
  </si>
  <si>
    <t>improvements possible</t>
  </si>
  <si>
    <t>1165. Bounds on c_n from Fujmura., I have been looking at the upper bounds that we have and I think some of them come from lower bounds from Fujimura problem so I think that improvements to this problem could give better bounds.</t>
  </si>
  <si>
    <t>C3107</t>
  </si>
  <si>
    <t>C3104, C3100, C3103</t>
  </si>
  <si>
    <t>contradition was about defining deep v. broad thought</t>
  </si>
  <si>
    <t>carnegie and I seem to agree that Polymath is more naturally suited to “broad thought,” i.e., combinations of disparate but existing ideas, rather than “deep thought,” i.e., radically new ideas.  Where we might disagree is whether “broad thought = theory building” and “deep thought = problem solving.”  The dichotomies broad/deep and theory/problems seem orthogonal to me.</t>
  </si>
  <si>
    <t>C3108</t>
  </si>
  <si>
    <t>disagreement - polymath broad thought can discover radical new idea</t>
  </si>
  <si>
    <t>Just to add my pennyworth, I think I do genuinely (if tentatively and conjecturally) disagree with you here Tim: my hope is that the broad thought that Polymath is suitable for can provide more quickly and efficiently a platform for the discovery of the radically new idea that solves the problem. For a long time I have tried to argue against the conception that unexpected new ideas come from a mysterious “flash of inspiration” or “stroke of genius”, and Polymath is (partly) an attempt to add to that argument. (I’m not trying to suggest that you have a simplistic attitude to this, and it may be that we don’t disagree after all, but your words sound on the surface as though they disagree with me to some extent.)</t>
  </si>
  <si>
    <t>C3109</t>
  </si>
  <si>
    <t>potential ideas RE a moderating role (what could AI contribute?)</t>
  </si>
  <si>
    <t>Hmm, this is an interesting issue and my heart goes with Tim G. on this one. An example I like is the “probabilistic method”. This is a deep conceptual idea that had profound effect in various fields, but not at the same time. Suppose that there was a secratary in the math department whose job was to send memos like: probability was used successfully in number theory; folks, lets try it for combinatorics, or for algorithms, or for groups, or for Banach spaces, or for topological manifolds,…So in principle, some flashes of inspirartions could be replaced by routine efforts.</t>
  </si>
  <si>
    <t>C3110</t>
  </si>
  <si>
    <t>what the value is for the project - not the size, but the documentation of ideas and processes!!!!</t>
  </si>
  <si>
    <t>Timothy Chow: yes, on reflection that was not a valid dichotomy. But the point is that with ‘theory building’ you can achieve an awful lot by asking “what structures are involved” and then “what superstructures are these structures examples of”. If you find GL(n,C) playing a role in some theory, an “obvious next step” is to say “can we extend this to an arbitrary Lie group”., If you have a property which applies to smooth manifolds an “obvious next step” is to ask “does this extend to orbifolds”., “Obvious next steps” in physics include creating supersymmetric versions of a theory, or noncommutative versions of a theory., If a property holds over the complex numbers, a theory-building number theorist will immediately ask “what about finite fields and p-adics”., This attitude is far more amenable to breaking up tasks., Gil says he agrees with Tim Gowers, but the example he takes perfectly demonstrates the theory builder’s attitude. There is no “problem” to solve, the issue is instead “use methods from field X to gain an understanding of field Y”., I don’t agree with Tim Gowers. I believe that “moments of inspiration” are often genuinely enlightening. Many mathematicians have vivid memories of such moments. , Of course, the chances for such moments to occur increases when you are exposed to and moderately engaged with many different people talking about different things. But the actual process leading up to a flash of inspiration is opaque. In that sense, polymath could prove incredibly valuable from the perspective of mathematical sociology, not because it is massively multiplayer, but because of the accompanying wiki-like documentation of the lead-up to the flash., If I kept notebooks of all my ideas, including the stupid ones, and occasionally wondered upon achieving some milestone: how did I get here, and what was the roadblock, and how can I make sure I incorporate those ideas into my future thinking, I suspect I would become a far better mathematician.</t>
  </si>
  <si>
    <t>C3111</t>
  </si>
  <si>
    <t>The corners theorem is known in all dimensions, either by ergodic theory or as a consequence of hypergraph regularity. (It also follows from DHJ but obviously that’s no help if you want to use it to prove DHJ.) The hyperoptimistic conjecture can be formulated for any k, and I do not know of any counterexamples. The result you talk about with the grid is equivalent to the 3D corners theorem, if I interpret correctly what you are saying. , I recently tried to come up with a lower bound for DHJ(3) that would beat the Behrend bound applied to slices, but had absolutely no luck. But I’d be amazed if the hyperoptimistic conjecture turned out to be true …</t>
  </si>
  <si>
    <t>C3112</t>
  </si>
  <si>
    <t>write up process; reference to wiki entries</t>
  </si>
  <si>
    <t>Metacomment. , What are people’s views about writing up? Ryan wanted to wait, and I know others feel that there isn’t a big hurry. I myself would very much like to see a complete write-up, and would like to be closely involved in it, but I don’t mind waiting a bit more because I’m pretty busy over the next couple of weeks. I thought I’d ask though. For example, if I were to produce a first attempt at a plan of a paper, would that be welcomed, or would the other potential writers rather I didn’t?, Hi Tim.  Yes, I did suggest waiting a bit, but it seems like we all collectively have done so, perhaps unintentionally.  I too have sorely needed to catch up on some other projects, which won’t be wrapped up till April 2.  I still hope to finish the wiki outline I started., In any case, I would be fine with the idea of writing beginning in a week or two or three, whenever we get freer.  I can contribute some writing, or Tim if you want to, please do so.  I’d be happy with a model wherein anybody who felt they had time to write could just notify the others that they’re doing so.  Tim, if you or someone manages to put out a full draft at some point, why not?, It would be great if Tim could write up the proof. I’m trying to write a toy version of the proof for corners on the Cartesian product AxA, where A is a Hilbert cube. A few weeks ago my first try didn’t go well as I followed the original Ajtai-Szemeredi proof. I knew it quite well and didn’t pay attention to Tim’s modified proof. Now I see that actually the key of the DHJ3 proof is hiding there. So, I advise the interested reader to compare Tim’s version to the original, even if one knows the Ajtai-Szemeredi proof very well. The two wiki entries are:
“Ajtai-Szemerédi’s proof of the corners theorem”
http://michaelnielsen.org/polymath1/index.php?title=Ajtai-Szemer%C3%A9di%27s_proof_of_the_corners_theorem, and “A Modification of the Ajtai-Szemerédi argument”
http://michaelnielsen.org/polymath1/index.php?title=Modification_of_the_Ajtai-Szemer%C3%A9di_argument, I plan to revisit the writeups I have of the triangle removal proof and the Furstenberg-Katznelson proof, and clean them up – right now I get the sense that they’re not really readable by anyone other than myself.  But it does seem like the optimal strategy is to move slowly, in case some simplifications crop up that can be taken advantage of., For instance, I found it very useful in those two proofs to play around with substitution maps such as  (defined as the map that takes a string x in  and changes all the 1s in positions in I to 2s) in order to build lines (e.g. (x, ,  is a line whenever x has at least one 1 in I).  This might help with some of the arguments in the density-increment argument, though I haven’t checked it.</t>
  </si>
  <si>
    <t>C3114</t>
  </si>
  <si>
    <t xml:space="preserve">write up process </t>
  </si>
  <si>
    <t>Hi Tim.  Yes, I did suggest waiting a bit, but it seems like we all collectively have done so, perhaps unintentionally.  I too have sorely needed to catch up on some other projects, which won’t be wrapped up till April 2.  I still hope to finish the wiki outline I started., In any case, I would be fine with the idea of writing beginning in a week or two or three, whenever we get freer.  I can contribute some writing, or Tim if you want to, please do so.  I’d be happy with a model wherein anybody who felt they had time to write could just notify the others that they’re doing so.  Tim, if you or someone manages to put out a full draft at some point, why not?</t>
  </si>
  <si>
    <t>CTao_37467</t>
  </si>
  <si>
    <t>1166. Higher-dimensional Fujimura, Jason, how about using  where k is the size of the tuples, or the dimension of the Z^k used?
The original Fujimura problem would correpspond to   and the quadruple version to  , You get a non-constructive quadratic lower bound for the quadruple problem by taking a random subset of size . If c is not too large the linearity of expectation shows that the expected number of tetrahedrons in such a set is less than one, and so there must be a set of that size with no tetrahedrons.</t>
  </si>
  <si>
    <t>C3115</t>
  </si>
  <si>
    <t>Polymath advantage where there's a decent map but it's too much for any one person</t>
  </si>
  <si>
    <t>Let me clarify my view on “radically new ideas” or “flashes of insight” versus Polymath.  I don’t mean to endorse the modernist ideal of the solo genius having a brilliant idea ex nihilo.  I agree that ideas that seem to have come out of nowhere could (in principle at least, if we had a complete record) usually be traced back to “explainable” origins, and that the inputs from multiple people could expedite these flashes.  In a recent interview, Ingrid Daubechies said that she often had recollections of “sudden flashes”; however, when she went back to her written notes (she keeps quite detailed notes of her ideas, including false starts), she found that her memory was faulty: in point of fact, the elements of those sudden flashes could be discerned in retrospect among the unsuccessful and abandoned attempts.  Wiles’s account in his famous paper on Fermat’s Last Theorem, if you read it carefully, also shows that his sudden flash was not ex nihilo, but benefited from earlier abandoned ideas and the input of others., However, I think it is useful to distinguish between Polymath on the one hand, and the entire mathematical community as a whole on the other hand.  You could, perhaps, argue that the community of all mathematicians, past and present, comprise one giant Polymath.  This point of view strikes me as not being very useful.  For me, Polymath is an entity that works on a certain project for a certain amount of time.  The exact boundaries may be fuzzy, but they stay within certain limits., The question, then, is whether major breakthroughs can be significantly expedited by a Polymath-type collaboration.  It’s possible, but my instinct is that the nature of a major breakthrough is that its genesis can’t be “forced” just by having a much larger collaboration than usual.  For the breakthroughs to occur, we of course need a healthily functioning mathematical research community that shares its results and builds on previous work on so on.  This creates a giant pot of simmering ideas, out of which we hope that good things come.  Beyond this, though, I think it’s very hard to control when the perfect confluence of events will occur that generates a big leap.  It might occur in Polymath’s mind or in the mind of an individual who happens not to be collaborating with anyone at that moment (though of course he or she will have learnt a great deal from others prior to that moment)., Where Polymath has a definite advantage over the individual is in projects where there is already a tolerably decent map of the territory to be explored but the territory is too large or requires too many different kinds of talents to be covered by one individual.  But for problems where we currently have no idea how to proceed, I think we just have to muddle ahead as an entire community and hope that we’ll eventually get close at some point.</t>
  </si>
  <si>
    <t>CTao_37470</t>
  </si>
  <si>
    <t>1167. , Klas, I have adopted your notation and added your non-constructive bound to the talk page., Should this be merged into the regular page or should we be making a separate one for the k &gt; 3 cases?</t>
  </si>
  <si>
    <t>CTao_37481</t>
  </si>
  <si>
    <t>1168. , if the coordinates of points (a,b,c,d), then a+2b+3c is a four-term arithmetic progression for any of these tetrahedrons.
We include slices a+2b+3c = constant.
http://arxiv.org/PS_cache/arxiv/pdf/0811/0811.3057v2.pdf this paper shows that the proportion of slices included can be at least
 for some constant C.</t>
  </si>
  <si>
    <t>CTao_37482</t>
  </si>
  <si>
    <t>1169. , Michael, this should give a lower bound for general k as well.
Likewise the counting argument gives an upper bound for general k too., It is also possible to use a triangle-free set to build a tetrahedron-free set for a larger value of n, but I’m not sure how efficient such constructions can be made.</t>
  </si>
  <si>
    <t>CTao_37485</t>
  </si>
  <si>
    <t>1170. , In general for  the series a + 2b + 3c+…
continued to k-1 terms will be a k-term arithmetic progression for
the points of any configuration (a+r, b,..), (a,b+r .. which is the generalization
of an upward triangle, an upward k-1 dimensional simplex. So as in 1160
for the case k=4
we can get a formula in this case the general formula from the paper, Click to access 0811.3057v2.pdf, and we get if k is greater than 2^n +1
This is actually a set of formulas as n will have to be chosen given k
it is the greatest integer less than log base 2 of k-1.</t>
  </si>
  <si>
    <t>C3118</t>
  </si>
  <si>
    <t>Polymath is good for eliminating flawed approaches</t>
  </si>
  <si>
    <t>One thing that the polymath seems to be efficient at is eliminating flawed approaches to solving a problem. When someone proposes an approach there is a large number of people with different skills who can construct counterexamples which the proposer might not have found so quickly., In a way this gives a kind of natural selection-effect which both guides the efforts towards those approaches which have a chance at working and helps build an understadning of what a working approach must be able to cope with.</t>
  </si>
  <si>
    <t>C3119</t>
  </si>
  <si>
    <t>C3115; C3118</t>
  </si>
  <si>
    <t>where polymath is good - quick identification of failing approaches - allows for better focus</t>
  </si>
  <si>
    <t>Tim, I think we probably do disagree, but not all that much, and with much less than full certainty on both sides. My instinct tells me something like this. Obviously no method can “force” a breakthrough, for the trivial reason that there may simply not exist an argument that is remotely within today’s technology. So the question is whether, if Polymath works on a problem where a very unexpected argument does happen to exist, it is potentially a more efficient method for finding that argument. , My instinct tells me that it is. One reason is the one that Klas Markström gives: Polymath can judge approaches quickly, which makes it more feasible to throw out slightly wild ideas in the hope that one of them will work. (As an individual, one could do the same, but sifting out the one good idea from the 99 bad ones would be a much slower process.) A second reason is that, as Polymath1 showed, the initial exploration of fairly standard ideas can be done very quickly, so one can arrive sooner at the point where it is much clearer what needs to be done and what the real gap is. , I’m still not certain that I’m disagreeing with you, because you may perhaps be talking just about rather extreme cases of problems like the irrationality of  where nobody has the slightest idea even where to start. But for that kind of problem I think the history of maths shows that progress, if it occurs, tends to occur when other parts of the subject develop to the point where the problem changes from being completely out of reach to being within reach but difficult. One might cite Fermat’s last theorem as an example of this. What it doesn’t show is that we have to wait for a genius to have an unexpected idea in isolation. Of course, it often has taken a brilliant idea, and the connection between Fermat and Shimura-Taniyama-Weil was such an idea, but it’s not obvious that an appropriate Polymath couldn’t have had that insight more quickly. (E.g., someone might have just suggested completely unseriously that a counterexample to Fermat could lead to an interesting elliptic curve, someone else might have picked up on that idea, etc., which, in slow motion, is sort of what happened.)</t>
  </si>
  <si>
    <t>C3120</t>
  </si>
  <si>
    <t>individual advantage (just need persistence &amp; faith)?</t>
  </si>
  <si>
    <t>The irrationality of  is certainly one problem of the kind I was thinking about.  Consider the irrationality of  as another example.  While it’s possible that Polymath might have beaten Apery to the punch had it existed then, I think it’s far from clear.  The problem with  wasn’t that it was “technologically” out of reach.  I think it was just that almost everyone thought it was an unapproachable problem—or at least that it wasn’t worth working on., For Polymath to work on something, a certain number of people have to all be convinced that it’s worth their while to think about the problem.  An unpopular topic, or an approach that everyone thinks is crazy, may actually have *less* chance of getting traction with Polymath than with an individual.  There are plenty of instances where someone decides that he or she doesn’t give a hoot about fashion, and insists on working doggedly in some direction that everyone else thinks is hopelessly misguided, and is eventually vindicated., Big breakthroughs often have a strong psychological component to them.  Looking at the idea after the fact, one might be able to argue that many other mathematicians could have made the same breakthrough, but just didn’t have the courage to believe that such a bizarre approach could possibly work.  Groups and individuals have different psychological characteristics, and I believe it is a mistake to think that the group will always outperform the individual.  The individual has the advantage of just needing persistence and faith and doesn’t have to worry about selling the idea to others before the final results are obtained.</t>
  </si>
  <si>
    <t>C3122</t>
  </si>
  <si>
    <t>1061. Hyper-optimistic conjecture,    I think I can get the hyper-optimistic conjecture implies DHJ(k).
I have to assume I have DHJ(k) for density is equivalent for DHJ(k)
for equal slices density as in k=3. Then the corners theorem makes the
density of slices a without corners arbitrarily low then the hyper-optimistic conjecture transfers the small size to the equal slices density and the logical equivalence makes the density arbitrarily low. So If I start with
density epsilon I can find a large enough n such that the corner free space has density much less than epsilon and that means by the hyper-optimistic conjecture the equal slices density is much less than epsilon and hence by logical equivalence we have the regular density must be low and we are done.</t>
  </si>
  <si>
    <t>C3123</t>
  </si>
  <si>
    <t>how do we encourage more risk? social implications of crazy ideas</t>
  </si>
  <si>
    <t>I think we’ll see a proof of the normality of  before a proof of the irrationality of ., (For fun, look up Kaida Shi on Arxiv, who has apparently not only proven that gamma is irrational, but also the Riemann Hypothesis, the Goldbach conjecture, and the twin primes conjecture.), I’m with the “flash of inspiration is a myth” crowd, but that’s a very good point about the social implications of crazy ideas. Dr. Gowers tried to alleviate this to an extent with his rules, but I did sense people less willing to get out on a limb in posts than they were doing in their heads. Is there anything else we can do to encourage risk-taking ideas?, (On a side note, could someone involved with the project read over this post of mine intended for a general audience? Feedback has been positive from outside visitors but I’d also like an opinion from someone who can tell based on the overall picture if anything should be changed.)</t>
  </si>
  <si>
    <t>CTao_37521</t>
  </si>
  <si>
    <t>1171. 4D Moser, If a Moser set has 4 points with 3 2’s and its size is 41
or more then it must not have two sets of two points with three twos with
the same c statistic., To prove this assume that it is true then we must have two
points without lost of generality of the form x222 then
one must have one in the first position the other must
have 3 we can then cut at the first coordinate and get
the side slices must have 13 or less points which means
that the center slice must have 15 or more points and
the remaining two points of the form say 2×22 are in the
center cube so we can slice and the side squares have
The center spot occupied that means that total number
of points in the center cube with one coordinate equal
to 2 in the cube and two in the configuration must be
At most 8 two each from the side squares since the center
spot is occupied and possibly all 4 from the center square., Then form the Pareto optimal statistics in section n=3
of the Moser wiki
and the fact the center cube has 15 points and has c=2
we have the statistics of the center
slice must be (4,9,2,0) but from the above we have
At most 8 points with one coordinate equal to 2 so we are done.</t>
  </si>
  <si>
    <t>CTao_37527</t>
  </si>
  <si>
    <t>reference to Klas's tables</t>
  </si>
  <si>
    <t>1172.  , I suppose it is reasonable to call  the size of the largest line-free subset of .  Thus .  , Sperner’s theorem tells us that .  We have  so let’s forget about the k=1 case., Dyer.1137, Markstrom.1139 show that  for n=1,2,3 (one needs k at least 3 when n=3), while Peake.1140 shows that this is also the case for n up to k if k is prime.  Kristal has various modifications of this in the non-prime case., Here is a naive conjecture: the above are the only values of (n,k) for which one has  (i.e. exactly one point deleted from each row or column), thus if n is at least 4 and k is composite then  has to be strictly less than .  Actually it suffices to check this claim for n=4 since .  , Klas’s tables at http://abel.math.umu.se/~klasm/Data/HJ/ indeed show that  for k=4,6., When k=3 we obtained this inequality by exploiting the fact that there was a unique 3D line-free set with  points.  Unfortunately, as Klas’s tables show, this is no longer the case in higher D, but perhaps we can still understand the 3D extremisers well enough to settle this conjecture (e.g. do they all correspond to Latin squares as in Markstrom.1139?)</t>
  </si>
  <si>
    <t>CTao_37528</t>
  </si>
  <si>
    <t>1173.  HJ(k,r), Kristal, that’s a nice lower bound construction for HJ(3,3), which is better than the existing bound in the literature; I put it on the wiki.  One may hope to get some better asymptotic bounds for HJ(n,k) too, by leveraging Behrend sets or something.  There is a way to use the Behrend construction to colour n with relatively few colours in such a way that there are no monochromatic arithmetic progressions, which should then lift to HJ by the same sorts of methods as in, say, 1170.  There should also be some existing lower bounds on HJ(n,k) in the literature, though I don’t have them on hand right now…</t>
  </si>
  <si>
    <t>CTao_37534</t>
  </si>
  <si>
    <t>his baby has come by now</t>
  </si>
  <si>
    <t>1174. , In between baby holdings, so I don’t have time to check the lemma on this, but:, For proving the n=4 case you cite for all k, wouldn’t it suffice to form some sort of controlled exchange between coordinate positions such that the number of combinatorial lines is never increased? Therefore any configuration hopeful of finding  can be shuffled to the diagonal, which is clearly not a line-free set?</t>
  </si>
  <si>
    <t>CTao_37535</t>
  </si>
  <si>
    <t>1175. HJ(k,r), I found this pre-print:, Click to access hj32.pdf</t>
  </si>
  <si>
    <t>CTao_37536</t>
  </si>
  <si>
    <t>interruption? not a dumb question but otherwise seems similar to pivot in 309</t>
  </si>
  <si>
    <t>1176. , Wait, can’t we just immediately shift all the points to the diagonal and claim that for each point the number of intersecting combinatorial lines has to either stay the same or increase? The maximal intersections are clearly where you have a maximal number of possible wildcards, that is, the largest number of identical coordinates that can be substituted by the * wildcard. Shifting everything immediately to the diagonal does not necessarily cause an increase of intersections in a particular point (since now the blocking of the diagonal is duplicated in every point) but it can’t cause a decrease, either, since the highest possible duplication for each point is 1 line.</t>
  </si>
  <si>
    <t>CTao_37537</t>
  </si>
  <si>
    <t>1175. k=4 Fujimura, I think this is 12. Taking all slices for which a +2b+3b is one of three different values mod 5 gives this as any arithmetic progression a +kr in this set must have r less than 4, so the four values in the arithmetic progression will have four different values mod 5 so this set of slices will not contain any tetrahedrons and 3/5 of 20 is 12 so we have 12 works.</t>
  </si>
  <si>
    <t>CTao_37538</t>
  </si>
  <si>
    <t>Metacomment., I have made a new page for higher-dimensional Fujimura and moved the content from the talk page (although not deleted it yet).</t>
  </si>
  <si>
    <t>CTao_37539</t>
  </si>
  <si>
    <t>1177. k=4 Fujimura,    I think this is 12 for k=4, n=3. I didn’t give the value of n in the previous post.</t>
  </si>
  <si>
    <t>CTao_37540</t>
  </si>
  <si>
    <t>1178. HJ(p,2), Let p be prime then HJ(p,2) is greater than p-1.
We take p-1 values mod p and let them be one color
and let the remaining value take the other color, then
each combinatorial line with less than p moving coordinates
will run through all values mod p and hence will not be monochromatic
so we are done.</t>
  </si>
  <si>
    <t>CTao_37541</t>
  </si>
  <si>
    <t>1179. HJ(n,2), From post 1149 we get this reference
Baker, R. C.(1-BYU); Harman, G.(4-LNDHB); Pintz, J.(H-AOS)
The difference between consecutive primes. II.
Proc. London Math. Soc. (3) 83 (2001), no. 3, 532–562., Here they find a prime in x-x^{0.525},x
so HJ(n,2) will be greater than n-n^.525-1 as we can find a prime and
use the above argument namely take p-1 values of the prime in color
and the remaining value in a second color and as long as the number
of moving coordinates in the combinatorial line is less than p all values
will be realized mod p and we will have the combinatorial line not monochromatic.</t>
  </si>
  <si>
    <t>CTao_37542</t>
  </si>
  <si>
    <t>1180. HJ(n,2), HJ(n,2) is greater than 2n-(2n)^{0.525}., We can find a prime less than 2n greater than 2n-(2n)^{0.525}
as in the previous post
then we divide the classes modulo this prime into two nearly equal classes
there may be a disparity of one between them both classes will have
cardinality less than n we give color 1 to one class and two to the other, the combinatorial lines smaller than or equal to 2n-(2n)^{0.525}
will realize different values modulo that prime for each point there are n points in a combinatorial line so we must have members of both classes and we are done.</t>
  </si>
  <si>
    <t>CTao_37544</t>
  </si>
  <si>
    <t>1181. HJ(n,m), HJ(n,m) is greater than mn-(mn)^{0.525}, We can find a prime less than mn greater than mn-(mn)^{0.525}
as in 1179
then we divide the classes modulo this prime into m nearly equal classes
there may be a disparity of one between them All classes will have
cardinality less than n we give one color to each class, the combinatorial lines smaller than or equal to mn-(mn)^{0.525}
will realize different values modulo that prime for each point, there are n points in a combinatorial line so we must have members of more than one class and we are done.</t>
  </si>
  <si>
    <t>CTao_37547</t>
  </si>
  <si>
    <t>1182. , For n= 35 
To see this select one value modulo 35 and eliminate it.
Combinatorial lines with one, two, three or four moving coordinates will
realize all values modulo 35 as one, two, three, or four are units modulo 35.
This generalizes in the following way:
if k is less than all divisors of n.</t>
  </si>
  <si>
    <t>CTao_37548</t>
  </si>
  <si>
    <t>1183. , That should be for n= 35 c_{35,4} = 34*35^{3}  Corrected – T.</t>
  </si>
  <si>
    <t>CTao_37556</t>
  </si>
  <si>
    <t>congratulations on life outside work</t>
  </si>
  <si>
    <t>1182. Fujimura k=4, I’ve had my program running during the weekend and it reports the following values for Fujimura’s problem with k=4 , d=2 size 7
d=3 size 14
d=4 size 24
d=5 size 37
d=6 size 55
Right now it has a lower bound of 78 for d=7, I’ll update my table page and put the solutions there too., Jason, congratulations on your baby!</t>
  </si>
  <si>
    <t>CTao_37557</t>
  </si>
  <si>
    <t>1185. HOC k=4, Unless I have messed something up this is a line free set with weight 7.5 in the n=2, k=4 version of the HOC, {{1, 1}, {1, 2}, {1, 3}, {2, 1}, {2, 3}, {2, 4}, {3, 2}, {3, 3}, {3,
  4}, {4, 1}, {4, 2}, {4, 4}}</t>
  </si>
  <si>
    <t>CTao_37560</t>
  </si>
  <si>
    <t>ks</t>
  </si>
  <si>
    <t>1186 HOC: , I agree with 1185. One can still considers the alternate HOC. In the
original  case, let  be the maximal
weighted triangle-free subset of  with  weighted by . Then we have  and equality holds for  (when  is known). The more natural HOC is perhaps  i.e. the optimal line free sets are union of slices
(both sides are integers now). For , by 1182,1185 we have
 but we still have
 by Klas’s example in 1185 and
Jason’s example .</t>
  </si>
  <si>
    <t>CTao_37561</t>
  </si>
  <si>
    <t>1187. , Well, so much for the naive conjecture… but it does make me curious now to figure out exactly what pairs of n,k admit “saturated” configurations, i.e. line-free sets of size .  Right now the set of such “saturated” pairs includes, * (n,1) for all n this is trivial
* (1,k) for all k &gt;= 1
* (2,k) for all k &gt;= 1
* (3,k) for all k &gt;= 3
* (n,k) whenever n is less than all divisors of k  note there is a notational mismatch in 1182
* not (4,4) or (4,6), So I guess the first unknown cases are (4,8) and then (4,9)., I’ve moved the higher-d DHJ numbers data to their own page on the wiki at, http://michaelnielsen.org/polymath1/index.php?title=Higher-dimensional_DHJ_numbers, it could still do with some editing.</t>
  </si>
  <si>
    <t>CTao_37566</t>
  </si>
  <si>
    <t>1188. Regarding , I split the  points into five sorts of points: xyzw, xxyz, xxyy, xxxy and xxxx, where different letters represent different digits., Then there are seven sorts of lines: *xyz, *xxy,*xxx, **xy, **xx, ***x, ****., Linear inequalities connect the number of each type of point to each type of line.  For example, each xxyz point covers two *xyz lines, two *xxy lines and one **xy line.  The maximum number of *xyz lines removed is 4*number of xyzw points + 2*number of xxyz points., If there is a solution with  missing points, there must be
*(k-1)(k-2)(k-3) missing xyzw points
*6(k-1)(k-2) missing xxyz points
*3(k-1) missing xxyy points
*4(k-1) missing xxxy points
*1 missing xxxx point.</t>
  </si>
  <si>
    <t>CTao_37576</t>
  </si>
  <si>
    <t>1189. Regarding , There is another possible solution to the linear inequalities
* k(k-1)(k-5) missing xyzw points
* 6k(k-1) missing xxyz points
* k missing xxxx points, and probably other solutions with values intermediate between this post and the previous post.  The difference between the new and old solutions is
* 6(k-1) fewer xyzw points
* 12(k-1) extra xxyz points
* 3(k-1) fewer xxyy points
* 4(k-1) fewer xxxy points
* k-1 extra xxxx points, which hints at k different solutions altogether.</t>
  </si>
  <si>
    <t>CTao_37583</t>
  </si>
  <si>
    <t>suggested reading also</t>
  </si>
  <si>
    <t>1190. H(4,2) is greater than 11, We take the slices of the eleven dimensional hypercube
of side four in the following way:
We start with the Van der Warden number W(4,2) for which
we have an exact value:
W(4,2) =35
from the Ramsey theory book by Graham Rothschild and Spencer
second addition
We give the slice (a,b,c,d) the color associated
with a + 2b + 3b+1  then the maximum value is 34
We add one because the coloring in W(4,2) starts with one
and we have zero values in our slices.
Then we will not have a monochromatic combinatorial line
because it would correspond to a monochromatic upward
tetrahedron (a+r,b,c,d) (a,b+r,c,d) etc. so we are done.
This is an improvement in the old value of HJ(4,2) is greater than 6.</t>
  </si>
  <si>
    <t>CTao_37584</t>
  </si>
  <si>
    <t>1191. H(3,3) is greater than 13, We take the slices of the eleven dimensional hypercube
of side four in the following way:
We start with the Van der Warden number W(3,3) for which
we have an exact value:
W(3,3) =27
same source as 1190
We give the slice (a,b,c,) the color associated
with a + 2b +1 then the maximum value is 27
We add one because the coloring in W(3,3) starts with one
and we have zero values in our slices.
Then we will not have a monochromatic combinatorial line
because it would correspond to a monochromatic upward
triangle  and a monochromatic upward triangle would lead to
an arithmetic progression of lenght three but we have forbidden such a progression by our choice of coloring so we are done.
This is an improvement in the old value of HJ(3,3) is my value of 7 before that there was a computer generated value of 6 in the paper I cited in 1175.</t>
  </si>
  <si>
    <t>CTao_37585</t>
  </si>
  <si>
    <t>redo because omitted part of it</t>
  </si>
  <si>
    <t>1192. H(4,2) is greater than 11 redo, I am redoing this because I omitted part of the proof:
We take the slices of the eleven dimensional hypercube
of side four in the following way:
We start with the Van der Warden number W(4,2) for which
we have an exact value:
W(4,2) =35
from the Ramsey theory book by Graham Rothschild and Spencer
second addition
We give the slice (a,b,c,d) the color associated
with a + 2b + 3b+1 then the maximum value is 34
We add one because the coloring in W(4,2) starts with one
and we have zero values in our slices.
Then we will not have a monochromatic combinatorial line
because it would correspond to a monochromatic upward
tetrahedron (a+r,b,c,d) (a,b+r,c,d) etc. and a monochromatic upward tetrahedron  would lead to
an arithmetic progression of length four but we have forbidden such a progression by our choice of coloring so we are done.
This is an improvement in the old value of HJ(4,2) is greater than 6.</t>
  </si>
  <si>
    <t>CTao_37586</t>
  </si>
  <si>
    <t>1193. H(5,2) is greater than 59 , We color the slices of the 59 dimensional hypercube
of side four in the following way:
We start with the Van der Warden number W(5,2) for which
we have an exact value:
W(5,2) =178
from the Ramsey theory book by Graham Rothschild and Spencer
second addition
We give the slice (a,b,c,d) the color associated
with a + 2b + 3b+1 then the maximum value is 178
We add one because the coloring in W(5,2) starts with one
and we have zero values in our slices.
Then we will not have a monochromatic combinatorial line
because it would correspond to a monochromatic upward
tetrahedron (a+r,b,c,d) (a,b+r,c,d) etc. and a monochromatic upward tetrahedron would lead to
an arithmetic progression of length four but we have forbidden such a progression by our choice of coloring so we are done.</t>
  </si>
  <si>
    <t>CTao_37587</t>
  </si>
  <si>
    <t>1194. H(3,4) is greater than 37, We color the slices of the 37 dimensional hypercube
of side three in the following way:
We start with the Van der Warden number W(3,4) for which
we have an exact value:
W(3,4) =76
from the Ramsey theory book by Graham Rothschild and Spencer
second addition
We give the slice (a,b,c,d) the color associated
with a + 2b + 1 then the maximum value is 75
We add one because the coloring in W(5,2) starts with one
and we have zero values in our slices.
Then we will not have a monochromatic combinatorial line
because it would correspond to a monochromatic upward
triangle and a monochromatic upward triangle would lead to
an arithmetic progression of length three but we have forbidden such a progression by our choice of coloring so we are done.</t>
  </si>
  <si>
    <t>CTao_37588</t>
  </si>
  <si>
    <t>1195. HOC k=4, After finding the example for HOC k=4 I decided to modify my program to work for this case too. The example is optimal and I get the values., d=2 weight 7.5      points 12      solutions 8
d=3 weight 14.5    points 45      solutions 112
d=4 weight 25       points 180    solutions 24, The solutions are here
http://abel.math.umu.se/~klasm/Data/HJ/HOC/</t>
  </si>
  <si>
    <t>CTao_37589</t>
  </si>
  <si>
    <t>1195. H(n,2), We start with the fact W(p+1, 2) is greater than or equal to p*2^p
From the book mentioned above
then for any n we an find a prime p less than n greater than n-n^.525
then we get a sequence of length p*2^p free of progressions of length
p and hence of length progressions of length n we look at the largest integer
less than or equal to p*2p/n-1 then subtract one from it that will be the dimension of our slice space we give each slice the coloring associated with
the p*2^p for a + 2b+ 3c .. continued for n terms the maximum value will be less than or equal to p*2^p we will not have an upward n-1 dimensional simplex hence avoid combinatorial lines because if we did we would have a monochromatic arithmetic progression of length p which we have forbidden thus we get a bound H(n,2) is greater than ((n-n^5.35)*2^(n-n.535)/n-1)-2 (the two comes from possible rounding in taking the greatest integer and th subtraction of one).</t>
  </si>
  <si>
    <t>CTao_37591</t>
  </si>
  <si>
    <t>incl. suggested reading</t>
  </si>
  <si>
    <t>1196. H(n,r) , We start with the bound W(n,r) is greater than r^n/erk(1+o(1))
which is from the website, http://mathworld.wolfram.com/vanderWaerdenNumber.html, which gives the reference
Heule, M. J. H. “Improving the Odds: New Lower Bounds for Van der Waerden Numbers.” March 4, 2008. http://www.st.ewi.tudelft.nl/sat/slides/waerden.pdf. , then we take that coloring and give it to a +2b+.. continued n-1 times
we can do this if the dimension is less than  ((n^r/ern(1+o(1)))/n-1) -2
we then will get no n-1 dimensional upward simplex as then we would
have a monochromatic arithmetic progression which we have forbidden but since we have no monochromatic upward n-1 dimensional simplex we will have no combinatorial lines and so we are done and we have, H(n,r) is greater than ((n^r/ern(1+o(1)))/n-1) -2</t>
  </si>
  <si>
    <t>CTao_37594</t>
  </si>
  <si>
    <t>1196. HJ(n,r), I should have written that not H(n,r) in 1190-1194 and in 1195-6 thus the above should be:, HJ(n,r) is greater than ((n^r/ern(1+o(1)))/n-1) -2, HJ(n,2) is greater than ((n-n^5.35)*2^(n-n.535)/n-1)-2 , HJ(3,4) is greater than 37, HJ(5,2) is greater than 59 , HJ(3,4) is greater than 37, HJ(4,2) is greater than 11, HJ(3,3) is greater than 13</t>
  </si>
  <si>
    <t>CTao_37595</t>
  </si>
  <si>
    <t>1197. Fujimura k=3 n= 13, The computation for k=3 n=13 has finished. The optimal size is 46 and I have added the solutions to my table page., This required some spare time from a linux cluster to be possible so I will not try to extend Fujimura for k=3 unless it turns out to be needed for something specific.</t>
  </si>
  <si>
    <t>C3129</t>
  </si>
  <si>
    <t>1062. Finer slice decompositions., There are “finer decompositions” (compared to slices) of  that can also plays a role. For example, we can consider vectors woth a ‘0’, b ‘1’  so that the sum of indices of coordinates with value ‘0’  is x, and the sum of indices of coordinates with value 1 is y. If we denote these vectors by  we get a finer slice decomposition which can be of interest., hmm, when we consider union of such finer slices  (or perhaps a different forms of slicing) there are several issues that seems relevant. (But they do not suggest that union of such fine slices will give better constructions.), One thing is this: Consider a subset of {1,2,…,m}  {1,2,…,k} (where km=n) with out 3 terms A P.  Can you get examples with higher densities than for {1,2,…,n}? (lets assume k=m for simplicity) (Probably this is known to experts.), Another thing is that there are various extensions of Sperner lemma which show that under more general conditions you get the same bound. One is the 2-part Sperner lemma of Katona. Another is Kleitman’s solution of Littlewood-Offord problem. So if we think its fruitful to regard DHJ(3) as extension of DHJ(2). Is there an analog for Kleitman’s theorem?</t>
  </si>
  <si>
    <t>CTao_37596</t>
  </si>
  <si>
    <t>1198.  and generalization beyond 3, We have HJ(3,r) is greater than ((3^r/er3(1+o(1)))/2) -2
so we c_n greater than 3^n/r for n is less than ((3^r/er3(1+o(1)))/2) -2
and we get c_n is is greater than 3^n/(logn-log (log n) -log 3e(1+(o)1))
similarly we get in general the maximal number of points in a combinatorial line free cube of side m and dimension n is m^n/(logn-log (log n) -log (me(1+o1))</t>
  </si>
  <si>
    <t>CTao_37597</t>
  </si>
  <si>
    <t>1198. correction, imilarly we get in general the maximal number of points in a combinatorial line free cube of side m and dimension n is m^n/(logn-log (log n) -log (me(1+o1)) should be, imilarly we get in general the maximal number of points in a combinatorial line free cube of side m and dimension n is greater than m^n/(logn-log (log n) -log (me(1+o1))</t>
  </si>
  <si>
    <t>CTao_37599</t>
  </si>
  <si>
    <t>referene exterior sites</t>
  </si>
  <si>
    <t>1199. More HJ numbers, We have from
http://www.st.ewi.tudelft.nl/sat/waerden.php
W(3,5) is greater than 170 from this we get
using methods similar to the above HJ(3,5) is
greater than 84 this actually makes a difference for values of
82,83 and 84  for c_n in the table at http://spreadsheets.google.com/ccc?key=p5T0SktZY9DsU-uZ1tK7VEg as the maximal density must be greater than
.2, We have from
the same source
W(3,6) is greater than 207
so by similar method as above we have
HJ(3,6) is greater than 103 again this makes a difference in
the table starting at 82 and continuing through 98 as the maximal density must be greater than 1/6</t>
  </si>
  <si>
    <t>CTao_37616</t>
  </si>
  <si>
    <t xml:space="preserve">&gt;&gt;1200 </t>
  </si>
  <si>
    <t>Looks like the thread has been wrapped up just in time!  Of course, we start afresh at the new thread:, https://terrytao.wordpress.com/2009/03/30/dhjk-1200-1299-density-hales-jewett-type-numbers/</t>
  </si>
  <si>
    <t>CTao_37617</t>
  </si>
  <si>
    <t>Tao_7</t>
  </si>
  <si>
    <t>pulling from the 1100 thread</t>
  </si>
  <si>
    <t>1201. Additions to Wiki, I have added some material to the wiki at:, http://michaelnielsen.org/polymath1/index.php?title=Coloring_Hales-Jewett_theorem n sections 5 through 8. It includes material from the end of the 1100 thread through 1196</t>
  </si>
  <si>
    <t>C3132</t>
  </si>
  <si>
    <t>write-up process</t>
  </si>
  <si>
    <t>It would be great if Tim could write up the proof. I’m trying to write a toy version of the proof for corners on the Cartesian product AxA, where A is a Hilbert cube. A few weeks ago my first try didn’t go well as I followed the original Ajtai-Szemeredi proof. I knew it quite well and didn’t pay attention to Tim’s modified proof. Now I see that actually the key of the DHJ3 proof is hiding there. So, I advise the interested reader to compare Tim’s version to the original, even if one knows the Ajtai-Szemeredi proof very well. The two wiki entries are:
“Ajtai-Szemerédi’s proof of the corners theorem”
http://michaelnielsen.org/polymath1/index.php?title=Ajtai-Szemer%C3%A9di%27s_proof_of_the_corners_theorem, and “A Modification of the Ajtai-Szemerédi argument”
http://michaelnielsen.org/polymath1/index.php?title=Modification_of_the_Ajtai-Szemer%C3%A9di_argument</t>
  </si>
  <si>
    <t>C3133</t>
  </si>
  <si>
    <t>hmm, when we consider union of such finer slices  (or perhaps a different forms of slicing) there are several issues that seems relevant. (But they do not suggest that union of such fine slices will give better constructions.), One thing is this: Consider a subset of {1,2,…,m}  {1,2,…,k} (where km=n) with out 3 terms A P.  Can you get examples with higher densities than for {1,2,…,n}? (lets assume k=m for simplicity) (Probably this is known to experts.), Another thing is that there are various extensions of Sperner lemma which show that under more general conditions you get the same bound. One is the 2-part Sperner lemma of Katona. Another is Kleitman’s solution of Littlewood-Offord problem. So if we think its fruitful to regard DHJ(3) as extension of DHJ(2). Is there an analog for Kleitman’s theorem?</t>
  </si>
  <si>
    <t>CTao_37625</t>
  </si>
  <si>
    <t>1202.  is saturated for all odd , Delete all points xxxx, along with all points xxyz and xyzw whose coordinates add up to a multiple of k., k is allowed to be a multiple of 3.</t>
  </si>
  <si>
    <t>CTao_37626</t>
  </si>
  <si>
    <t>1203. Oops
Sorry, I think my previous comment is wrong</t>
  </si>
  <si>
    <t>CTao_37627</t>
  </si>
  <si>
    <t>additional proofs added</t>
  </si>
  <si>
    <t>1202. Additions to Wiki, I have added more material to the wiki:, Here is a summary of results the proofs are on the site at:
http://michaelnielsen.org/polymath1/index.php?title=Coloring_Hales-Jewett_theorem#Improved_bounds_on_HJ.28n.2Cr.29
in sections 5 through 12 each group below is from one section:, HJ(3,3) is greater than 13
HJ(3,4) is greater than 37
HJ(3,5) is greater than 84
This leads to improvements in the existing bounds for c_n in the spreadsheet for values 82-84 as the density must be greater than 1/r=1/5 for n less than or equal to 84.
HJ(3,6) is greater than 103
Again this leads to improvements in the existing bounds for c_n for 82 to 98 again as the density must be greater than 1/r=1/6 for n less than or equal to 103 and the table stops at 98. , H(4,2) is greater than 11
HJ(4,3) is greater than 97
HJ(4,4) is greater than 349
HJ(4,5) is greater than 751
HJ(4,6) is greater than 3259, HJ(5,2) is greater than 59
HJ(5,3) is greater than 302
HJ(5,4) is greater than 2609
HJ(5,5) is greater than 6011
HJ(5,6) is greater than 14173, HJ(6,2) is greater than 226
HJ(6,3) is greater than 1777
HJ(6,4) is greater than 18061
HJ(6,5) is greater than 49391
HJ(6,6) is greater than 120097 , HJ(7,2) is greater than 617
HJ(7,3) is greater than 7309
HJ(7,4) is greater than 64661, HJ(8,2) is greater than 1069
HJ(8,3) is greater than 34057, HJ(9,2) is greater than 3389 , HJ(n,r) is greater than ((n^r/ern(1+o(1)))/n-1) -2
HJ(3,r) is greater than ((3^r/er3(1+o(1)))/2) -2
c_n is is greater than 3^n/(logn-log (log n) -log 3e(1+(o)1))
The maximal number of points in a combinatorial line free cube of side m and dimension n is greater than m^n/(logn-log (log n) -log (me(1+o1)) .</t>
  </si>
  <si>
    <t>continuation of 1100 thread</t>
  </si>
  <si>
    <t xml:space="preserve">
This is a continuation of the 1100-1199 thread of the polymath1 project, which is now full.  The focus has now mostly shifted to generalisations of the previous problems being studied to larger alphabet sizes k, so I am changing the title here from DHJ(3) to DHJ(k) to reflect this.
The discussion is evolving rapidly, but here are some of the topics currently being discussed:
Understanding the density Hales-Jewett numbers , defined as the size of the largest subset of  that does not contain a combinatorial line.  The progress on that problem is summarised here.
Fujimura’s problem in higher dimensions.
The hyper-optimistic conjecture in higher dimensions.  It looks like the conjecture in fact fails in higher dimensions, though perhaps it could be salvaged by reformulating it.
Reducing the need for computer assistance in our result  on Moser’s problem.
New lower bounds for the coloring Hales-Jewett numbers.
Note that much of the most recent progress has not yet been ported to the wiki.  In order to help everyone else catch up, it may useful if authors of comments (particularly comments with lengthy computations, or with corrections to previous comments) put their work on the relevant page of the wiki (not necessarily in the most polished format), and perhaps only place a summary of it on the thread itself.
Incidentally, for the more casual followers of this project, a non-technical introduction to this project can be found at this post of Jason Dyer.
Comments here should start from 1200.
Share this:PrintEmailMoreTwitterFacebookRedditPinterestLike this:Like Loading... </t>
  </si>
  <si>
    <t>CTao_37632</t>
  </si>
  <si>
    <t>1203. Fujimura k=4 n=7, This night my program finished the computation for Fujimur’as problem with k=4 n=7. The optimum size is 78, and there are only 48 solutions.
I have updated my table page and put the solutions there., I do not plan to extend the k=4  case further unless further values are needed.</t>
  </si>
  <si>
    <t>CTao_37647</t>
  </si>
  <si>
    <t>Kristal?</t>
  </si>
  <si>
    <t>having trouble</t>
  </si>
  <si>
    <t>1204. Query on HJ(k,r), Kristal,, I am having trouble with the limit for .
The formula given for the van der Waerden number W(r,k) is , where r is the number of colours and k the size of the cube.  k is also the length of the arithmetic progression.  For DHJ(3), k=3, so $W(r,3) = \frac{r^2}{3e}(1+o(1))$.  Then we can set the dimension to be  and keep 1/r of the points.  The total number of points kept is , which is  or .  This is smaller than the old limit of .</t>
  </si>
  <si>
    <t>C3135</t>
  </si>
  <si>
    <t>Peter Boothe</t>
  </si>
  <si>
    <t>program can be successful without being bug free - what about math?</t>
  </si>
  <si>
    <t>Although there is a 1:1 correspondence between proofs and programs, there are important social differences between them that make your metaphor a little worrying.  In particular, a program can be successful without being bug-free.  Linux has, and has always had, many bugs.  Indeed, it is quite likely that all programs of sufficient size and complexity have some bugs., A program with bugs can still be very useful, but it seems like a slightly-incorrect proof is, at best, only a little better than just being wrong.  If this is true, then the open source “bazaar” model doesn’t really work without a consistent and well-defined global view of the problem among all participants., The other big problem with the metaphor is that most large programs start out as working small programs and grow from there.  Most are not designed as big programs solving a big problem.  Is it possible to “grow” a small (correct) proof into a larger (correct) proof of some larger truth?  It seems like this is not how mathematics is usually practiced, but it would be the growth process that most closely mirrors the open source process.</t>
  </si>
  <si>
    <t>C3136</t>
  </si>
  <si>
    <t>1063. Hyper-optimistic conjecture,     Apparently this is not true for the generalization for 4 see post
1185 in the thread , http://terrytao.wordpress.com/2009/03/14/dhj3-1100-1199-density-hales-jewett-type-numbers/,    Congratulations to Klas Markström for finding the counterexample for this.</t>
  </si>
  <si>
    <t>C3137</t>
  </si>
  <si>
    <t>1064. more on the analogy with Sperner, We want to find a set avoiding a configuration C inside a large set X. If we can show that for some subset Y of X the maximum density of a C-avoiding subset is at most c|Y| then usually this is good. When there is a group acting like in the cap set problem we can show the same bound for subsets of X that avoid C. But even if there is no group action this can still be useful. , For Sperner the basic observation is that if we take Y to be a chain then a line-free subset of Y contains at most 1 element. So the density of line-free subsets of chain is very small and this can be pushed to various proofs. , So the question is (and we discussed it more or less in these threads, i just repeat it): is there a good analog for “chains” for DHJ(3). A small configuration (and I do not know if small is in the order of 1 or of 2^n up to poly(n)) on which we can show (or at least conjecture) that the density of line-avoiding subset must be small. (Thinking about combinatorial subspaces is sort of “cheating” and in any case not the analog for the case of Sperner.), Simple questions to state are: Is there any subset Y of {0,1,2}^n on which we can show (more easily) that the maximum density of line-free subsets is small. Is there a subset Y where this maximum density is expected to be smaller than that for the entire {0,1,2}^n?</t>
  </si>
  <si>
    <t>CTao_37670</t>
  </si>
  <si>
    <t>1205. HOC, Is there some viable alternative to the HOC?, For k=2 to original HOC is true.
For k=3 it holds for the few values of n where we know the involved values., For k=4 it fails for n=2, weight 7.5 and Fujimura has has 7 points, but the number of points in the weighted problem is the same as in the unweighted maximum, For k=4 and n=3 the weight is greater than the size of Fujimura solution, and the number of points is smaller than in the maximum unweighted set.
The same things holds for n=4</t>
  </si>
  <si>
    <t>CTao_37671</t>
  </si>
  <si>
    <t>correcting a mistake</t>
  </si>
  <si>
    <t>1206. HJ(k,r), I made a mistake in this section of the wiki, I switched r and k
in the exponent I have repaired this I no longer can improve the
existing asymptotic to c_n so I have deleted that material.</t>
  </si>
  <si>
    <t>CTao_37672</t>
  </si>
  <si>
    <t>1207. HOC,    If the in the HOC equality is replaced a bounding constant factor then I think you can still get DHJ(k) from the weakened HOC The corners theorem and the combinatorial line free state forces the number of slices to be small
the constant factor forces the set in equal slices measure to be small and then equivalence of measures makes the density of the points with ordinary weighting small and we are done.</t>
  </si>
  <si>
    <t>CTao_37674</t>
  </si>
  <si>
    <t>uncertain/interruption?</t>
  </si>
  <si>
    <t>I’m coming to this very late, and probably this is overly naive and already long since considered and discarded, but: a permutation can be thought of as a machine for turning slices into {0,1}-colorings of n: the coloring is formed by coloring a prefix of the permutation with 0 and a suffix with 1, and the slice tells you how long to make the prefix and suffix. This machine has the property that any two colorings picked out by the same permutation form a combinatorial line in 2^n. And the equal-slices measure of a set of colorings is just the expected number of colorings picked out by a random permutation., So I was wondering, in connection with the hyper-optimistic conjecture, whether one could define some sort of combinatorial machine for turning slices into {0,1,2}-colorings of n, with the property that for any three slices forming an equilateral triangle, the three colorings picked out by the machine for those slices form a combinatorial line. If such machines existed, we could hope for a proof of the hyperoptimistic conjecture in which the equal-slices measure is the expected number of colorings picked out by a random machine., Sadly, machines of this type do not seem to exist. At least, I tried placing {0,1,2}-colorings of a two-element set into a triangle of the six possible slices a two-element set, and the constraint that equilateral triangles form lines quickly led to inconsistencies., With this avenue of attack on the hyper-optimistic conjecture blocked off, I’m wondering what other approaches might seem more promising. I looked on the wiki but all I saw were computer calculations; I can imagine a counterexample to the hyper-optimistic conjecture being found in this way but that seems unlikely to lead to a proof.</t>
  </si>
  <si>
    <t>C3139</t>
  </si>
  <si>
    <t>Overall I think the issue of credit for contributors in open collaborative work is not so problematic. I expect that the handfull of people with crucial influence will have ample credit; Also the issue of individual researchers who are engaged with similar projects may not be too bad. Such open collaboration had potential to help (probably more than to harm) these separate efforts as well. , One difficulty I see is that people will be hesitant to partake in open collaboration, especially a hectic and competative one, because it may harm their reputation. There are serious issues of “cost of opportunity” that were expressed already: is this a good way to spend the time of an individual researcher? Is this a good way to spent efforts of many researchers all on the same issue? There is also a deeper issue of a shift (that can be artificial) of the attention of the community towards few problems.</t>
  </si>
  <si>
    <t>CTao_37680</t>
  </si>
  <si>
    <t>1209. Coloring machine, David, welcome!, I vaguely considered what you are speaking of at this comment. I haven’t had time to think about it further, though. There’s a definite feel of some sort of “automatic chain” going on based on disjoint triangles that could be used to formulate a sensible coloring.</t>
  </si>
  <si>
    <t>C3140</t>
  </si>
  <si>
    <t>blog preservation</t>
  </si>
  <si>
    <t>discussion going on</t>
  </si>
  <si>
    <t>Just to follow up on the question of preserving the blog record again, this type of question is being discussed now in the library and related communities, see e.g., http://www.gavinbaker.com/2009/03/30/preservation-for-scholarly-blogs/ and http://cavlec.yarinareth.net/2009/03/31/blog-preservation/</t>
  </si>
  <si>
    <t>CTao_37682</t>
  </si>
  <si>
    <t>CTao_37674; 451; Gowers.820</t>
  </si>
  <si>
    <t>tried it - this happened</t>
  </si>
  <si>
    <t>1210. Coloring machine, Hi David!, What you propose sounds similar to what Gowers proposed back in 331 and then discounted in 332 for more or less the same reason you did.  However, this approach did lead to what I called “Cartesian semi-products”, which were basically upper triangular grids in the cube such that any triangle with one edge on the diagonal formed a combinatorial line; see e.g. my comment 451.  Some vestige of this idea eventually got incorporated into the crucial observation “if a set has no combinatorial lines, then it correlates with a local complexity 1 set” which was finally proven in Gowers’ comment 820.  And this is a cornerstone of one of our current proofs of DHJ.   So, basically, your idea is what did lead (after about four weeks of work, and many twists and turns) to a full solution of the problem :-), The breakdown of the hyper-optimistic conjecture in k=4 does strongly suggest that the k=3 HOC, if true, is going to be true for “fluky” reasons rather than because there is an elegant proof of the fact.  The version of HOC with a constant loss may of course still be true, but cannot be proven or disproven numerically, and I’m not sure there is much more one can say about that version of the conjecture at this stage.</t>
  </si>
  <si>
    <t>CTao_37684</t>
  </si>
  <si>
    <t>1211. Coloring machine, Ok, define a “coloring machine” to be a function M that maps slices in Δn to colorings in  3^n, but now rather than requiring that all equilateral triangles are mapped by M to lines, we only hope that many of them are. Let a(M) be the cardinality of the largest subset of Δn that avoids all of the triangles mapped by M to lines (obviously this is greater than or equal to the largest triangle-free set)., Then the equal-slices measure of any line-free set must be at most a(M). The proof idea is pretty much the same as for Lubell’s proof of Sperner. The equal-slices measure is the expected number of elements of the line-free set that are picked out by a machine M’ formed by applying a random permutation to M, but any individual one of these machines can only pick out a(M) of these elements else the elements it picks out would include a line., That is, even if this idea is hopeless for getting to the hyper-optimistic conjecture, maybe it can at least give a nontrivial upper bound on equal-slices measure, if only we could find an infinite family of M’s with small a’s. Of course, you do already have a nontrivial upper bound on equal-slices measure: it is o(|Δn|) because (the Wiki says) that statement is the same as DHJ(3).</t>
  </si>
  <si>
    <t>CTao_37700</t>
  </si>
  <si>
    <t>1212. HJ(3,r),      I have added the new bound:, HJ(3,r) is greater than r^{clnr}/2-1 , to the wiki at
http://michaelnielsen.org/polymath1/index.php?title=Coloring_Hales-Jewett_theorem#Improved_bounds_on_HJ.283.2Cr.29
more is on it there., As far as I know this is the first greater than polynomial bound for
HJ(3,r)</t>
  </si>
  <si>
    <t>CTao_37707</t>
  </si>
  <si>
    <t>including some repeat comments</t>
  </si>
  <si>
    <t>1213. all sort of things, Let me repeat some little comments (from the 1000 thread) which are perhaps more appropriate on this thread. The first is that it can be fruitful to examine slightly finer slice structures (perhaps in order to eliminate the hyper optimistic conj already for k=3). For example: Let  be  all 0-1-2 vectors with a 0’s b 1’s and c 2’s where x is the sum of indices of the 0 entries y the sum of indices of 1 entries and z the sum of entriez of z vectors. (Such slices are of interest for binary vectors; you can have further refinements by presecribing the sum of squares of 0-indices etc;) union of slices where the sets of vectors (b+2x,y+2z) avoides 3-term AP look like avoiding combinatorial lines. But I do not know if such examples are potentially useful., The other comment related to David’s is that in the DHJ(2) case (it is still an interesting issue if DHJ(2) is a good analog for DHJ(3)) there are sets which are line-ample – with a lot of lines. Namely, the chains. Now for DHJ(3) I am not aware of sets which have a “lot of lines” (by a lot we really want more than for combinatorial subspaces). , A concrete problem is this: for Sperner a maximal chain is a subset on which the density of a line-free subsubset is at most 1/(n+1). (And of course, there is no subset which is better). , For  what is the subset X so that the maximum density   in X of a line avoiding subsubset Y is minimum. Are there such X for which  is smaller or even substantially smaller than for  .</t>
  </si>
  <si>
    <t>CTao_37725</t>
  </si>
  <si>
    <t>1214. HJ(3,r), re. 1212. Kristal, I think that this is a standard argument. If one can r-colour the integers from 0 to 2d avoiding monochromatic 3-term arithmetic progressions, then it implies HJ(3.r)&gt;d; just colour every point of  with the colour assigned to the sum of its coordinates. So, . You used a+2b+1, but it is the same.</t>
  </si>
  <si>
    <t>CTao_37727</t>
  </si>
  <si>
    <t>1214. HJ(3,r) (contd.), Maybe one can use a 1-1 map between  and a subset of integers to get a new bound on HJ(3,r) or DHJ3. We can consider the coordinates of points in  as exponents of the prime factorization of an integer. If we can find a large set of integers without a 3-term GEOMETRIC progression, that would give a line-free subset in . It is different from Kristal’s construction and it might give a better bound (but I’m not sure).</t>
  </si>
  <si>
    <t>CTao_37730</t>
  </si>
  <si>
    <t>1188; 1189</t>
  </si>
  <si>
    <t>1215. Regarding , Following from 1188 and 1189, any coordinate-line-free solution of the five-dimensional k-cube, with  missing points, must have the following missing points of each type. , p(vwxyz) = 24a + (k-1)(k-2)(k-3)(k-4)
p(wwxyz) = -60a + 10(k-1)(k-2)(k-3)
p(xxyyz) = 30a + 15(k-1)(k-2)
p(xxxyz) = 20a + 10(k-1)(k-2)
p(xxxyy) = -10a + 10(k-1)
p(xxxxy) = -5a + 5(k-1)
p(xxxxx) = a+1
(a=0..k-1), Again, the number of missing points on the main diagonal (xxxxx) can be anything from 1 to k, but then the number of each other type is fixed.  I don’t know why the formulae are so neat; the theory of Young tableaux and Schur polynomials must have something to do with it.</t>
  </si>
  <si>
    <t>CTao_37741</t>
  </si>
  <si>
    <t>1216. re 1214 part B
Dear Jozsef, This looks very interesting! but are there any bounds known on the density of sets avoiding 3-terms geometric progression? (also when you say it is different than Krystal’s example which example do you refer to?)</t>
  </si>
  <si>
    <t>CTao_37742</t>
  </si>
  <si>
    <t>1217.  Coloring machines, I tried playing around a bit with David’s suggestion to find maps  from a triangle  into  which map as many equilateral triangles into  as possible., Currently, we are using embeddings such as  (taking r=n, say); this maps (a+r,b,c), (a,b+r,c), (a,b,c+r) to a line as long as b=0 (thus the equilateral triangle has to have one side on the boundary of )., Another thing to do is to take , and map  whenever a (resp. b, c) is the n-bit binary string which has 1s at the places where w is 0 (resp. 1, 2) and 0s elsewhere.  This map is not defined on all of , but only maps a sort of Sierpinski triangle in  to , in which exactly one of the i^th bits of a, b, c is one for each i.  Any line in  maps back to an equilateral triangle in .  But this basically is just reformulating DHJ(3) as a problem about avoiding a sort of Sierpinski gasket of equilateral triangles (a little reminiscent of the IP-Szemeredi theorem or strong Roth theorem).</t>
  </si>
  <si>
    <t>CTao_37744</t>
  </si>
  <si>
    <t>does anyone know? any type of proof?</t>
  </si>
  <si>
    <t>1218. Ternary error correction, While thinking more about what kinds of bounds the coloring machine idea might be able to prove, I ran into a different question that may be heading a bit too far off-topic, but I thought I’d mention it here anyway., A ternary error-correcting code is just a subset of 3^n such that no two colorings differ only in a single position. The maximum size of an error correcting code is just 3^{n-1}, or equivalently the maximum density is 1/3 — just take all colorings whose sum is 0 mod 3. But what is the maximum equal-slices density?, A lower bound of 1/3 on maximum equal-slices density is trivial: take the three sets of colorings whose sum is i mod 3 for i=0,1,2, and choose whichever of them has largest density. But this is not in general optimal. A better lower bound for some n is to take a maximum independent set in Δ_n and use all colorings within those slices. For n=2 this gives equal-slices density 1/2, and for n=4 it gives 2/5, but for n=3 it doesn’t do any better than the trivial 1/3 lower bound., An upper bound on the maximum equal-slices density is the value of a fractional relaxation of the maximum independent set: assign real numbers to Δ_n such that no two adjacent numbers add to more than one, and take the average of these numbers. I think the optimal solution is the assignment of 1/2 to each slice, so the maximum equal-slices density should be at most 1/2. For n=2 this matches the lower bound but for higher n it is different., My suspicion is that the lower bound is tight and the upper bound isn’t. Is this known? Any hope of a proof?</t>
  </si>
  <si>
    <t>CTao_37747</t>
  </si>
  <si>
    <t>1212; Gil?</t>
  </si>
  <si>
    <t>129. Re 126. Geometric progressions, Dear Gil, I was thinking about how to get a lower bound on HJ(3,r) which is different from Kristal’s in post 1212.  I don’t know good lower bounds on monochromatic-3-term-geometric-progression (3GP) avoiding colourings, but I will think about it. In fact, we don’t need to avoid all geometric progressions, just the ones where  and  are relative primes where the 3GP is written as .</t>
  </si>
  <si>
    <t>CTao_37748</t>
  </si>
  <si>
    <t>1219. Fujimura and divisibility, I was working on k=3 Fujimura a little, and while I haven’t had much luck, I wanted to note the divisibility of n seems to be a major factor in the layout of any potential disjoint triangles., For example, when n mod 2 = 1, one can lay out triangles of side length 1 all the way to the edges of the lattice (for example when n = 3, the triangles 030-120-021, 210-300-201, 012-102-003) whereas when n mod 2 = 0 there is an “extra row”. This means the increase in disjoint triangles to a n mod 2 = 1 case is larger than to a n mod 2 = 0 case.</t>
  </si>
  <si>
    <t>CTao_37750</t>
  </si>
  <si>
    <t>Minor bugfix: that should be “error detection” and “error-detecting code” not “error correction” etc — correction requires greater Hamming distance than two.</t>
  </si>
  <si>
    <t>CTao_37751</t>
  </si>
  <si>
    <t>1220. Fujimura disjoint triangle cover, The triangular lattice of Fujimura’s problem can be covered by disjoint triangles as long as n=2*3^(i-1)-1 (where i &gt;= 1)., Esentially, 6 copies of the previous cover are arranged to make the new cover, and the points not included can then be covered. It’s somewhat Sierpinski-ish.</t>
  </si>
  <si>
    <t>CTao_37754</t>
  </si>
  <si>
    <t>1221. Fujimura disjoint triangle cover., Jason: see my C++ code for finding covers by disjoint triangles. Obvious necessary conditions for a cover to exist are that the triangular lattice have a number of points divisible by three, and that the bottom edge of the triangle have evenly many points. That is, the number of points on the bottom edge must be 0 or 2 (mod 6). My code finds solutions for all small n satisfying those conditions, with numbers of points on the bottom edge equal to 2, 6, 8, 12, 14, and after that I got tired of waiting for an answer. Your construction allows any solution to be tripled, so 18 and 24 are also solvable; the next unknown case is 20.</t>
  </si>
  <si>
    <t>CTao_37755</t>
  </si>
  <si>
    <t>1222. Fujimura disjoint triangle cover., If you have a solution with a triangle with n points on the bottom edge, and in addition your solution has the property that it uses the three side-length-1 triangles from the three corners, then Jason’s idea of arranging 6 copies and then covering the remaining points can be used in such a way that the 6 copies overlap only on these side-length-1 triangles. The resulting cover has 3n-4 points on the bottom edge (and again uses three side-length-1 corner triangles)., The solutions for 6 and 8 do have this property of using the three small corner triangles, and lead to solutions for 14 and 20. As I said, 18 and 24 are solvable using Jason’s version of the tripling construction. The same idea with order-6 overlapping corner regions allows the side-length-14 solution to turned into a solution with side length 3*14 – 2*6 = 30. So the next unknown case is 26.</t>
  </si>
  <si>
    <t>CTao_37779</t>
  </si>
  <si>
    <t>Kalai.1213; CTao_37741?</t>
  </si>
  <si>
    <t>1223. Alternate slice notation, Kalai.1213 discusses an alternate slice notation . To begin with, Gil, are you really meaning this?, x is the sum of indices of the 1 entries
y is the sum of indices of the 2 entries
z is the sum of indices of the 3 entries, So for example the string 321 would have x = 2, y = 1, and z = 0. Equal slice notation would have a = 1, b = 1, and c = 1., Given that, I’m not sure how useful it is combining the equal-slice and index-slice together; on  for example it gives one point for each slice, which isn’t terribly useful. It seems better to form a separate slice type notation, say, , and then if at any point we need equal-slice and index-slice together we can use intersection etc. as needed., With  then each  is a combinatorial line. For example  is the line 121-221-321 intersecting the equal slices , , and .</t>
  </si>
  <si>
    <t>CTao_37782</t>
  </si>
  <si>
    <t>1224. Alternate slice notation, The  I just mentioned gives combinatorial lines with a single wildcard in the first position; it is therefore useful to be able to number indices arbitrarily, so for example  would give a single wildcard in the second position., Note also  is then simply equal slices, so it’s probably best to keep with our original notation of Gamma, so the original index-slice notation would be , (Or whatever alternate way other than my bracket-thing people want to do this.)</t>
  </si>
  <si>
    <t>CTao_37783</t>
  </si>
  <si>
    <t>1225.
Dear Jason, I suppose this is what I meant; It is ok to think separately on slices of various types. (I did not understand your notation .), I did not understand what is  in 1223.
if the sum of indices of the locations for ‘1’ is ‘2’ why do you get there 121 and 221?</t>
  </si>
  <si>
    <t>CTao_37784</t>
  </si>
  <si>
    <t>1226. Alternate slice notation, Maybe I’m misunderstanding, but:, 121 (in equal slices it would be a = 2, b = 1, c = 0)
1s: 0 + 2 = 2 = x
2s: 1 = 1 = y
3s: 0 = z, 221 (in equal slices a = 1, b = 2, c = 0)
1s: 2 = 2 = x
2s: 0 + 1 = 1 = y
3s: 0 = z, 321 (in equal slices a = 1, b = 1, c = 1)
1s: 2 = 2 = x
2s: 1 = 1 = y
3s: 0 = z</t>
  </si>
  <si>
    <t>CTao_37786</t>
  </si>
  <si>
    <t>Ok, i suppose I started with 1 (not with 0) it makes no difference if you insist your sets will be from the same slice with the two definitions together. But starting with ‘1’ will not allow even the coarse slices to have lines. , Now the individual slices in the index sum definitions are smaller.
(Actually a single slice in the ususal sense is at most  and not  as the wiki suggests, right?)
Each slice in the new sense have  (when you just take the sum of indices) and if you insist on a slice both in terms of the sums of indices and in terms of number of coordinates of each type (and then you can start with 0) you get slices of at most . , Now we want to gather many such slices to avoid a combinatorial line. So it looks that if the indices of the slices are (a,b,c,x,y,z,) we should not include 6-tuples avoiding 3 term a. p. simultaniusly in both b+2c and x+2y , The tragedy is that it seems that unions of such slices will give you examples in the same ball park as the examples we already have. but I am not sure about it. Also if it is in the same ball park asymptotically it  can lead to better examples than the hyper optimistic ones. We may be able to explore the situation for union of slices in the different sense and in the refined sense for small but not terribly small n’s., the question is related to the maximum sizes of subsets of a rectangle {1,2,…,a} times {1,2,…,b} not having a 3-term A.P.  I suppose the asnwer is in the same ball park as for {1,2,…,ab} but I am not sure about it and I suppose experts would know.</t>
  </si>
  <si>
    <t>CTao_37793</t>
  </si>
  <si>
    <t>1128. Alternate slice notation, Just to clarify on my notation,  would mean the index starts at 0, and  would mean the index starts at 1., So to compare:, 221 with :, 1s: 2 = x
2s: 0 + 1 = 1 = y
3s: 0 = z, 221 with :, 1s: 3 = x
2s: 1 + 2 = 3 = y
3s: 0 = x, Equal slices is , giving equal weight to each position in the string., I think it worthwhile to compare the different possible slices using this notation.</t>
  </si>
  <si>
    <t>CTao_37794</t>
  </si>
  <si>
    <t>1228. Maximal single slice, I think that the maximal single slice is one with all coordinates equal if the dimension is divisible by three, or one of three slices of the same size
using stirling’s approximation
http://mathworld.wolfram.com/StirlingsApproximation.html gives roughly
3^n/n.  Apparently the division is by a power approximately one factor of square root of n greater each time we increase k by one and look for the maximum center slice of a cube of dimension n and side k.</t>
  </si>
  <si>
    <t>CTao_37795</t>
  </si>
  <si>
    <t>Tao_8</t>
  </si>
  <si>
    <t>The statement of Proposition 4 is messed up. Thanks for the summary!  Corrected, thanks – T.</t>
  </si>
  <si>
    <t>CTao_37808</t>
  </si>
  <si>
    <t>1229. HOC  k=3, I have now used a different integer programming solver,  the cplex solver,  in order to determine the  value of .
The program found a solutions quite quickly and after a bit over twelve hours the program had reduced the upper bound to the same value. , The result is ., With this program I can currently not get complete sets of solutions but the solution the program did find is here
http://abel.math.umu.se/~klasm/solutions-n=6-k=3-HOC-6</t>
  </si>
  <si>
    <t>expand &amp; strategize &amp; analogize</t>
  </si>
  <si>
    <t>This week I gave a talk at UCLA on some aspects of polymath1 project, and specifically on the three new combinatorial proofs of the density Hales-Jewett theorem that have been obtained as a consequence of that project. (There have been a number of other achievements of this project, including some accomplished on the polymath1 threads hosted on this blog, but I will have to postpone a presentation of those to a later post.) It seems that at least two of the proofs will extend to prove this theorem for arbitrary alphabet lengths, but for this talk I will focus on the  case. The theorem to prove is then
Theorem 1 ( density Hales-Jewett theorem)  Let . Then if  is a sufficiently large integer, any subset  of the cube  of density  at least  contains at least one combinatorial line , where  is a string of s, s, s, and ‘s containing at least one “wildcard” , and  is the string formed from  by replacing all ‘s with ‘s. 
The full density Hales-Jewett theorem is the same statement, but with  replaced by  for some . (The case  is trivial, and the case  follows from Sperner’s theorem.)
This theorem was first proven by Furstenberg and Katznelson, by first converting it to a statement in ergodic theory; the original paper of Furstenberg-Katznelson argument was for the  case only, and gave only part of the proof in detail, but in a subsequent paper a full proof in general  was provided. The remaining components of the original  argument were later completed in unpublished notes of McCutcheon. One of the new proofs is essentially a finitary translation of this  argument; in principle one could also finitise the significantly more complicated argument of Furstenberg and Katznelson for general , but this has not been properly carried out yet (the other two proofs are likely to generalise much more easily to higher ). The result is considered quite deep; for instance, the general  case of the density Hales-Jewett theorem already implies Szemerédi’s theorem, which is a highly non-trivial theorem in its own right, as a special case.
Another of the proofs is based primarily on the density increment method that goes back to Roth, and also incorporates some ideas from a paper of Ajtai and Szemerédi establishing what we have called the “corners theorem” (and which is also implied by the  case of the density Hales-Jewett theorem). A key new idea involved studying the correlations of the original set  with special subsets of , such as -insensitive sets, or intersections of -insensitive and -insensitive sets. Work is currently ongoing to extend this argument to higher , and it seems that there are no major obstacles in doing so.
This correlations idea inspired a new ergodic proof of the density Hales-Jewett theorem for all values of  by Austin, which is in the spirit of the triangle removal lemma (or hypergraph removal lemma) proofs of Roth’s theorem (or the multidimensional Szemerédi theorem). A finitary translation of this argument in the  case has been sketched out; I believe it also extends in a relatively straightforward manner to the higher  case (in analogy with some proofs of the hypergraph removal lemma ).
 —  1. Simpler cases of density Hales-Jewett  — 
In order to motivate the known proofs of the density Hales-Jewett theorem, it is instructive to consider some simpler theorems which are implied by this theorem. The first is the corners theorem of Ajtai and Szemerédi:
Theorem 2 (Corners theorem)  Let . Then if  is a sufficiently large integer, any subset  of the square  of density  at least  contains at least one right-angled triangle (or “corner”)  with . 
The  density Hales-Jewett theorem implies the corners theorem; this is proven by utilising the map  from the cube to the square, defined by mapping a string  to a pair , where  are the number of s and s respectively in . The key point is that  maps combinatorial lines to corners. (Strictly speaking, this mapping only establishes the corners theorem for dense subsets of , but it is not difficult to obtain the general case from this by replacing  by  and using translation-invariance.)
(The corners theorem is also closely related to the problem of finding dense sets of points in a triangular grid without any equilateral triangles, a problem which we have called Fujimura’s problem.
The corners theorem in turn implies
Theorem 3 (Roth’s theorem)  Let . Then if  is a sufficiently large integer, any subset  of the interval  of density  at least  contains at least one arithmetic progression  of length three. 
Roth’s theorem can be deduced from the corners theorem by considering the map  defined by ; the key point is that  maps corners to arithmetic progressions of length three.
There are higher  analogues of these implications; the general  version of the density Hales-Jewett theorem implies a general  version of the corners theorem known as the multidimensional Szemerédi theorem, which in term implies a general version of Roth’s theorem known as Szemerédi’s theorem.
 —  2. The density increment argument  — 
The strategy of the density increment argument, which goes back to Roth’s proof of Theorem 3 in 1956, is to perform a downward induction on the density . Indeed, the theorem is obvious for high enough values of ; for instance, if , then partitioning the cube  into lines and applying the pigeonhole principle will already give a combinatorial line. So the idea is to deduce the claim for a fixed density  from that of a higher density .
A key concept here is that of an -dimensional combinatorial subspace of  – a set of the form , where  is a string formed using the base alphabet and  wildcards  (with each wildcard appearing at least opnce), and  is the string formed by substituting  for  for each . (Thus, for instance, a combinatorial line is a combinatorial subspace of dimension .) The identification  between  and the combinatorial space  maps combinatorial lines to combinatorial lines. Thus, to prove Theorem 1, it suffices to show
Proposition 4 (Lack of lines implies density increment)  Let . Then if  is a sufficiently large integer, and  has density at least  and has no combinatorial lines, then there exists an -dimensional subspace  of  on which  has density at least , where  depends only on  (and is bounded away from zero on any compact range of ), and  for some function  that goes to infinity as  for fixed . 
It is easy to see that Proposition 4 implies Theorem 1 (for instance, one could consider the infimum of all  for which the theorem holds, and show that having this infimum non-zero would lead to a contradiction).
Now we have to figure out how to get that density increment. The original argument of Roth relied on Fourier analysis, which in turn relies on an underlying translation-invariant structure which is not present in the density Hales-Jewett setting. (Arithmetic progressions are translation-invariant, but combinatorial lines are not.) It turns out that one can proceed instead by adapting a (modification of) an argument of Ajtai and Szemerédi, which gave the first proof of Theorem 2.
The (modified) Ajtai-Szemerédi argument uses the density increment method, assuming that  has no right-angled triangles and showing that  has an increased density on a subgrid – a product  of fairly long arithmetic progressions with the same spacing. The argument proceeds in two stages, which we describe slightly informally (in particular, glossing over some technical details regarding quantitative parameters such as ) as follows:
 Step 1. If  is dense but has no right-angled triangles, then  has an increased density on a cartesian product  of dense sets  (which are not necessarily arithmetic progressions). 
 Step 2. Any Cartesian product  in  can be partitioned into reasonably large grids , plus a remainder term of small density.
From Step 1, Step 2 and the pigeonhole principle we obtain the desired density increment of  on a grid , and then the density increment argument gives us the corners theorem.
Step 1 is actually quite easy. If  is dense, then it must also be dense on some diagonal , by the pigeonhole principle. Let  and  denote the rows and columns that  occupies. Every pair of points in  forms the hypotenuse of some corner, whose third vertex lies in . Thus, if  has no corners, then  must avoid all the points formed by  (except for those of the diagonal ). Thus  has a significant density decrease on the Cartesian product . Dividing the remainder  into three further Cartesian products , ,  and using the pigeonhole principle we obtain the claim (after redefining  appropriately).
Step 2 can be obtained by iterating a one-dimensional version:
 Step 2a. Any set  can be partitioned into reasonably long arithmetic progressions , plus a remainder term of small density.
Indeed, from Step 2a, one can partition  into products  (plus a small remainder), which can be easily repartitioned into grids  (plus small remainder). This partitions  into sets  (plus small remainder). Applying Step 2a again, each  can be partitioned further into progressions  (plus small remainder), which allows us to partition each  into grids  (plus small remainder).
So all one has left to do is establish Step 2a. But this can be done by the greedy algorithm: locate one long arithmetic progression  in  and remove it from , then locate another to remove, and so forth until no further long progressions remain in the set. But Szemerédi’s theorem then tells us the remaining set has low density, and one is done!
This argument has the apparent disadvantage of requiring a deep theorem (Szemerédi’s theorem) in order to complete the proof. However, interestingly enough, when one adapts the argument to the density Hales-Jewett theorem, one gets to replace Szemerédi’s theorem by a more elementary result – one which in fact follows from the (easy)  version of the density Hales-Jewett theorem, i.e. Sperner’s theorem.
We first need to understand the analogue of the Cartesian products . Note that  is the intersection of a “vertically insensitive set”  and a “horizontally insensitive set” . By “vertically insensitive” we mean that membership of a point  in that set is unaffected if one moves that point in a vertical direction, and similarly for “horizontally insensitive”. In a similar fashion, define a “-insensitive set” to be a subset of , membership in which is unaffected if one flips a coordinate from a  to a  or vice versa (e.g. if  lies in the set, then so must , , , etc.). Similarly define the notion of a “-insensitive set”. We then define a “complexity  set” to be the intersection  of a -insensitive set  and a -insensitive set ; these are analogous to the Cartesian products .
(For technical reasons, one actually has to deal with local versions of insensitive sets and complexity  sets, in which one is only allowed to flip a moderately small number of the  coordinates rather than all of them. But to simplify the discussion let me ignore this (important) detail, which is also a major issue to address in the other two proofs of this theorem.)
The analogues of Steps 1, 2 for the density Hales-Jewett theorem are then
 Step 1. If  is dense but has no combinatorial lines, then  has an increased density on a (local) complexity  set . 
 Step 2. Any (local) complexity  set  can be partitioned into moderately large combinatorial subspaces (plus a small remainder).
We can sketch how Step 1 works as follows. Given any , let  denote the string formed by replacing all s with s, e.g. . Similarly define . Observe that  forms a combinatorial line (except in the rare case when  doesn’t contain any s). Thus if we let , , we see that  must avoid essentially all of . On the other hand, observe that  and  are -insensitive and -insensitive sets respectively. Taking complements and using the same sort of pigeonhole argument as before, we obtain the claim. (Actually, this argument doesn’t quite work because ,  could be very sparse; this problem can be fixed, but requires one to use local complexity  sets rather than global ones, and also to introduce the concept of “equal-slices measure”; I will not discuss these issues here.)
Step 2 can be reduced, much as before, to the following analogue of Step 2a:
 Step 2a. Any -insensitive set  can be partitioned into moderately large combinatorial subspaces (plus a small remainder).
Identifying the letters  and  together, one can quotient  down to ; the preimages of this projection are precisely the -insensitive sets. Because of this, Step 2a is basically equivalent (modulo some technicalities about measure) to
 Step 2a’. Any  can be partitioned into moderately large combinatorial subspaces (plus a small remainder).
By the greedy algorithm, we will be able to accomplish this step if we can show that every dense subset of  contains moderately large subspaces. But this turns out to be possible by carefully iterating Sperner’s theorem (which shows that every dense subset of  contains combinatorial lines).
This proof of Theorem 1 seems to extend without major difficulty to the case of higher , though details are still being worked out.
 —  3. The triangle removal argument  — 
The triangle removal lemma of Ruzsa and Szemerédi is a graph-theoretic result which implies the corners theorem (and hence Roth’s theorem). It asserts the following:
Lemma 5 (Triangle removal lemma)  For every  there exists  such that if a graph  on  vertices has fewer than  triangles, then the triangles can be deleted entirely by removing at most  edges. 
Let’s see how the triangle removal lemma implies the corners theorem. A corner is, of course, already a triangle in the geometric sense, but we need to convert it to a triangle in the graph-theoretic sense, as follows. Let  be a subset of  with no corners; the aim is to show that  has small density. Let  be the set of all horizontal lines in ,  the set of vertical lines, and  the set of diagonal lines (thus all three sets have size about ). We create a tripartite graph  on the vertex sets  by joining a horizontal line  to a vertical line  whenever  and  intersect at a point in , and similarly connecting  or  to . Observe that a triangle in  corresponds either to a corner in , or to a “degenerate” corner in which the horizontal, vertical, and diagonal line are all concurrent. In particular, there are very few triangle in , which can then be deleted by removing a small number of edges from  by the triangle removal lemma. But each edge removed can delete at most one degenerate corner, and the number of degenerate corners is , and so  is small as required.
All known proofs of the triangle removal lemma proceed by some version of the following three steps:
 “Regularity lemma step”: Applying tools such as the Szemerédi regularity lemma, one can partition the graph  into components  between cells  of vertices, such that most of the  are “pseudorandom”. One way to define what pseudorandom means is to view each graph component  as a subset of the Cartesian product , in which case  is pseudorandom if it does not have a significant density increment on any smaller Cartesian product  of non-trivial size. 
 ”Counting lemma step”: By exploiting the pseudorandomness property, one shows that if  has a triple  of dense pseudorandom graphs between cells  of non-trivial size, then this triple must generate a large number of triangles; hence, if  has very few triangles, then one cannot find such a triple of dense pseudorandom graphs. 
 ”Cleaning step”: If one then removes all components of  which are too sparse or insufficiently pseudorandom, one can thus eliminate all triangles.
Pulling this argument back to the corners theorem, we see that cells such as  will correspond either to horizontally insensitive sets, vertically insensitive sets, or diagonally insensitive sets. Thus this proof of the corners theorem proceeds by partitioning  in three different ways into insensitive sets in such a way that  is pseudorandom with respect to many of the cells created by any two of these partitions, counting the corners generated by any triple of large cells in which A is pseudorandom and dense, and cleaning out all the other cells.
It turns out that a variant of this argument can give Theorem 1; this was in fact the original approach studied by the polymath1 project, though it was only after a detour through ergodic theory (as well as the development of the density-increment argument discussed above) that the triangle-removal approach could be properly executed. In particular, an ergodic argument based on the infinitary analogue of the triangle removal lemma (and its hypergraph generalisations) was developed by Austin, which then inspired the combinatorial version sketched here.
The analogue of the vertex cells  are given by certain -insensitive sets , -insensitive sets , and -insensitive sets . Roughly speaking, a set  would be said to be pseudorandom with respect to a cell  if  has no further density increment on any smaller cell  with  a -insensitive subset of , and  a -insensitive subset of . (This is an oversimplification, glossing over an important refinement of the concept of pseudorandomness involving the discrepancy between global densities in  and local densities in subspaces of .) There is a similar notion of  being pseudorandom with respect to a cell  or .
We briefly describe the “regularity lemma” step. By modifying the proof of the regularity lemma, one can obtain three partitions 
 into -insensitive, -insensitive, and -insensitive components respectively, where  are not too large, and  is pseudorandom with respect to most cells , , and .
In order for the counting step to work, one also needs an additional “stationarity” reduction, which is difficult to state precisely, but roughly speaking asserts that the “local” statistics of sets such as  on medium-dimensional subspaces are close to the corresponding “global” statistics of such sets; this can be achieved by an additional pigeonholing argument. We will gloss over this issue, pretending that there is no distinction between local statistics and global statistics. (Thus, for instance, if  has large global density in , we shall assume that  also has large density on most medium-sized subspaces of .)
Now for the “counting lemma” step. Suppose we can find  such that the cells  are large, and that  intersects , , and  in a dense pseudorandom manner. We claim that this will force  to have a large number of combinatorial lines , with  in ,  in , and  in . Because of the dense pseudorandom nature of  in these cells, it turns out that it will suffice to show that there are a lot of lines  with , , and .
One way to generate a line  is by taking the triple , where  is a generic point. (Actually, as we will see below, we would have to to a subspace of  before using this recipe to generate lines.) Then we need to find many  obeying the constraints 
 Because of the various insensitivity properties, many of these conditions are redundant, and we can simplify to 
 Now note that the property “” is 123-insensitive; it is simultaneously 12-insensitive, 23-insensitive, and 13-insensitive. As  is assumed to be large, there will be large combinatorial subspaces on which (a suitably localised version of) this property “” will be always true. Localising to this space (taking advantage of the stationarity properties alluded to earlier), we are now looking for solutions to 
 We’ll pick  to be of the form  for some . We can then rewrite the constraints on  as 
 The property “” is 123-invariant, and  is large, so by arguing as before we can pass to a large subspace where this property is always true. The largeness of  then gives us a large number of solutions.
Taking contrapositives, we conclude that if  in fact has no combinatorial lines, then there do not exist any triple  of large cells with respect to which  is dense and pseudorandom. This forces  to be confined either to very small cells, or to very sparse subsets of cells, or to the rare cells which fail to be pseudorandom. None of these cases can contribute much to the density of , and so  itself is very sparse – contradicting the hypothesis in Theorem 1 that  is dense (this is the “cleaning step”). This concludes the sketch of the triangle-removal proof of this theorem.
The ergodic version of this argument, due to Austin, works for all values of , so I expect the combinatorial version to do so as well.
 —  4. The finitary Furstenberg-Katznelson argument  — 
In 1989, Furstenberg and Katznelson gave the first proof of Theorem 1, by translating it into a recurrence statement about a certain type of stationary process indexed by an infinite cube . This argument was inspired by a long string of other successful proofs of density Ramsey theorems via ergodic means, starting with the initial 1977 paper of Furstenberg giving an ergodic theory proof of Szemeredi’s theorem. The latter proof was transcribed into a finitary language by myself, so it was reasonable to expect that the Furstenberg-Katznelson argument could similarly be translated into a combinatorial framework.
Let us first briefly describe the original strategy of Furstenberg to establish Roth’s theorem, but phrased in an informal, and vaguely combinatorial, language. The basic task is to get a non-trivial lower bound on averages of the form 
 where we will be a bit vague about what  are ranging over, and where  is some non-negative function of positive mean. It is then natural to study more general averages of the form 
 Now, it turns out that certain types of functions  give a negligible contribution to expressions such as (2). In particular, if  is weakly mixing, which roughly means that the pair correlations 
 are small for most , then the average (2) is small no matter what  are (so long as they are bounded). This can be established by some applications of the Cauchy-Schwarz inequality (or its close cousin, the van der Corput lemma). As a consequence of this, all weakly mixing components of  can essentially be discarded when considering an average such as (1).
After getting rid of the weakly mixing components, what is left? Being weakly mixing is like saying that almost all the shifts  of  are close to orthogonal to each other. At the other extreme is that of periodicity – the shifts  periodically recur to become equal to  again. There is a slightly more general notion of almost periodicity – roughly, this means that the shifts  don’t have to recur exactly to  again, but they are forced to range in a precompact set, which basically means that for every , that  lies within  (in some suitable norm) of some finite-dimensional space. A good example of an almost periodic function is an eigenfunction, in which we have  for each  and some quantity  independent of  (e.g. one can take  for some ). In this case, the finite-dimensional space is simply the scalar multiples of  (and one can even take  in this special case).
It is easy to see that non-trivial almost periodic functions are not weakly mixing; more generally, any function which correlates non-trivially with an almost periodic function can also be seen to not be weakly mixing. In the converse direction, it is also fairly easy to show that any function which is not weakly mixing must have non-trivial correlation with an almost periodic function. Because of this, it turns out that one can basically decompose any function into almost periodic and weakly mixing components. For the purposes of getting lower bounds on (1), this allows us to essentially reduce matters to the special case when  is almost periodic. But then the shifts  are almost ranging in a finite-dimensional set, which allows one to essentially assign each shift  a colour from a finite range of colours. If one then applies the van der Waerden theorem, one can find many arithmetic progressions  which have the same colour, and this can be used to give a non-trivial lower bound on (1). (Thus we see that the role of a compactness property such as almost periodicity is to reduce density Ramsey theorems to colouring Ramsey theorems.)
This type of argument can be extended to more advanced recurrence theorems, but certain things become more complicated. For instance, suppose one wanted to count progressions of length ; this amounts to lower bounding expressions such as 
 It turns out that  being weakly mixing is no longer enough to give a negligible contribution to expressions such as (3). For that, one needs the stronger property of being weakly mixing relative to almost periodic functions; roughly speaking, this means that for most , the expression  is not merely of small mean (which is what weak mixing would mean), but that this expression furthermore does not correlate strongly with any almost periodic function (i.e.  is small for any almost periodic ). Once one has this stronger weak mixing property, then one can discard all components of  which are weakly mixing relative to almost periodic functions.
One then has to figure out what is left after all these components are discarded. Because we strengthened the notion of weak mixing, we have to weaken the notion of almost periodicity to compensate. The correct notion is no longer that of almost periodicity – in which the shifts  almost take values in a finite-dimensional vector space – but that of almost periodicity relative to almost periodic functions, in which the shifts almost take values in a finite-dimensional module over the algebra of almost periodic functions. A good example of such a beast is that of a quadratic eigenfunction, in which we have  where  is itself an ordinary eigenfunction, and thus almost periodic in the ordinary sense; here, the relative module is the one-dimensional module formed by almost periodic multiples of . (A typical example of a quadratic eigenfunction is  for some .)
It turns out that one can “relativise” all of the previous arguments to the almost periodic “factor”, and decompose an arbitrary  into a component which is weakly mixing relative to almost periodic functions, and another component which is almost periodic relative to almost periodic functions. The former type of components can be discarded. For the latter, we can once again start colouring the shifts  with a finite number of colours, but with the caveat that the colour assigned is no longer independent of , but depends in an almost periodic fashion on . Nevertheless, it is still possible to combine the van der Waerden colouring Ramsey theorem with the theory of recurrence for ordinary almost periodic functions to get a lower bound on (3) in this case. One can then iterate this argument to deal with arithmetic progressions of longer length, but one now needs to consider even more intricate notions of almost periodicity, e.g. almost periodicity relative to (almost periodic functions relative to almost periodic functions), etc.
It turns out that these types of ideas can be adapted (with some effort) to the density Hales-Jewett setting. It’s simplest to begin with the  situation rather than the  situation. Here, we are trying to obtain non-trivial lower bounds for averages of the form 
 where  ranges in some fashion over combinatorial lines in , and  is some non-negative function with large mean.
The analogues of weakly mixing and almost periodic in this setting are the -uniform and -low influence functions respectively. Roughly speaking, a function is -low influence if its value usually doesn’t change much if a  is flipped to a  or vice versa (e.g. the indicator function of a -insensitive set is -low influence); conversely, a -uniform function is a function  such that  is small for all (bounded) . One can show that any function can be decomposed, more or less orthogonally, into a -uniform function and a -low influence function, with the upshot being that one can basically reduce the task of lower bounding (4) to the case when  is -low influence. But then  and  are approximately equal to each other, and it is straightforward to get a lower-bound in this case.
Now we turn to the  setting, where we are looking at lower-bounding expressions such as 
 with .
It turns out that  (say) being -uniform is no longer enough to give a negligible contribution to the average (5). Instead, one needs the more complicated notion of  being -uniform relative to -low influence functions; this means that not only are the averages  small for all bounded , but furthermore  is small for all bounded  and all -low influence  (there is a minor technical point here that  is a function of a line rather than of a point, but this should be ignored). Any component of  in (5) which is -uniform relative to -low influence functions are negligible and so can be removed.
One then needs to figure out what is left in  when these components are removed. The answer turns out to be functions  that are -almost periodic relative to -low influence. The precise definition of this concept is technical, but very roughly speaking it means that if one flips a digit from a  to a , then the value of  changes in a manner which is controlled by -low influence functions. Anyway, the upshot is that one can reduce  in (5) from  to the components of  which are -almost periodic relative to -low influence. Similarly, one can reduce  in (5) from  to the components of  which are -almost periodic relative to -low influence.
At this point, one has to use a colouring Ramsey theorem – in this case, the Graham-Rothschild theorem – in conjunction with the relative almost periodicity to locate lots of places in which  is close to  while  is simultaneously close to . This turns (5) into an expression of the form , which turns out to be relatively easy to lower bound (because , being projections of , tend to be large wherever  is large).]</t>
  </si>
  <si>
    <t>C3151</t>
  </si>
  <si>
    <t>gave a talk RE the proof sketches</t>
  </si>
  <si>
    <t>Metacomment., I gave a talk at UCLA on the three combinatorial proofs (or proof sketches) we have, namely the density increment-based proof, the triangle-removal proof (based on Austin’s ergodic proof), and the finitary Furstenberg-Katznelson proof, with some notes at, http://terrytao.wordpress.com/2009/04/02/polymath1-and-three-new-proofs-of-the-density-hales-jewett-theorem/</t>
  </si>
  <si>
    <t>C3152</t>
  </si>
  <si>
    <t>I tried this</t>
  </si>
  <si>
    <t>plan to revisit the proofs</t>
  </si>
  <si>
    <t>I plan to revisit the writeups I have of the triangle removal proof and the Furstenberg-Katznelson proof, and clean them up – right now I get the sense that they’re not really readable by anyone other than myself.  But it does seem like the optimal strategy is to move slowly, in case some simplifications crop up that can be taken advantage of., For instance, I found it very useful in those two proofs to play around with substitution maps such as  (defined as the map that takes a string x in  and changes all the 1s in positions in I to 2s) in order to build lines (e.g. (x, ,  is a line whenever x has at least one 1 in I).  This might help with some of the arguments in the density-increment argument, though I haven’t checked it.</t>
  </si>
  <si>
    <t>CTao_37809</t>
  </si>
  <si>
    <t>“It is easy to see that Proposition 4 implies Theorem 1 (for instance, one could consider the infimum of all  for which the theorem holds, and show that having this infimum non-zero would lead to a contradiction). ”, I’m probably missing something, but I can’t see how this leads to a contradiction. What if the infimum is 1/2 and , when  is less than , and  otherwise? Or is c assumed to be continuous?, One more question: Does  depend on ? (Still in proposition 4)</t>
  </si>
  <si>
    <t>CTao_37818</t>
  </si>
  <si>
    <t>quick note</t>
  </si>
  <si>
    <t>1230. Alternate slice notation, Quick note: when strings get larger the above notation is obviously impractical and not very general, so it’s probably best to have  mean Gil’s indexing starting at 1 and  be my own starting at 0.</t>
  </si>
  <si>
    <t>CTao_37819</t>
  </si>
  <si>
    <t>text adjusted</t>
  </si>
  <si>
    <t>Dear Sune,, Yes, one needs some assumption that  has some uniform bound away from zero for  in a compact set (which is of course automatic if c is continuous), and yes,  is allowed to depend on .  I’ve adjusted the text accordingly.</t>
  </si>
  <si>
    <t>CTao_37822</t>
  </si>
  <si>
    <t>In connection with the two previous posts., I think it is rather common in applications of the density increment strategy that  is an increasing function; say, in the standard capset problem argument, we have  (up to lower order terms). It is not difficult to show that if  is a positive constant, , and , then for a non-negative integer  with   we have . (This is nearly best possible: if , then .), It might be a nice little project to prove a sharp result of this sort under an assumption like , with fixed .</t>
  </si>
  <si>
    <t>CTao_37823</t>
  </si>
  <si>
    <t xml:space="preserve">1231. Alternate slice notation visual comparison, Just for fun, here’s 3^2 with four different slice types:, </t>
  </si>
  <si>
    <t>CTao_37826</t>
  </si>
  <si>
    <t>Ben</t>
  </si>
  <si>
    <t>link fix</t>
  </si>
  <si>
    <t>Terry, your link to “unpublished notes of McCutcheon” seems to have been mangled by WordPress: it should be, Click to access HJk3.pdf, Corrected, thanks – T.</t>
  </si>
  <si>
    <t>CTao_37838</t>
  </si>
  <si>
    <t>Dear Terry, , there also seems to be something wrong with the link to the ‘subsequent paper’ by Furstenberg and Katznelson. The correct link should be http://math.stanford.edu/~katznel/dhj12.pdf, Ah, my conversion software is having some trouble with tildes, apparently.  Fixed – T.</t>
  </si>
  <si>
    <t>CTao_37842</t>
  </si>
  <si>
    <t>please post &amp; remind me if you have questions</t>
  </si>
  <si>
    <t>1232., I wanted to mentioned before it slips my mind that I expanded my GA to strings in 4^n, 5^n, 6^n and 7^n.  I haven’t had the time to try very hard but I did make an improvement in the lowerbound of 6^3 of 1031.  Things keep coming up but I will try to remember to exhibit the solution.  If I don’t and someone is curious about this, please make a post on my blog and remind me or something like that., Cheers.</t>
  </si>
  <si>
    <t>CTao_37843</t>
  </si>
  <si>
    <t>1233. GA lower bound 1031, Possibly could that be the Moser set 6^4 has a lower bound of 1031? 6^3 is 216.</t>
  </si>
  <si>
    <t>CTao_37869</t>
  </si>
  <si>
    <t>Mats Granvik</t>
  </si>
  <si>
    <t>1234., Dear Terence Tao,, It appears that except for the first term, sequence A156989 in the oeis
is given by the expression A105659(A101976) + A000027 – 2.
That is: 0, 2, 6, 18, 52, 150, 450</t>
  </si>
  <si>
    <t>CTao_37871</t>
  </si>
  <si>
    <t>1235., Thanks Kristal.  Yes I meant 6^4.</t>
  </si>
  <si>
    <t>CTao_37872</t>
  </si>
  <si>
    <t>1236. OEIS sequence, Mats, I get a sequence starting 0, 4, 17, 42, 123 . . ., 1*1+1-2 = 0
2*2+2-2 = 4
4*4+3-2 = 17
5*8+4-2 = 42, Am I reading your expression wrong?</t>
  </si>
  <si>
    <t>CTao_37873</t>
  </si>
  <si>
    <t>1237. Fujimura disjoint triangle cover, David, it might also be useful to have the same information about near-covers, that is, covering  and ., At the least constructive proofs of the covers seem to leave the door open for upper bound improvement, although I’m still noodling with that.</t>
  </si>
  <si>
    <t>CTao_37877</t>
  </si>
  <si>
    <t>1238. Colorings avoiding geometric lines, Let M(n,r) be defined as the least dimension of an n-cube such that any r-coloring of it has a monochromatic line. We will show M(3,2) =3.
It is greater than 2 since we can color the square of side three as follows , 221
112
212, To see that it is three must show that every two coloring of the three dimensional cube of side 3 must have a monochromatic geometric line. We start by noting that one of the colors must have the center point then we subtract the Pareto optimal statistics from the total number of points in each class then we get a set of possible statistics that are the only statistics except for those which we get by adding points which correspond to the original statistics with one central point with points removed., We start with (8,12,6,1) and subtract (3,6,3,1), (4,4,3,1) and (4,6,2,1) getting (5,6,3,0), (4,8,3,0) and (4,6,4,0). Of these only (4,6,4,0) is an extremiser. Now it has two four points with two 2’s. So it must have a pair with the same c-statistic slice on the coordinate of this pair which is not equal to two and we get two side slices which are squares with the central spot occupied. Without loss of generality let the first coordinate be the one with two points with the same c-statistic., No suppose that there is a second pair of points with two 2’s with the same c-statistic  then in the center slice the center and the two points with two 2’s will be empty and hence form a line in the other color and this gives a contradiction so we must have the two remaining points having different c-statistics., Now without loss of generality let the two remaining points with two twos that are in the center slice be (2,2,1) and (2,1,2).
Then look at the points (1,1,1), (3,1,3), and (3,3,1) only one can be in the set because of possible monochromatic lines formed by (2,2,1), (2,1,1) and (3,2,2). Similarly of the points (3,1,1), (1,1,3) and (1,3,1) can contain only one element in the set because of possible monochromatic lines formed by (2,2,1), (2,1,1) and (1,2,2)., Since we must have four points with no twos by the above we must have the points (1,3,3) and (3,3,3) in the set. This will exclude the point (2,3,3).
Since the point (2,3,3) is excluded and the center slice must contain 4 points the point (2,1,1) must be excluded or it will eliminate all possible remaining points due to possible lines., Because of a possible line with (1,3,3) and (1,2,2) the point (1,1,1) must be excluded. Similarly because of a possible line with (3,3,3) and (3,2,2) the point (3,1,1) must be excluded., But now with (1,1,1), (2,1,1) and (3,1,1) excluded by the above they must be in the other color where they form a monochromatic line and we are done and M(3,2) =3.</t>
  </si>
  <si>
    <t>C3160</t>
  </si>
  <si>
    <t>possible structure</t>
  </si>
  <si>
    <t>1065. Writing up., Here’s a possible structure for a write-up of the density-increment argument. I’m planning to make a start on this, but I’ll try to make it as modular as possible so that if people want to then it may be possible, without a major rewrite of the whole thing, (i) to make local changes and (ii) to switch the order about., \author{Polymath}
\address{The world} Not, of course, intended to be taken seriously., \begin{document}, \title{A new proof of the density Hales-Jewett theorem}, \maketitle, \section{Introduction}, Basic definitions and statement of the theorem., History of and motivation for the problem., Discussion of related results, including the corners theorem., \section{A sketch proof of the corners theorem}, A fairly detailed sketch of the modified Ajtai-Szemer\’edi argument., \section{Different measures on $k^n$.}, Definition of equal-slices measure and the P\’olya urn measure., Motivation for considering these other measures., Proofs that dense sets in any of those two measures or the uniform
measure can be restricted to subspaces where they retain their
density in any other of the measures., \section{Three important lemmas}, \subsection{The multidimensional Sperner theorem.}, \subsection{A dense line-free set correlates locally with a 12-set.}, \subsection{A 23-insensitive set can be almost entirely partitioned into
fairly large combinatorial subspaces.} , \section{A proof of the theorem for $k=3$.}, \section{A proof of the general theorem}, \subsection{Uniform DHJ(k-1) implies that an equal-slices-dense
subset of $k-1^n$ contains many combinatorial subspaces.}, \subsection{Putting everything together.}, \end{document}</t>
  </si>
  <si>
    <t>CTao_37893</t>
  </si>
  <si>
    <t>1239. Re:1236., Jason, the expression with the parentheses means that A101976 is used as an index to A105659. In other words lookup the A101976:th number in sequence A105659, then add A000027 and subtract two., Doing it backwards as I originally did it, you can lookup 2 5 16 49 146 445 without separating commas in the search., The position of those numbers are given by sequence A101976.</t>
  </si>
  <si>
    <t>CTao_37905</t>
  </si>
  <si>
    <t>1240. re: David’s 1218
There are some studies of the “diatance distribution” for error correcting codes, and for linear codes this is equivalent to asking about the densities in every slice. (In particular, about the equal slice measure.) In fact, the linear programming method is based on solving linear programs for the entire distance distribution. (I am not so sure if talking about slices is so natural in the non linear case.), For example, the conjecture that for (say linear) error-correcting codes that correct a linear number of errors the Gilbert-Varshamov bound is asymptotically optimal, can be strenghtened to Gilbert Varshamov being asymptotically optimal for every slice (and the density in a slice with  ‘1’s will thus be  where  is the minimal distance. (Nati linial and I studied such distance distributions in an old paper of ours.) Anyway, I think trying to relate questions discussed here with error-correcting codes would be very nice. But such a connection is, so far, far., Also it is worth mentioning that for Sperner’s theorem  there is a complete description (sharper than the LYM inequalities) of the possible “f-vectors” namely the number of sets of every possible size. (and this follows from the Kruskal-Katona’s theorem). But it would be ultra optimistic to hope for something like this in DHJ(3).</t>
  </si>
  <si>
    <t>CTao_37906</t>
  </si>
  <si>
    <t>A minor typo to correct: in “ must avoid essentially all of “, the cross product should be replaced with the intersection. Also, it is not clear to me exactly how “taking complements … we obtain the claim”: we may obtain, say, that  has a density increment on , but  is not an insensitive set?</t>
  </si>
  <si>
    <t>C3165</t>
  </si>
  <si>
    <t>also I can work on this soon but not now</t>
  </si>
  <si>
    <t>1066. Dear Tim, I still don’t have enough time to work out the details of the proof. Next week is the last week of classes here, so I will make some progress after that, I hope. Until then let me ask a question about the second outline of a density-increment argument. I don’t understand the argument after Substep 2.2. In each step you keep a  “portion” of Z and partition the remaining B into  classes. Elements which partitioned into different classes will never be considered together in a subspace again. What I can’t see is that why will be the intersection of the 1-set and the 2 set  large in a subspace? Isn’t it possible that only a small subset of the 1-set is element of a subspace ? Most likely I overlooked something. I will check it tomorrow again.</t>
  </si>
  <si>
    <t>CTao_37918</t>
  </si>
  <si>
    <t>Thanks for the correction!  As for your question, it turns out that the complement of (say) a 13-insensitive set is automatically a 13-insensitive set also (much as the complement of a vertically insensitive set is vertically insensitive).</t>
  </si>
  <si>
    <t>CTao_37922</t>
  </si>
  <si>
    <t>1241. 4D Moser, If a Moser set has 4 points with 3 2’s and its size is 41
or more then it must not have any set of two points with three twos with
the same c statistic. We have already shown that if a Moser set has 4 points with 3 2’s and its size is 41
or more then it must not have two sets of two points with three twos with
the same c statistic. See post 1171 in https://terrytao.wordpress.com/2009/03/14/dhj3-1100-1199-density-hales-jewett-type-numbers/ , We start by assuming we have such a pair and as noted above only one pair the we slice on that the coordinate of that pair say i getting two slide slices with 13 or less points that means that the center slice must have 15 point or more it cannot have sixteen as it has at least one point with three twos in the configuration which becomes a point with two 2’s in the central slice and prevents the only realization of sixteen points from occurring since it has no points with two 2’s. Further we see from the Pareto optimal statistics for Moser sets for n=3 at the Moser wiki we see its distribution must be (4,9,2) we slice the center cube along one of the coordinates j in which there is a point with three twos then one outside slice without loss of generality say j=1 with the point with three twos must have that point at its center and hence have a maximum of 5 points and at most two points with three twos. the center slice has no center point and one point with three twos(we know it is not in the other outside slice because we have only one set of two points with the same c statistic and they are outside the center cube. Because of this the center slice can have at most 4 and it can contain at most three points with two twos, so the remaining slice  j =3 must have all four points with two twos., Now the two side slices since they have thirteen points must have statistics (3,6,3,1) or (4,6,2,1) each. So each of the diagonals connecting points with one two in the slice overall must have at least one point and that means that if we cut each of the side cubes along the same coordinate we cut the center cube we get there are a total four points with one two in the two side slices and if they are divided 2, 2. We can pick two pairs one point in a pair in each slice such there is a correspondence between the  pairs of the points in that the coordinates j are equal. If they are divided 1,3 again there is a correspondence between the one point and one of the three such that the coordinates except for j are equal., Now in the case of division 2-2 or 1-3 in the above we get a contradiction as follows be we have the above correspondences plus another one in the cube j=1 since it has its center spot occupied combined they give there are one or two points with the same center coordinates except for  i in the cube j equals three but the center square of j=3 contains all its points with two two’s which block all lines between points with identical coordinates except for j and i equal to three and we get a line so we must have a four zero split, and since that split must have four points in each side cube and the center slice contains of j=3 contains all of it line so must have at most four of these point and the cube j=1 contains its center point and contains at most four of these points, these points must lie on either the squares i=1,j=3 and i=3,j=1 or i=1,j=1 and i=3,j=3 but then they will form a diagonal cube with i=2,j=2 which contains one point with three twos and this  forms a line with one of the pairs of these four points on the diagonal cube and we are done.</t>
  </si>
  <si>
    <t>CTao_37925</t>
  </si>
  <si>
    <t>1220; 1222</t>
  </si>
  <si>
    <t>1242. Fujimura disjoint triangle cover, Ok, let P(k,S) denote the statement “the triangular lattice with k points per side admits a partition into disjoint equilateral triangles, such that, for each number k’ in set S, the three corner sublattices with k’ points per side are also partitioned into equilateral triangles”., We’ve seen
(1) P(k,S) =&gt; P(3k,S u {k}) Jason Dyer 1220 and
(2) P(k,S) and j in S =&gt; P(3k-2j,S u {k}) me 1222., But we also have
(3) P(k,S) =&gt; P(3k+2,S u {k}).
To see this, in a (3k+2)-lattice, place six copies of the P(k,S) partition, three in each corner and three centered on each side. There are two points left over on each side edge of the (3k+2)-lattice that form an equilateral triangle with a point near the middle of the lattice. The remaining points form three  regions that are translates of each other in an equilateral pattern and can be covered with congruent equilateral triangles having one point per region. The cover for the 8-lattice is an example of this construction., So we have
P(2,Ø) — obvious
P(6,{2}) — by (1) from P(2,Ø)
P(8,{2}) — by (3) from P(2,Ø)
P(14,{2,6}) — by (2) from P(6,{2})
P(20,{2,6}) — by (3) from P(6,{2})
P(20,{2,8}) — by (2) from P(8,{2})
P(24,{2,8}) — by (1) from P(8,{2})
P(26,{2,8}) — by (3) from P(8,{2})
P(30,{2,6,14}) — by (2) from P(14,{2,6})
36: NO SOLUTION KNOWN
P(38,{2,6,14}) — by (2) from P(14,{2,6})
P(42,{2,6,14}) — by (1) from P(14,{2,6})
P(44,{2,6,14}) — by (3) from P(14,{2,6})
P(44,{2,8,20}) — by (2) from P(20,{2,8})
P(48,{2,6,20}) — by (2) from P(20,{2,6})
50: NO SOLUTION KNOWN
54: NO SOLUTION KNOWN
P(56,{2,6,20}) — by (2) from P(20,{2,6})
P(56,{2,8,20}) — by (2) from P(20,{2,8})
P(60,{2,6,20}) — by (1) from P(20,{2,6})
P(60,{2,8,20}) — by (1) from P(20,{2,8})
P(62,{2,6,20}) — by (3) from P(20,{2,6})
P(62,{2,8,20}) — by (3) from P(20,{2,8}), It’s starting to look likely that there’s a solution whenever the side length is 0 or 2 mod 6.</t>
  </si>
  <si>
    <t>CTao_37930</t>
  </si>
  <si>
    <t>1243. Fujimura disjoint triangle cover, I forgot that my program had already found a solution for 12. Tripling that gives 36. So the first unknown sizes are 50 and 56., Also, in the 3n+2 construction, there’s no need to treat the six leftover side points and the three center points as distinct from the three congruent regions. It’s simpler just to think of this as a partition of the (3n+2)-triangular lattice into six n-lattices and three upside-down (n+1)-lattices.</t>
  </si>
  <si>
    <t>CTao_37938</t>
  </si>
  <si>
    <t>adjusting code for omissions</t>
  </si>
  <si>
    <t>1244. Fujimura disjoint triangle cover, Ok, after noticing several more erroneous omissions in the list above, I wrote a program to run the various lattice-tripling patterns for me. Among the possible triangular lattice sizes (congruent to 0 or 2 mod 6) up to 1000, it only fails to find a solution for 32, 66, 96, 192, 288, 572, and 578., If the size-12 solution can have size-1 equilateral triangles in all four of its corners (that is, in the previous notation, P(12,{2}) — I haven’t checked, but this should be within reach of hand search or the search algorithm I posted earlier), then the only size without a known solution up to 5000 would be 66. So it seems that these tripling rules are almost enough to solve all possible lattice sizes.</t>
  </si>
  <si>
    <t>C3170</t>
  </si>
  <si>
    <t>1066. (contd.) I still can’t see how to finish the sequence of iterations. The question is that what happens when Substep 2.3 ends. Given this rapidly growing family of partitions. If a partition is sparse then we don’t do anything with it, if dense AND large enough, then we find a subspace in it. What happens at the end when we have many small and dense partition classes?  I’m stucked. I’ll get my morning coffee now…, I don’t know if this fully answers your question, but when we have a dense set, we don’t just find a subspace in it — we find a whole family of subspaces whose union is dense. Therefore, the number of steps in the iteration is bounded. But I’m answering this question without looking at the proof — I’ll give another answer in a moment., I’ve had another look, and I still don’t quite understand what your difficulty is, so I’ll have to hope that my first reply answers it, or at least prompts you to explain what it is in terms that I understand better., During the iterations if a  is sparse, the you do nothing with it, if it is dense then you choose . The union of them, Z, has size at most M. It works fine until  has size at least M. What do you do with smaller -s? I don’t see that this error term – the number of elements remaining in small  is small., Maybe I didn’t follow the right algorithm; Do we have a good bound on the number of iterations? I think that now I see; For any element, there is a very high probability that after a few iterations this elements in a selected subspace. Right?, I still don’t understand, but largely for “local” reasons. For instance,  is a subset of a subspace  Since the number of iterations is bounded, we can ensure that the dimension of  is much larger than  all the time. When you talk about the cardinality of  do you actually mean the dimension of  and when you say “at least” do you actually mean “less than”?, Also, it’s not clear to me whether your problem arises when we almost partition a 1-set, or only when we look at the intersection of a 1-set with a 2-set. Assuming it’s the first, then here is the rough idea of the argument., We begin by choosing  coordinates and partitioning  into  subspaces according to those coordinates. We then choose  inside the  chosen coordinates such that for many  the subspace  is a subset of  Then we remove all subspaces of the form  from  This removes a positive fraction (depending on  and the error  you want to end up with) of the elements of  Also, one can check that after removing these elements, the restriction of the remaining set to any of the  subspaces  is still a 1-set. Therefore, we can iterate, except that we do nothing if we have a set of density less than  in a given subspace. Let us call such sets discarded. The total measure of the discarded sets cannot be more than  since they are contained in disjoint subspaces inside which they have relative density at most , After a bounded number  of iterations (depending on  and ) we have either discarded or put into subspaces all but at most  of  and there is always space to do this provided that  is substantially less than  So provided  is large enough, the argument works. , I’ve written that in the hope that you either agree with it or can point to the bit where I seem to be going wrong. (Even if it is wrong, I have theoretical reasons for believing that some argument like this has to work, at least if Terry’s argument about correlations with 1-sets implying correlations with subspaces was correct, which it seemed to be.), Tim, first of all I agree that the original argument works even for an incomplete partitioning. I don’t think that the argument is incomplete, I’m just slow following it. In this particular case, I think that I didn’t see the good bound on the number of iterations, I though that the fast growing number of partition classes might be a problem.</t>
  </si>
  <si>
    <t>C3171</t>
  </si>
  <si>
    <t>dense =&gt; whole family of subspaces</t>
  </si>
  <si>
    <t>I don’t know if this fully answers your question, but when we have a dense set, we don’t just find a subspace in it — we find a whole family of subspaces whose union is dense. Therefore, the number of steps in the iteration is bounded. But I’m answering this question without looking at the proof — I’ll give another answer in a moment.</t>
  </si>
  <si>
    <t>C3172</t>
  </si>
  <si>
    <t>what's the difficulty</t>
  </si>
  <si>
    <t>I’ve had another look, and I still don’t quite understand what your difficulty is, so I’ll have to hope that my first reply answers it, or at least prompts you to explain what it is in terms that I understand better.</t>
  </si>
  <si>
    <t>C3174</t>
  </si>
  <si>
    <t>During the iterations if a  is sparse, the you do nothing with it, if it is dense then you choose . The union of them, Z, has size at most M. It works fine until  has size at least M. What do you do with smaller -s? I don’t see that this error term – the number of elements remaining in small  is small.</t>
  </si>
  <si>
    <t>C3175</t>
  </si>
  <si>
    <t>Maybe I didn’t follow the right algorithm; Do we have a good bound on the number of iterations? I think that now I see; For any element, there is a very high probability that after a few iterations this elements in a selected subspace. Right?</t>
  </si>
  <si>
    <t>C3176</t>
  </si>
  <si>
    <t>question &amp; statement</t>
  </si>
  <si>
    <t>questions &amp; answers</t>
  </si>
  <si>
    <t>I still don’t understand, but largely for “local” reasons. For instance,  is a subset of a subspace  Since the number of iterations is bounded, we can ensure that the dimension of  is much larger than  all the time. When you talk about the cardinality of  do you actually mean the dimension of  and when you say “at least” do you actually mean “less than”?, Also, it’s not clear to me whether your problem arises when we almost partition a 1-set, or only when we look at the intersection of a 1-set with a 2-set. Assuming it’s the first, then here is the rough idea of the argument., We begin by choosing  coordinates and partitioning  into  subspaces according to those coordinates. We then choose  inside the  chosen coordinates such that for many  the subspace  is a subset of  Then we remove all subspaces of the form  from  This removes a positive fraction (depending on  and the error  you want to end up with) of the elements of  Also, one can check that after removing these elements, the restriction of the remaining set to any of the  subspaces  is still a 1-set. Therefore, we can iterate, except that we do nothing if we have a set of density less than  in a given subspace. Let us call such sets discarded. The total measure of the discarded sets cannot be more than  since they are contained in disjoint subspaces inside which they have relative density at most , After a bounded number  of iterations (depending on  and ) we have either discarded or put into subspaces all but at most  of  and there is always space to do this provided that  is substantially less than  So provided  is large enough, the argument works. , I’ve written that in the hope that you either agree with it or can point to the bit where I seem to be going wrong. (Even if it is wrong, I have theoretical reasons for believing that some argument like this has to work, at least if Terry’s argument about correlations with 1-sets implying correlations with subspaces was correct, which it seemed to be.)</t>
  </si>
  <si>
    <t>C3177</t>
  </si>
  <si>
    <t>Tim, first of all I agree that the original argument works even for an incomplete partitioning. I don’t think that the argument is incomplete, I’m just slow following it. In this particular case, I think that I didn’t see the good bound on the number of iterations, I though that the fast growing number of partition classes might be a problem.</t>
  </si>
  <si>
    <t>C3178</t>
  </si>
  <si>
    <t>So, what you proved is a strong partition in the following sense; For every  and m, there is a number K, that any c-dense 1-set has a large, -dense subset which is the disjoint union of (several) translates of K m-dimensional subspaces.</t>
  </si>
  <si>
    <t>CTao_37950</t>
  </si>
  <si>
    <t>1245.  HJ k&gt;3, I have had the programs running during the weekend and they have improved the bounds for two pairs of values., 
, I have updated my table page and the solutions are available there too.</t>
  </si>
  <si>
    <t>C3182</t>
  </si>
  <si>
    <t>David Rutter</t>
  </si>
  <si>
    <t>proof-discovery tree allows for checked dependences; mechanical organization includes proof compilation</t>
  </si>
  <si>
    <t>I like the way the “proof-discovery tree” very much resembles a software dependency tree.  Since dependencies are checked and dependents automatically compiled in, it seems possible that this idea could easily be implemented in web software.  In particular, it could be mechanically organized so that when a proof-discovery tree is complete, the software has already compiled the proof in a single page.  All that would need to be done to make a paper would be to clarify the proof output (by, for instance, changing duplicate variable names and adding more coherent English transitions between proof steps) in ways that software would find difficult.</t>
  </si>
  <si>
    <t>CTao_37958</t>
  </si>
  <si>
    <t>another work does this</t>
  </si>
  <si>
    <t>Sascha Kurz research paper</t>
  </si>
  <si>
    <t>Metacomment., The sequence primary to Granvik.1234 is A105659, which was sent in to the OEIS by Sascha Kurz., Sascha Kurz’s research page has quite a few papers about integral point sets, although I haven’t found the sequence in question. I have emailed the author to hopefully get further info., I have no idea why integral triangles would be linked to combinatorial lines in such a manner.</t>
  </si>
  <si>
    <t>CTao_37971</t>
  </si>
  <si>
    <t>Jonathan Vos Post</t>
  </si>
  <si>
    <t>OEIS as a valuable collaborationware; does it matter if the HiPPO is the one who hits "publish"?</t>
  </si>
  <si>
    <t>I withdrew my submission 24 hours earlier of A156989 in favor of Terry Tao’s submission, because I have 2130 sequences there already, and the world of mathematics would benefit from more directly from Dr. Tao. OEIS is a tremendously valuable collaborationware. I now consider it, among other things, a kind of alpha test of Polymath1.</t>
  </si>
  <si>
    <t>CTao_37973</t>
  </si>
  <si>
    <t>1246. Fujimura disjoint triangle cover, Theorem: for all n congruent to 0 or 2 mod 6, the triangular lattice with n points per side can be partitioned into (upwards oriented) triples of points forming the vertices of equilateral triangles., Proof: We show more strongly by induction that such a partition exists in which the outer three points in each corner of the lattice are each covered by triangles of the partition. As a base case, it’s trivial for n=2., When n=0 or 6 mod 18, the result follows by partitioning the lattice into six upwards-oriented sublattices of size n/3 and three downwards-oriented sublattices of size n/3 – 1, per 1220. The upwards sublattices can be partitioned by induction and the downwards sublattices are translates of each other in an equilateral triangle and together can be partitioned into congruent triangles with one vertex per downwards sublattice., Similarly, when n = 2 or 8 mod 18, the result follows by partitioning the lattice into six upwards-oriented sublattices of size n/3 and three downwards-oriented sublattices of size n/3 + 1, per 1242., When n = 14 mod 18, the result follows by covering the lattice by six upwards-oriented sublattices of size (n+4)/3 that overlap only on their corners, with six downwards-oriented sublatices of size (n+4)/3 – 5 in an equilateral triangle pattern, per 1222., When n = 12 mod 18, the result follows by placing three upwards-oriented sublattices of size (n+6)/3 centered on each side of the lattice, overlapping in a size-2 sublattice in the center of the lattice, and placing three upwards-oriented sublattices of size (n+6)/3 – 4 in the corners of the lattice, leaving three downwards-oriented sublattices of size (n+6)/3 – 3 in an equilateral triangle pattern., This covers all possible values mod 18, so the result is proven.</t>
  </si>
  <si>
    <t>CTao_37975</t>
  </si>
  <si>
    <t>gap in partial proof</t>
  </si>
  <si>
    <t>Follow-up to previous comment: there’s a gap in the proof. The claimed decomposition for 12 mod 18 actually works for 14 mod 18. If you try it for 12 mod 18 the three side-centered sublattices will have too large an area of overlap.</t>
  </si>
  <si>
    <t>C3190</t>
  </si>
  <si>
    <t>specific to writing the proof</t>
  </si>
  <si>
    <t>1068.  Hi Tim, re the outline in 1065:  , Looks good.  One question:  It looks like you’ve divided the proof into three main lemmas: multidim-Sperner (more generally, multidim-DHJ(k-1)), line-free set correlating with intersections of ij-insensitive sets, and ij-insensitive sets being partitionable. , It seems to me that the Varnavides-version of multidim-Sperner (more generally, multidim-DHJ(k-1)) may as well be considered the basic lemma. Where will this go?, Putting it into \subsection{The multidimensional Sperner theorem} makes sense to me, although then the actual \section{A proof of the theorem for $k=3$.} might be quite short.  On the other hand, if it goes into the proof section itself, then the multidim-Sperner therem subsection will be awfully short (might as well just quote Gunderson-Rodl-Sidorenko)., The latter seems less modular to me, so I guess what I’m ultimately suggesting is that \subsection{The multidimensional Sperner theorem} be more like \subsection{The Varnavides multidimensional Sperner theorem}., Except that I strongly vote for using a more generic descriptor than “Varnavides”.  There’s got to be a catchy word that indicates to the reader that not only do dense sets contain lines, a random line is in there with positive probability., —, Also, I’m still of two minds as to whether “Equal-Slices” should be treated as the main distribution, with Polya as a slight variant, or vice versa.</t>
  </si>
  <si>
    <t>C3191</t>
  </si>
  <si>
    <t>pre-writing fix notation &amp; terminology</t>
  </si>
  <si>
    <t>1069. Notation and terminology., Pre-writing, it might be helpful to fix our notation and terminology.  I know it’s not crucial, but I think getting just the write names and letters can really help a reader.  We may also try to keep things switchable via appropriate use of macros and the xspace package in LaTeX (see the first two comments to the post here: http://terrytao.wordpress.com/2007/06/08/advice-on-mathematical-careers-and-mathematical-writing/), although I must confess I sometimes find it tough to rigorously stick to using macros., Anyway, here are some questions we might debate:, . are sets called $A$ or $\mathcal{A}$?
. what should “Equal-Slices” measure actually be called (e.g., do probabilists already call this something else?)
. what “Polya Urn” measure should actually be called? (same question)
. what letter to use for each of them?  what letter to use for the uniform distribution?
. how to denote drawing a random line or a random subspace from them?
. k = {0, 1, …, k-1} or {1, 2, …, k}?
. unify terminology of ij-set, (special) set of complexity t, ij-insensitive set, etc.
. questions from the previous post: what short words/phrases can we use to indicate that not only do dense subsets of 3^n contain lines, they actually contain large-dimensional subspaces, and in fact a random large-dimensional subspace is in with positive probability?</t>
  </si>
  <si>
    <t>CTao_38009</t>
  </si>
  <si>
    <t>1248: Fujimura triangles, If you have a solution for n, you can get a solution for 2n+2.
First cover the 2n+2 grid with the smallest triangles.
That leaves an n grid of twice the size., That together with the previous post gives a solution for 30 mod 36.</t>
  </si>
  <si>
    <t>CTao_38026</t>
  </si>
  <si>
    <t>1234; 1239</t>
  </si>
  <si>
    <t>1249., What I said here in 1234 and 1239 does not hold. The next term with this method would have been 1473 which is outside the bounds for $latex $.</t>
  </si>
  <si>
    <t>CTao_38027</t>
  </si>
  <si>
    <t>1249.
Oops, I got the latex wrong I meant c7.</t>
  </si>
  <si>
    <t>CTao_38032</t>
  </si>
  <si>
    <t>1250. Density Moser theorems implies DH(k) for all k, If we take a point from n^k and map it to 2^k points in 2n^k as follows f(p) is the set of points such that the ith coordinate value is either the ith value of p or 2k-p. This will give 2^k possible points for each point p and thus preserve density., If there is a geometric line in the 2k set it corresponds to a combinatorial line in the k set as pairs of the form 2k-i and i which are the two possible ith points of a geometric line are images of i and so from a geometric line we get a combinatorial line in the original. This is a generalization for a specific result involving 3 and 6 already known., We can use this as follows if we have a proof that if a cube of side n has density epsilon and there is a dimension high enough that it has a geometric line and this is true for all n Call this DM(n), we can get DHJ(n) for all n. To see this suppose we do not have DHJ(k) for a specific k then we can use the above mapping which preserves density to get a Moser set with side 2k with epsilon for all dimensions n such that there is no geometric line and this contradicts  DM(n) for the specific values epsilon and  2k. This could be used to possibly simplify proofs of DHJ(k) and its consequences.</t>
  </si>
  <si>
    <t>CTao_38064</t>
  </si>
  <si>
    <t>1251: Fujimura, size 12, Referring to 1244, here is a solution to size 12 with a small triangle in each corner:
a,
aa,
bhj,
bbjj,
chlhq,
cckorv,
dglnlvv,
eggoqotq,
eekprkurx,
dimdswuuxx,
fiinsstnytz,
ffmpmwpwyyzz.</t>
  </si>
  <si>
    <t>CTao_38066</t>
  </si>
  <si>
    <t>1252. Fujimura, disjoint triangles, Proof that an equilateral triangle of sides 6n, 6n+2 can be split into equilateral triangles., Further, they can be covered so that the three corners contain length-2 triangles., Further, if the side is more than 204, they can be covered so the three corners contain separate length-6 triangles., Take David’s three rules from 1242.
(1) P(k,S) =&gt; P(3k,S u {k})
(2) P(k,S) and j in S =&gt; P(3k-2j,S u {k})
(3) P(k,S) =&gt; P(3k+2,S u {k}).
Add a fourth rule from 1248:
(4) P(k,S) =&gt; P(2k+2, 2 U (2S+2) ), Let Q(k) be the property P(k,{2,6}).
We can do induction if n &gt;34.
Suppose Q(6n) and Q(6n+2) are true
then Q(6n) -&gt; Q(18n-4),Q(18n-12),Q(18n),Q(18n+2)
and Q(6n+2) -&gt; Q(18n+2),Q(18n-6),Q(18n+6),Q(18n+8)
-&gt; Q(18n+m) for m=-6,-4,0,2,6,8
-&gt; Q(6p) and Q(6p+2) are true for p=3n-1, 3n, 3n+1, All that remains now is to establish P(k,S) for k below 204, and Q(6k),Q(6k+2) for k between 35 and 104.  My Matlab routine, based on the four rules, said it was true.</t>
  </si>
  <si>
    <t>CTao_38067</t>
  </si>
  <si>
    <t>1253. HJ , I decided try out a variation of the earlier constructions for large sets without combinatorial lines. Consider all sets of the following type: A point  is in  if the sum of the coordinates of  belongs to .
The  construction considering the divisors of k is a special case of this kind of set., It is easy to modify the integer programs to sets of this kind. The results are here
http://abel.math.umu.se/~klasm/Data/HJ/
The numbers of optimal solutions are quite small., The optimal set of this type for (5,4) actually improved the lower bound for  from 708 to 712.</t>
  </si>
  <si>
    <t>CTao_38077</t>
  </si>
  <si>
    <t>1254. Colorings avoiding geometric lines, Let M(n,r) be defined as the least dimension of an n-cube such that any r-coloring of it has a monochromatic line.
We will show:, M(2k,r) is greater than or equal to HJ(k,r) and
M(2k+1,r) is greater than or equal to HJ(k,r)., If we have a r-coloring of k^n
which is combinatorial line free then
we give the color each point of 2k (a,b,c..
to each point (a or 2k-a, b or 2k-b and
get a geometric line free coloring as a geometric
line would force a combinatorial line in the orginal coloring
so  M(2k,r) is greater than or equal to HJ(k,r)., Similarly
if we have a r-coloring of k^n
which is combinatorial line free then
we give the color each point of 2k (a,b,c..
to each point (a or 2k-a+1, b or 2k-b+1 and
get a geometric line free coloring as a geometric
line would force a combinatorial line in the orginal coloring
so  M(2k+1,r) is greater than or equal to HJ(k,r).</t>
  </si>
  <si>
    <t>CTao_38079</t>
  </si>
  <si>
    <t>Another minor typo of the same kind in “products of -insensitive and -insensitive”., Another point not quite clear to me concerns with deducing corners from DHJ(3). Given a subset of , we associate with it a subset of , and seek a combinatorial line in this latter subset. The problem is, the fact that the original subset of  is dense does not seem to guarantee that the resulting subset of  is dense; consider, for instance, the subset . Is this, indeed, a problem to address, or am I missing something?, Thanks!</t>
  </si>
  <si>
    <t>CTao_38080</t>
  </si>
  <si>
    <t>Thanks for the correction!  It’s true that the mapping I mentioned only establishes the corners theorem directly for dense subsets of  rather than  (using Stirling’s formula), but then one can recover the general case by replacing n by n^2 and using translation invariance.</t>
  </si>
  <si>
    <t>CTao_38087</t>
  </si>
  <si>
    <t>1255. Hyper-optimistic conjecture for Moser sets, If we look at the question of whether the  weight of a set that is geometric line free is equal to
the greatest number of slices in a geometric line free set we get
the hyper-optimistic conjecture for Moser sets. For 2 the question is trivially true
since we are allowed only one point and there are single points that are slices., For 3 and 4 since there are two slice sets that contain geometric lines the number
of slices in a geometric set is linear and quadratic respectively for a density of c/n
in the slice space and this will transfer over to a maximum density of all sets composed of slices of I think
1/n^.5 and this in turn should I think give colorings of less than 1/n^.5 must have a monochromatic line.
Beyond 3 and 4 the colorings start getting better at 5. Can these numbers
be improved by some sort of nonslice division of points. Or for that matter is there a conterexample to the this conjecture for Moser sets.</t>
  </si>
  <si>
    <t>C3203</t>
  </si>
  <si>
    <t>transfer &amp; questions</t>
  </si>
  <si>
    <t>Hi,, I transferred Tim’s outline (and Ryan’s questions) to the wiki at, http://michaelnielsen.org/polymath1/index.php?title=Outline_of_first_paper, I figure that the wiki format might be better for the topmost level of organising the paper, and then we can switch to LaTeX once all the top-level stuff is finalised., Some thoughts on notation:, I guess, on balance, that k={1,…,k} looks slightly nicer than k={0,…,k-1}; the 0-based notation is slightly more “logical”, but we don’t seem to derive any substantial benefit from it.  So I’m weakly in favour of {1,…,k}., We can borrow from geometry and use the notation Gr( k^n, d ) to denote the d-dimensional subspaces of k^n (a “combinatorial Grassmanian”).  I don’t know what to call the measures on this space though.  Does every measure  on  canonically define a measure on ?  It seems to me that one needs some additional parameters to specify such a measure., “A” versus “” – I would prefer A, as I want to think of a subset of  as a set of points, rather than a collection of sets (which is what the  notation suggests to me).  The one problem with using A is that we are also likely to be using A for subsets of  in the corners theorem, and if we are going to discuss the reduction of corners to DHJ then there might be a very slight notational clash there.  But perhaps this is actually a good thing, since we want to use the corners argument to motivate the DHJ one…, As for the last question, what about “Hales-Jewett property” for containing lines, “subspace Hales-Jewett property” for containing subspaces, and “subspace Hales-Jewett-Varnavides property” for containing subspaces with positive probability?  (thus, e.g. “dense ij-insensitive sets obey the subspace Hales-Jewett-Varnavides property”)?</t>
  </si>
  <si>
    <t>CTao_38096</t>
  </si>
  <si>
    <t>1255. Hyper-optimistic conjecture for Moser sets correction, In the above the lower bound for the density for moser sets n=3 and 4 deri ed from slices should be something like
1/n^5 but with a factor of log n as well. That will also affect the colorings by a factor of log n as well.</t>
  </si>
  <si>
    <t>CTao_38133</t>
  </si>
  <si>
    <t>278. Edel?, Just to remark that the upper bound for , ascribed in 228. to Edel, is actually present in Meshulam’s paper, in the most explicit form.</t>
  </si>
  <si>
    <t>CTao_38148</t>
  </si>
  <si>
    <t>Peake.1189</t>
  </si>
  <si>
    <t>1256. Regarding , Following my 1189, I have found a saturated solution of  in which all five points of the major diagonal are among the 125 deleted points.  I think that makes it different from the other solutions.  I have put it in the wiki.  I can’t see how to generalize it yet., Also, regarding the dissection of the Fujimura triangle into disjoint triangles, there are 118 solutions when n=8, and millions when n=12.  So my proof that involved triangles with n&gt;600 was probably overkill.</t>
  </si>
  <si>
    <t>CTao_38149</t>
  </si>
  <si>
    <t>1257., The solution for  that I put in the wiki was just a disguised version of the solution we already have:  Replace the digits (0,1,2,3,4) by (3,4,0,2,1), then for all 125 points (x,y,z,w), x+y+z+2w is a multiple of 5.</t>
  </si>
  <si>
    <t>CTao_38176</t>
  </si>
  <si>
    <t>1258. Lower bound for density of combinatorial line free k cube of side n, From 1170 we get a formula for slice desity based on
lower bounds for sets without k term geometric progressions
and we get if k is greater than 2^n +1
C\frac{\sqrt2n{log N}}{2^{n2^{(n-1)/2}\sqrt2n{log N}}}, Now if we restrict ourselves to several standard deviations from the mean
then all the slices will be roughly the same size
as the limit of (1+1/c(n^.5))^c(n^.5) is roughly e^-c
the density is roughly the same there will be a factor of 1/2^5 on the constant multiplying the exponent 2^c(log n)^.5
also in the original I think N had to be k*n+1 since the values for which the arithmetic series are excluded go from 0 to kn and here that range would be roughly c(n^.5)</t>
  </si>
  <si>
    <t>CTao_38177</t>
  </si>
  <si>
    <t>also a paper link</t>
  </si>
  <si>
    <t>1258. Correction and further remarks, It should be side k and dimension N
n is used in the formula
the argument has already been used in the wiki to
get the asymptote for c_n based on a set of slices
close to even distribution by a multiple of square root
of n so here I am extending this argument for cases greater than three
using the most recent bound for k arithmetic progression free sets
from, Click to access 0811.3057v2.pdf, and we get if k is greater than 2^n +1, C\frac{\sqrt2n{log k(cN^.5)+1}}{2^{n2^{(n-1)/2}\sqrt2n{log K(cN^5}+1}, where here capital N is dimension and n is an integer entirely separate
from N dependent of k</t>
  </si>
  <si>
    <t>C3221</t>
  </si>
  <si>
    <t>paper work - authors, outline, etc</t>
  </si>
  <si>
    <t>I have collected up a small amount of free time and was planning to put some time into the writing-up.  I agree that it will be nice to fix the overall outline before starting.  Here are some more comments:, . I propose continuing this discussion not here but on the discussion page of the wiki page Terry made for the paper outline.  I will copy this post to that page too.  , . Since I will likely never finish it, I put a link to my old outline of the proof on the wiki’s home page.  I kind of like that outline too 🙂 although of course it’s quite similar to Tim’s.  , . Changed “author” from “Polymath” to “A. Polymath” (as Terry had suggested a while ago).  Reasons: a) Automatic indexing systems probably like authors to have both a “first name” and a “last name”.  This will help the author list to get sorted under “P”.  b) The next projects could be authored by “B. Polymath”, “C. Polymath”, “ZZ. Polymath”, etc.  This would also help get all projects sorted under “P”, yet differentiate the author groups.  c) Subtle allusion to A. Nilli. 🙂, . Address: perhaps could change to the URL of the wiki.  Perhaps we should get a stabler one?  I suppose we’ll need a corresponding address for the paper-journal version though…, . I agree with Terry’s votes for k = {1, …, k} and  rather than ., . I’ll admit it, I always find the terminology Grassmannian “scary”. If it were me I would just try to refer to “d-dimensional subspaces”.  Not sure we need a name for the set 🙂, . Naming the distributions:  I think the phrase “equal slices” is unbelievably catchy, and this is cute.  On the other hand, it’s hard to deny the officialness of “random ordered 3-partition“.  I mean, such terms are in Chapter 1 of Stanley 🙂  Either becomes a bit of a mouthful when you get to its sister distribution: “equal nondegenerate slices” or “ordered weak 3-partition” (“weak” = “parts of size 0 allowed”, apparently).  So I don’t know…  , . For the letter, who knows?  I’m kind of against  as it sounds like the uniform distribution to me.   is a nice letter for measures.  Or maybe  (for “line”) or  (for “partition”)…, . For the last question, I know Varnavides’s name gets attached to this notion, but I must say it is the opposite of evocative for a nonexpert like me.  It actually took me a good few hundred blog posts before I understood that “Varnavides = contains random lines w. positive prob.”  Guided by Tim’s spirit of trying to make the paper as easy-to-read as possible, how about…, “DHJ(3) = Nonnegligible sets in 3^n contain a line.”  Then:
“Nonnegligible sets in 3^n contain a high-dimensional subspace.”
“Nonnegligible sets in 3^n contain a nonnegligible fraction of lines.”
“Nonnegligible sets in 3^n contain a nonnegligible fraction of high-dimensional subspaces.”, Wordy, perhaps, but I think it gets the idea across straight away. Also, using the same word “nonnegligible” subtly gets across the key fact that we’re actually talking about the same distribution.., Or does this just sound too weird to an arithmetic combinatorialist’s ears?</t>
  </si>
  <si>
    <t>C3222</t>
  </si>
  <si>
    <t>edits</t>
  </si>
  <si>
    <t>almost all agree</t>
  </si>
  <si>
    <t>Ryan, I agree with almost all of what you say. My main quibble would be that I prefer “sets of positive density” to “nonnegligible sets”. Of course, that really means “density bounded away from 0 as n tends to infinity” but that kind of shorthand is very standard. So I’d end up with something more like, “Sets of positive density in 3^n contain a positive proportion of all lines/subspaces.”, I’ve never liked Varnavides getting his name attached to a very standard averaging argument., My vote would be for “equal-slices” with a comment about how it relates to known terminology., I’m slightly more in favour of  than you and Terry, but I see arguments on both sides and so am perfectly willing to be outvoted on that one.</t>
  </si>
  <si>
    <t>C3224</t>
  </si>
  <si>
    <t>outline adjustment</t>
  </si>
  <si>
    <t>I modified the outline slightly to reflect the preceding discussion.  I also added a sample abstract, but am not seriously committed to it, feel free to modify., I also added some queries, for instance: should we have a section explaining what Polymath is, the history of the project, and/or the names of contributors?, I also added a discussion section where we can talk about quantitative bounds, relationships to other proofs of DHJ, and other sundry topics.</t>
  </si>
  <si>
    <t>C3225</t>
  </si>
  <si>
    <t>I committed to giving a talk about this at Microsoft Research in 3 weeks, so I am thinking now more about the structure.  A few thoughts that occurred to me after this morning’s work:, . It wasn’t too productive to worry much about the name of the distribution, since I invariable referred to it by its letter anyway.  I was writing  for the distribution on ., . It was more convenient to think of the equal nondegenerate-slices distribution as  and of equal-slices as the “variant”.  This was because the nondegenerate version seems to show up more in the statements of results, whereas the pure equal-slices seems to show up more in the grungy technical details of measure arguments., . It wasn’t too important to name the set of d-dimensional subspaces either, because the point of the distribution  is that lines are identified with strings in , and more generally, -dimensional subspaces of  are identified with strings in ., . It may be convenient (I was doing this at one point) to write things like $\latex \nu_4^n(A) \geq \delta’$ to mean, “if one chooses a random line in , it is entirely contained within  with probability at least “., . I agree that “dense” is better than “nonnegligible”, after all.  E.g., on my roughest sketches of slides, I was writing things like:, “DHJ(3) = if  with , then $\latex \nu_4(A) &gt; 0$; i.e., if  has constant -density then it has positive -density.”, “DHJ(3) implies if  with , then $\latex \nu_4(A) \geq \delta’ = \delta'(\delta)$.” the Varnavides version, “DHJ(3) implies if  with , then $\latex \nu_{3+d}(A) \geq \delta’ = \delta'(\delta,d)$.” the Varnavides version for -dimensional subspaces, etc., To be continued…</t>
  </si>
  <si>
    <t>C3226</t>
  </si>
  <si>
    <t>Here is another structural idea that I was using in my slides draft — which might also be worth considering for the paper version:, First, a section on probability distributions and the various technical lemmas., Second, a section showing how to deduce the contains-a-subspace, contains-a-constant-density-of-lines, and contains-a-constant-density-of-subpsaces versions of DHJ from the simple, contains-a-line version., Third, sections on the argument for ij-insensitive sets, partitioning these into subspaces, density increment, etc., The idea of this structure is that it kind of isolates the more “essential” ideas involved in pulling up DHJ(3) from DHJ(2) from some of the more generic stuff.  I.e., a sophisticated reader of the paper might skim through the “second” section described above and say, “yeah, yeah, okay, I get the idea from the sketches, this all seems like straightforward tricks and things”, and feel like “nothing has happened yet” after the second section.  , This I think would be good; this feeling of “nothing has happened yet” is what I’d hope for.  Then, when they settled in to read the third (and succeeding?) sections they’d feel like they were properly starting the argument — which is the feeling I’d actually like to convey.</t>
  </si>
  <si>
    <t>C3227</t>
  </si>
  <si>
    <t>picking the name for the author</t>
  </si>
  <si>
    <t>As a tiny point:  It occurred to me that sequential ordering of initials — A., B., C., Polymath — will never work; it was hard enough to get comments numbered consistently.  How would various groups known not to step on each other’s initials?  Heck, for all I know the other, small- thread may already have taken A. Polymath.  Perhaps the initials could be chosen in a problem-centric way, then; I would of course propose “D.H.J. Polymath”.</t>
  </si>
  <si>
    <t>C3228</t>
  </si>
  <si>
    <t>Also: Terry, the abstract you wrote looks good to me.</t>
  </si>
  <si>
    <t>C3229</t>
  </si>
  <si>
    <t>Ryan, I definitely like your “nothing has happened yet” approach. At best, we could get the technical stuff down to some easily comprehensible black boxes that would make the later proofs very streamlined, and I think that ideal may be attainable.</t>
  </si>
  <si>
    <t>CTao_38191</t>
  </si>
  <si>
    <t>1259. 4D Moser, If a 4D Moser set has more than 40 points and 4 points with three
2’s it must have the following statistics:, (6,16,15,4,0,0), We have from post 1113 that only the following statistics are possible:, (6,16,15,4,0), (7,16,14,4,0), (7,17,13,4,0), and (7,18,12,4,0)., and from post 1241, If a Moser set has 4 points with 3 2’s and its size is 41
or more then it must not have any set of two points with three twos with
the same c statistic. , We look at the number of points with one two each one must appear in exactly one of the four possible middles cubes from the four possible coordinate slices, hence if the number of these points is greater than 16 then there must be one such middle cube with five of these points
then by 1241 we know that there must be three points with three twos in the cube as well as otherwise there would be two with the same c statistic  so we check the pareto optimizers from the wiki and find there is only one satisfying 5 something 3 something and that is (5,4,3,0)
so the center has 12 points and distribution (5,4,3,0) and the cube with
the remaining point with three twos has thirteen  points so the remaining cube must have 16 points and hence distribution (4,12,0,0) and the distribution of the other side cube since has thirteen points must be
(3,6,3,1) or (4,6,2,1) but this gives a total of 5 + 12+ 6 points with one two
which is two many for any of the possible sets of statistics so the only
distribution that is possible is the one with 16 points with one two
namely (6,16,15,4,0) and we are done.</t>
  </si>
  <si>
    <t>C3233</t>
  </si>
  <si>
    <t>technical difficulties</t>
  </si>
  <si>
    <t>I hope so too.  By the way, it appears as though the blog is down.</t>
  </si>
  <si>
    <t>C3234</t>
  </si>
  <si>
    <t>I hope so too.  By the way, it appears as though the blog is down.  Or more precisely, Michael Nielsen’s whole site is down.</t>
  </si>
  <si>
    <t>C3235</t>
  </si>
  <si>
    <t>resolved difficulties</t>
  </si>
  <si>
    <t>Seems like the blog just went back up., Also, I understand now a small point that Tim clearly understood a while ago; namely, it is not necessary to show an abundance of d-dimensional subspaces to execute the partitioning step.  Rather, that step only uses existence of a d-dimensional subspace.  , Although one may as well prove abundance at some point, for kicks.</t>
  </si>
  <si>
    <t>C3240</t>
  </si>
  <si>
    <t>how to do the partitioning argument</t>
  </si>
  <si>
    <t>I’ve been thinking about the partitioning argument.  Here are a few points:, . Seems to me the partitioning is pretty much the center part of the argument.  I mean, once everything is set up, the part about a line-free set correlating with an intersection of ij-insensitive sets is, well, no more than 2 or 3 sentences.  So partitioning might deserve a section of itself, or even a billing as “the main lemma”., . I don’t currently see a natural way to do it under something other than the uniform product distribution.  That would be a bit of a shame if true, since it would be nice if we didn’t have to do *too* much back and forth and back and forth and back with the measures.  For example, I was hoping we wouldn’t have to dust this argument off, but perhaps we will.  I want to think about it., . In Terry’s UCLA talk description of it, he describes the partitioning step as “quotient down to , then use the greedy algorithm to pick out large-dimensional subspaces”.  Picking out large-dim subspaces in  is particularly easy if you’re willing to appeal to GRS.  Can the actual argument for the partitioning really be made this easy?  (I know Terry was short on space &amp; time and so of course could not write out a full argument.), . Does anybody actually know the GRS argument cold?  (Jozsef?)  From some brief glances, it looks like they’re also doing a “partitioning” style argument…, Hi Ryan, I think we should partition a 1-set, , instead of a set system  like in the GRS. Probably that’s what you meant, I just want to emphasize that this partition is quite different (and as I see it is much stronger) from GRS. I would put GRS as a reference there, and would write the probabilistic argument for the almost perfect tiling. If you wish you can leave this part to me, I wanted to write more about it anyways.</t>
  </si>
  <si>
    <t>C3241</t>
  </si>
  <si>
    <t>Hi Ryan, I think we should partition a 1-set, , instead of a set system  like in the GRS. Probably that’s what you meant, I just want to emphasize that this partition is quite different (and as I see it is much stronger) from GRS. I would put GRS as a reference there, and would write the probabilistic argument for the almost perfect tiling. If you wish you can leave this part to me, I wanted to write more about it anyways.</t>
  </si>
  <si>
    <t>C3257</t>
  </si>
  <si>
    <t>outline proof</t>
  </si>
  <si>
    <t>she is doing a good job of summarizing work here</t>
  </si>
  <si>
    <t>1070. Outline of a proof of DHJ(3), I have an outline of a proof of DHJ(3) and an outline of its extension to DHJ(n) I am going to post them here to see if anyone sees any gaps or errors. If it works I think it would be simpler then the current proof., Outline of proof of DHJ(3)
We get an 12 insensitive set.
We get a space of density epsilon
Actually this could be a much smaller constant function of epsilon
inside the 12 insensitive set so it inherits the 12 insensitivity.
We get a space in which the only coordinates
That change are 2 and 3 with density delta
much lower than epsilon.
We do this be getting a subspace of the original
space which projects down to this space if the preimage
that projects down to the space has density epsilon
for each point then we are done otherwise.
We remove the point that has the low density get
A slight increase in the density of the remaining spaces
Associated with the preimages in the then take one
of the preimages that has the slightly higher density
and repeat the process this will result in a density
increment if we cannot repeat the process often
so it terminates
and we get a set of primages with the desired density
from which we can get  the desired space., Then we use DHJ(2) to get a
combinatorial line of length two in the space.
We use the fact the space is 12 insensitive to
extend the line to length 3 and we are done.</t>
  </si>
  <si>
    <t>C3258</t>
  </si>
  <si>
    <t>1071 Outline of proof of DHJ(n), We get an 12 insensitive set.
We get a space of density epsilon
Actually this could be a much smaller constant function of epsilon
inside the 12 insensitive set so it inherits the 12 insensitivity.
We get a space in which the only coordinates
That change are two through n with density delta
much lower than epsilon.
We do this be getting a subspace of the original
space which projects down to this space if the preimage
that projects down to the space has density epsilon
for each point then we are done otherwise.
We remove the point that has the low density get
A slight increase in the density of the remaining spaces
associated with the preimages in the then take one
of the preimages that has the slightly higher density
and repeat the process this will result in a density
increment if we cannot repeat the process often
so it terminates and from the primages at the terminal step we get the desired space., We use DHJ(n-1) to get a Combinatorial line of length n-1 in the space
We use the fact the space is 12 insensitive to
extend the line to length n and we are done.</t>
  </si>
  <si>
    <t>C3259</t>
  </si>
  <si>
    <t>1072. I’m afraid I’d need a lot more detail before I even began to understand that. Just to give a few examples, what do you mean by “We get” at the beginning? What does the second line mean? , I’m potentially interested though, because you seem to be going for a Shelah-type approach, which I was attempting to do in some earlier comments. Do you think you could expand on what you have written? Perhaps if it would be on the long side you could do it on the wiki — perhaps just for k=3 to start with.</t>
  </si>
  <si>
    <t>C3266</t>
  </si>
  <si>
    <t>something not working</t>
  </si>
  <si>
    <t>1073. I can’t get the 12 insensitive sets as easily as I thought. The idea won’t work without them.  I doubt I can fix this.</t>
  </si>
  <si>
    <t>C3267</t>
  </si>
  <si>
    <t>1074.  Outline., I’ve thought for a while and I can’t really see how to carry out the partitioning argument under the equal-slices distribution.  For every technical difficulty that I worked around, a new one would pop up, and I was never able to simultaneously handle all of them.  (The main problem: what “progress measure” to keep track of, akin to the “total uniform-distribution mass”.)  I still hold the intuition that there should be a slick way to do it, but I’m stuck.  Perhaps one could turn the whole argument into a “density-increment on an ij-insensitive set” argument rather than a “density-increment on a subspace” argument…?, In any case, I therefore reluctantly propose that in the writeup, the uniform distribution be treated as the “main” distribution, with equal-slices as a secondary distribution one needs to slip in and out of to facilitate the argument.  I say reluctantly because I feel that the equal-slices distribution on lines is so natural that it may even be that there is some superb (polynomial?!?) relationship between equal-slices point-density in  and equal-slices line-density in .  It would be nice to spend some time thinking about global obstructions., Anyway, I guess that means the outline of the measure-changing tricks is:, 1. Start with a set of uniform density ., 2. Argue that one can pass to a subspace where both the -equal-slices and -equal-slices density are at least .  (Or else, one can get a subspace where the -equal-slices density increments — in which case, one can further pass to a subspace where the uniform density increments.), 3. Either find a line, or get an equal-slices density increment inside an intersection of 13-insensitive and 23-insensitive sets., 4. Use this argument to convert this into a uniform-distribution density increment inside an intersection of 13-insensitive and 23-insensitive sets.  (One has to note that that argument preserves the property of being an intersection of 13-insensitive and 23-insensitive sets.), 5. Run the partitioning argument under the uniform distribution.  Note that that argument doesn’t really need “subspace richness” per se, because it implicitly proves it anyway.  (It’s okay, I think, to have  to include a  factor.)  I.e., all it needs is existence of d-dimensional subspaces for -uniform dense sets., 6. Thus get a uniform density-increment on a subspace.</t>
  </si>
  <si>
    <t>CTao_38254</t>
  </si>
  <si>
    <t>1260. 4D Moser, A 4D Moser set with 4 points with three threes has 40 points or less.
By the reasoning of the above post each slice of a Moser set must have 4 points or less with one 2in the center cube. Since from the above we must have 16 of these points and each point only appears in one coordinate slice the division must be exactly 4 4 4 4., No extremal slice can be 16 if so it has distribution (4,12,0,0) by the Pareto optimizers and hence since by the above the distribution of points with one two must include exactly 4 in the center slice we have a total of 16 and hence none in the other extremal set which contains its center point then by looking at the Pareto optimizers we see that we have to remove 6 points from a thirteen point or four points from a 11 point set in order to realize this and this gives at most 8 points then we have 8 + 16 points for the two side slices and we need 17 points in the center slice which cannot be realized., So we have the side slice without the center point must have 15 points or less. Next we show that the center slice must have 14 points or less. By the above it must have 4 points with one two but this gives a distribution
of (4 x y z) note the points with one two in this slice count as points with no 2 in the internal statistics of the cube. The center slice must have y = to three because we have already established that there are no two points with the same c-statistic so we must have statistics (4 x 3 0)
which looking at the Pareto optimizers must have 14 points or less.
(I will continue this in the next post .)</t>
  </si>
  <si>
    <t>CTao_38255</t>
  </si>
  <si>
    <t>1261. 4D Moser set, Continued from 1260:, Now we recall that now two points with three twos can have the same c-statistic then we can assume without loss of generality that all such points have the coordinate not equal to 2 equal to one. Then we look at the points
(1 1 3 2) (1 3 1 2) (3 1 1 2) Only one of these can be in the Moser set because otherwise a line will be formed with the points with three 2’s under the above assumption.  Now that means that under one of the coordinate cuts must have a diagonal connecting two points with one two. empty and that means that it can have at most 5 points with one two since each of the other diagonals have at most one point. That implies that the there must be at most 12 points in this cube since the other points have at most 14 and 15 points we must have the distribution 12 14
15 or we will have less than 41 points. Then the statistics of the
cube must be (3 5 3 1) or ( 4 5 2 1) and the other side cube
must have statistics ( 3 9 3 1) (4 9 2 1) or  (4 11 0 0)
or (3 12 0 0) but since we have the statistics (6 15 16 4 0) we can only have the choice (3 5 3 1) and the choices (3 9 3 1) and (3 12 0 0)
or we would have more than 6 points with no 2’s and we can discard
the possiblity (3 12 0 0) because it would give more than 16 points with one 2.  So we must have (3 5 3 1) and (3 9 3 1) and this gives center slice
(2 9 3 0) but this has less than four points with two twos and will force another slice to have more than 4 and so we are done.</t>
  </si>
  <si>
    <t>CTao_38256</t>
  </si>
  <si>
    <t>1261. Correction, The first sentence should read recall that no two points with three twos can have the same c-statistic.</t>
  </si>
  <si>
    <t>CTao_38261</t>
  </si>
  <si>
    <t>human proof</t>
  </si>
  <si>
    <t>1262., Kristal, this is great!  Looks like we are on track to produce a human proof of the  theorem, though if I recall correctly we used Klas’s data in other places as well than the  bound for 41+ Moser sets.  Also, my reduction of the statistics used Michael’s data for the n=3 Moser sets, which was a brute force search over the  possibilities if I recall correctly.  But that is at least a computation that is easily reproduced, and can probably be proven by human methods also.</t>
  </si>
  <si>
    <t>CTao_38268</t>
  </si>
  <si>
    <t>p.s. if you could transcribe the argument to the wiki, that would be great also.  At some point I’ll also describe the argument in 1113 in more detail, to help complete the proof.</t>
  </si>
  <si>
    <t>C3273</t>
  </si>
  <si>
    <t>change mind</t>
  </si>
  <si>
    <t>1075.  Hmm.  Once more my mind changes.  It’s really essential to be in equal-slices mode when doing the line-free-sets-correlate-with-ij-insensitive stuff (so that a random line is in with nonnegligible probability); and even more is this so in the generalization to .  , Further, I think I see a non-horrendous way to carry out the partitioning argument under equal-slices.  So, I propose going back to “equal-slices is the main measure”., Re partitioning: the argument is written for the uniform distribution, but it seems like it really only needs a product distribution to work.  (The key need is the ability to break strings up into pieces and have the global distribution be the product of the two marginal distributions.)  , Luckily, equal-slices is a mixture of product distributions.  (There’ll be a bit of a technicality here probably, where one will want to throw out the product distributions  which have a component extremely close to  or .)  So if you can partition an -insensitive set into -dimensional subspaces up to tiny error under any product distribution, then you get a “fractional cover” of it by  subspace, product distribution  pairs.  , So you should be able to get a density increment for  on some -dimensional subspace under some product distribution.  Which you can convert back to a density increase under equal-slices by an easy passing-between-measures argument., seem plausible?</t>
  </si>
  <si>
    <t>C3275</t>
  </si>
  <si>
    <t>1076.  Simplifying the first step in the proof., Recall that in the first step of the proof, one does a little song and dance to arrange things so that  has density  under  (equal-nondegenerate-slices on  characters) and simultaneously density at least some  under .  (We currently get , but it would be okay to get, say,  as we’ll do here.)  It requires some hacking around with total variation distance between product distributions.., Here is a sketch of an arguably more straightforward method.  , In this sketch I will: a) ignore the distinction between equal-slices and equal-nondegenerate-slices when it’s convenient (this only changes statements by an additive ); b) ignore the tiny technicality that when one passes to a subspace  where  is a random set of coordinates, one has to take care of the unlikely event that  is outrageously smaller than expected., Define a random restriction  as follows:  choose  and let  be the coordinates where  has ‘s; also choose  randomly.  The meaning of “restricting according to ” is that we think of forming a string in  by fixing the  coordinates to be all ‘s and leaving the remaining coordinates  “free”.  (Note that  only plays a role insofar as it determines the cardinality and location of .) A basic observation aboute qual-(nondegenerate)-slices is that if we draw a random restriction  and then draw the free coordinates from , we precisely get the equal-(n.d.)-slices distribution ., Hence , and by the usual argument we can in fact ensure that , say, for “almost all” restrictions .  (If the variance of  is tiny then this holds; otherwise, we must have a density increment for some .), Consider now drawing a random restriction  and filling in the free coordinates according to , where .  This gives some nonstandard distribution  on .  , Claim: ., Once we show this claim the argument concludes as follows: For an  fraction of  we have .  Hence there exists some  for which both  and  , and our mission is accomplished.  (Recall that the latter fact, by Sperner, gives us an -insensitive  -insensitive set of measure  which  completely avoids.), Proof of Claim:  Given a small  we will show that .  This completes the proof by taking .  , To argue this, let  denote the distribution on the cardinality of the set of ‘s in a draw from .  The distribution  draws , picks a random set  of cardinality , fills it with a random , , or , then fills the remaining coordinates with equal-slices on the other two characters.  If we had instead drawn , the resulting distribution would have exactly been .  Hence if we have , we could conclude  and hence .  Unfortunately, this is not quite true; in fact,  can be arbitrarily smaller than .  However this occurs only for  which are very close to .  , Indeed, one can think of  as placing  bars independently at random within a row of  dots, and taking the length of the first dot-segment thus formed (here I am conflating equal-slices and equal-n.d.-slices).  Hence , , , , , ., So we have  for all  with .  But we can simply “lose” (additively) the probability contribution from  since this occurs with probability only  under .  A little calculation then gives the claimed .  (Some tiny details skipped.)</t>
  </si>
  <si>
    <t>CTao_38348</t>
  </si>
  <si>
    <t>1263. 4D Moser set, I put all my posts and 1113 on the Moser wiki at the end of the section n=4.</t>
  </si>
  <si>
    <t>C3282</t>
  </si>
  <si>
    <t>1077.  Simplifying the partitioning argument.  , It seems to me slightly simpler if we do the partitioning argument via the older notion of “ij-insensitivity on a subset of coordinates”.  (“Local ij-insensitivity”, I think Terry called it?)  , Definition: Let  be distinct characters, and .  We say that  is “-insensitive on ” if the following condition holds:  for all , if  is formed by changing  from  to  or  to  for some , then  also.  If  we simply say that  is “-insensitive”., True, this introduces an extra definition.  But it has the upside of making the argument a little simpler, I think.  The reason is that one doesn’t have to carry around pieces of the set B living in different  universes, and one doesn’t have to collect up pieces of the eventual error set.  After removing a subspace, one can simply say the new set is ij-insensitive except on some additional m coordinates., As an example justification, here is the partitioning argument under any product distribution, fitting on a page., In fact, having written that, it’s now (finally) clear to me how to directly do the partitioning under equal-slices (if we want to).  In the product distribution case, all we really used was that we could find a d-dimensional subspace in B localised to our favourite m coordinates.  We can almost do this under equal-slices except that we don’t get to pick m coordinates arbitrarily; they have to be picked randomly.  Still, that’s not a big problem; so long as we’ve only “used up”  insensitive coordinates, there are still  insensitive ones remaining, so a random -subset will fall inside the insensitive coordinates with probability ., (The benefit we get from using “local ij-sensitivity” is that we can take the equal-slices distribution of  over all coordinates to be the progress measure; the probability measure doesn’t keep shifting on us.), Typo: “” towards the end of the above should be ““., What the heck?  “V” should be “Tm”.  But every time I wrap “Tm” in latex-dollar-signs, it changes to a V in the published version.  How strange!</t>
  </si>
  <si>
    <t>C3283</t>
  </si>
  <si>
    <t>Typo: “” towards the end of the above should be ““.</t>
  </si>
  <si>
    <t>C3284</t>
  </si>
  <si>
    <t>What the heck?  “V” should be “Tm”.  But every time I wrap “Tm” in latex-dollar-signs, it changes to a V in the published version.  How strange!</t>
  </si>
  <si>
    <t>C3285</t>
  </si>
  <si>
    <t>deletions</t>
  </si>
  <si>
    <t>It seems a couple of the wiki pages on generalizations to DHJ(k) have been deleted.  Well, not exactly deleted, but blanked out, by mystery IP addresses., See here and here., I’ve tried to revert them properly, but can we use captchas on edits or block unregistered users from editing?, Earlier I have reverted several changes where someone replaced the proper text with  a lot of non-functioning URLs.</t>
  </si>
  <si>
    <t>CTao_38359</t>
  </si>
  <si>
    <t>1264. Limited HOC, Do we need the complete HOC to get DHJ(3)? I haven’t had much time still but I’ve been fiddling with the disjoint triangle proofs and it seems like configurations can get quite different depending on the divisibility of the side length. I theorize it might be possible to find an extremely specific case (to generate a random and non-serious example, where (n+1) mod 128 = 41) where Fujimura is not only tractable but constructible, and the construction can then be used to resolve both ends of the equation.</t>
  </si>
  <si>
    <t>C3289</t>
  </si>
  <si>
    <t>Earlier I have reverted several changes where someone replaced the proper text with  a lot of non-functioning URLs.</t>
  </si>
  <si>
    <t>CTao_38368</t>
  </si>
  <si>
    <t>1265. Limited HOC, As I understand it we do not need equality but bounding by a constant factor would be enough for the cases n=3 and higher.</t>
  </si>
  <si>
    <t>CTao_38435</t>
  </si>
  <si>
    <t>1259; 1261</t>
  </si>
  <si>
    <t>edit</t>
  </si>
  <si>
    <t>1266. 4D Moser set, Kristal,  I was going through your proof of the 4D Moser set, and I don’t think you have eliminated the statistic (7,16,14,4,0).  In 1259 you show that b=16, and in 1261 you use that a=6., I have edited your proof a little in the Wiki; I hope you don’t mind.</t>
  </si>
  <si>
    <t>CTao_38446</t>
  </si>
  <si>
    <t xml:space="preserve">nothing works and we are done &lt;&lt; ;) </t>
  </si>
  <si>
    <t>1267. 4D Moser set, It looks like I made a mistake hear and I need to
do case (7 16 14 4 0)
Here it is:, Recall we must have the distribution 12 14
15 or we will have less than 41 points. Also recall that the statistics of the side cube with its center point must be (3 5 3 1) or ( 4 5 2 1) then the statistics of the other side cube
must be  ( 3 9 3 0) (4 9 2 0) or (4 11 0 0)
or (3 12 0 0)
Since the statistics are
(7,16,14,4,0) we must have one of the following four pairs
(3 5 3 1) and (4 9 2 0)
(3 5 3 1) and (4 11 0 0)
( 4 5 2 1) and (3 9 3 0)
( 4 5 2 1) and (3 12 0 0), (3 5 3 1) and (4 9 2 0)
forces the middle slice to have statistics (0 2 9 3)
which has less than 4 points with one two
hence forces another slice to have more than four which gives
a contradiction, (3 5 3 1) and (4 11 0 0)
forces the middle slice to have statistics (0 0 11 3)
which has less than 4 points with one two
hence forces another slice to have more which gives
a contradiction, ( 4 5 2 1) and (3 9 3 0)
forces the middle slice to have statistics (0 2 9 3)
which has less than 4 points with one two
hence forces another slice to have more which gives
a contradiction, ( 4 5 2 1) and (3 12 0 0)
has 17 points with one two which contradicts the
statistics of the entire set.
So none of the cases work and we are done.</t>
  </si>
  <si>
    <t>CTao_38499</t>
  </si>
  <si>
    <t>CTao_38446; CTao_38435</t>
  </si>
  <si>
    <t>1268. 4D Moser Set, I have added 1267 to the wiki at , http://michaelnielsen.org/polymath1/index.php?title=Moser%27s_cube_problem, at the end of the section n=4, Thank you to Michael Peake for finding the error and editing
the proof.</t>
  </si>
  <si>
    <t>C3302</t>
  </si>
  <si>
    <t>TeX files created</t>
  </si>
  <si>
    <t>I have started creating TeX files for the writeup.  We can still discuss the outline on the page Terry created.  , But to get the ball rolling, here is a new page for the TeX.  The idea was proposed by someone in an earlier thread.  On this page are wiki-links to 6 pages, named “dhj.tex”, “dhj.sty”, “intro.tex”, etc., When you go to the wiki page, e.g., measures.tex, don’t try to read it as a wiki page.  Just click “edit”, copy the source for the page, paste it into your favourite editor, and save the document as measures.tex., Once you’ve done this for all 6 files, you should be able to run “latex” and “bibtex” to produce a document., If you want to change a file, just go ahead in your TeX editor, and when you’re done, copy/paste it back into the appropriate wiki-page source., It’s extremely bare-bones right now; I didn’t even put in the title etc. yet.  Also, more files/sections need to be created.  , The only substantive thing done so far is writing some of the “measures” section.  My goal for this section is just to get down, in the shortest amount of space, the lemmas that “doing uniform on most coordinates and equal-slices on an eps-fraction is O(eps sqrt(n))-close to uniform”, “doing equal-slices on most coordinates and then either uniform or equal-slice on an eps-fraction is O(k eps sqrt(n))-close to uniform”.  , I got most of the way on this, but didn’t finish.</t>
  </si>
  <si>
    <t>C3305</t>
  </si>
  <si>
    <t>save the data</t>
  </si>
  <si>
    <t>general saving of comments</t>
  </si>
  <si>
    <t>In case anyone is interested, I saved all 9 threads on general-n DHJ (i.e., comments 000–1099 minus the 200’s, 700’s, and 900’s) to one pdf file.  , It’s here: http://www.cs.cmu.edu/~odonnell/dhj-polymath-comments-all.pdf, Warning: it’s a 10MB file (346 pages)., Out of curiosity, I also totted up number of posts by poster.  I believe there were 9 people with 5+ posts, with counts ranging from 12 up to 338.</t>
  </si>
  <si>
    <t>C3327</t>
  </si>
  <si>
    <t>feedback from public-ish presentation</t>
  </si>
  <si>
    <t>Hi all — I just gave a talk about the results and the project at Microsoft Research New England (thanks Jennifer &amp; Christian for having me).  I’ll post the slides soonish — I’m giving the talk again at IAS and am not sure if I want to preempt myself. 🙂, Several good questions arose from the audience, and I was hoping to get people’s opinions:, 1. from Adam Kalai:  When the result is published under the Polymath pseudonym, how will participants put their grant acknowledgment lines in the document?, 2. from Jim Propp (I think; I’m better with names than faces): When will it be done / written up?  , For the “writing up” part… Besides, “soon, we hope”, should the correct answer to this question have included, in the spirit of the project, “feel free to write some or all of it up yourself! (under the polymath banner of course)”?  I guess ~30 more people have now seen the sketch of the proof and could in principle work on the writing.  Is this a good or bad idea?, As for the “done” part…, 3. One audience member, Emanuele Viola, came up to me after the talk and mentioned some promising-seeming lemmas from his papers that might possibly help with parts of the current argument.  We traded a few emails about this this morning and then both asked ourselves, “wait, should we be posting these to the blog?”  I guess we should, although it seems like the blog has been dormant for ~3 weeks., At some point fairly soon, regardless of whether we get the energy to write up the proof (and of course, it would be terrible if we didn’t do this, I think), I think we ought to declare the project “done”.  I mean, we can’t block other people from working on DHJ indefinitely…, Emanuele requested I point out that the lemmas mentioned (which I refer to again below) are not his, just that his paper has pointers to the literature (and a variant of the lemma).</t>
  </si>
  <si>
    <t>C3328</t>
  </si>
  <si>
    <t>A few immediate thoughts — I hope others will express their views too., 1. I’m mercifully spared from having to think about this kind of thing, so I’m not sure what is sensible and what isn’t. My preference, as I have said before, is to keep actual names off the paper. Perhaps it would be in keeping with previous suggestions on this kind of topic to have minimal information on the paper (i.e., just the pseudonym) and maximal information on the Polymath1 wiki (i.e., names of participants, grant details, links to all the blog comments, etc. etc.)., 2. I think I’d like to do some writing starting in about a week’s time. The way I imagine going about it is trying to write a skeleton paper with bits that can be filled in by whoever has the inclination to do so (which might be me). Of course, the skeleton itself would be open to discussion and change, but perhaps once it’s there the task will seem more manageable and we can get a complete draft. In principle I don’t see why it shouldn’t take more than about two or three days of collective effort., 3. I look forward to hearing more about this., 4. For myself, once our proof of DHJ is written up, I would be happy to say that all the material on the blog that doesn’t make it into the paper can be freely used by anyone for any purpose. I suppose if someone felt that they had used some insight from the blog in a way that was critical to their result, it might be appropriate if they acknowledged that and gave the appropriate URL. Having said that, there were some questions that would still be interesting to pursue (such as whether not having any combinatorial lines can lead to a global correlation with a 12-insensitive set if you choose the right measure) and I wouldn’t rule out thinking about them. But neither do I think it would be right to claim indefinite ownership of those questions, so I’d go for declaring the project done sooner rather than later.</t>
  </si>
  <si>
    <t>C3339</t>
  </si>
  <si>
    <t>Emanuele requested I point out that the lemmas mentioned (which I refer to again below) are not his, just that his paper has pointers to the literature (and a variant of the lemma).</t>
  </si>
  <si>
    <t>C3340</t>
  </si>
  <si>
    <t>feedback</t>
  </si>
  <si>
    <t>As I mentioned, I had an email discussion with Emanuele after I gave my talk.  With his permission, I reproduce it below…</t>
  </si>
  <si>
    <t>C3341</t>
  </si>
  <si>
    <t>Emanuele Viola</t>
  </si>
  <si>
    <t>There are a few formulations of the lemma, see Section 3 in my paper “Hardness amplification proofs require majority”. link on my homepage; including it here seems to cause WordPress to refuse to accept the post, The statement that appears in this paper allows you to conclude that many coordinates are close to uniform. One in fact can prove a stronger version of the lemma in which the conclusion of Lemma 3.2 in my paper holds even if you condition on the values of all the variables in G – {i_1,…,i_q}. This might be the closest to DHJ: it gives you that if you ignore a few coordinates then you have a line (in fact, lines are dense in this projection).
The proof of (all variants) of this lemma is elementary.,  Earlier I was thinking whether this might be enough to prove DHJ. The “only” thing that can go wrong is that the variables whose indexes are in the complement of G destroy all lines that you found in the good projection, but maybe one can do a recursive argument to bypass this. Also, I would guess some type of recursion is necessary, for else one would get too strong parameters for DHJ?,  I’d be interested in thinking more about this and knowing your opinion. Recently I have been spending quite a bit of time doing proofs that use the lemma inductively.</t>
  </si>
  <si>
    <t>C3342</t>
  </si>
  <si>
    <t xml:space="preserve">Emanuele? </t>
  </si>
  <si>
    <t>am I getting it right?</t>
  </si>
  <si>
    <t>1079.  Hmm, looks powerful Emanuele., &gt; closest to DHJ: it gives you that if you ignore a few coordinates then you
&gt; have a line (in fact, lines are dense in this projection)., Hmm, let’s see, why is that… am not used to thinking about drawing
a random point from A.  Let me write “B” = n \ G (B for bad, G for
good).  Just talking out loud here…, I mean, suppose we pretend that life is even awesomer than Lemma 3.2:
that a random draw from A is equivalent to:
  (a) the coordinates 3^G get chosen totally uniformly
  (b) then the coordinates in 3^B get set adversarially based on
what happened in step (a)., Hmm, so I guess it’s like saying, for every string x in 3^G, there
is an extension y in 3^B such that (y,x) is in A.
So in this awesome world, I guess yeah, you can take any line you want
over the G coordinates, and it’s possible to extend it to an
“almost-line” in A (“almost-line” meaning that the B-coordinates might
be screwed up)., —, What about in the not awesome but still cool world of Lemma 3.2.  Or
in your extension of Lemma 3.2.  The extension (if I have it right)
means something like:
  (a) you choose your favorite q coordinates Q in Q
  (b) an adversary chooses x in 3^{G \ Q}.
  (c) then for almost all strings y in 3^{Q}
  (d) there exists a string z in 3^B
such that (x,y,z) in A ?, So then you’re saying, you can get pretty much any line action
happening you want inside Q, but then it gets turned into an
“almost-line” because of stage (d) above?, Am I getting it right?  Looks kind of powerful.</t>
  </si>
  <si>
    <t>C3343</t>
  </si>
  <si>
    <t>1080.      , &gt; Hmm, so I guess it’s like saying, for every string x in 3^G, there
&gt; is an extension y in 3^B such that (y,x) is in A.,  Yeah I think that’s a way to look at it., &gt;    What about in the not awesome but still cool world of Lemma 3.2.  Or
&gt;    in your extension of Lemma 3.2.  The extension (if I have it right)
&gt;    means something like:
&gt;      (a) you choose your favorite q coordinates Q in Q
&gt;      (b) an adversary chooses x in 3^{G \ Q}.
&gt;      (c) then for almost all strings y in 3^{Q}
&gt;      (d) there exists a string z in 3^B
&gt;    such that (x,y,z) in A ?,  The statement I have in mind is: Let v denote all the variables, then
 H(v^Q | v^{G \ Q) &gt; 1 – eps.,  So this means that,  E_{w in v^{G \ Q} H(v^Q | v^{G \ Q) = w  &gt; 1 – eps,,  and so with probability &gt;= 1/2 over w in v^{G \ Q} it is the case that
 VariationDistance(v^Q | v^{G \ Q), uniform)     So then you’re saying, you can get pretty much any line action
&gt;    happening you want inside Q, but then it gets turned into an
&gt;    “almost-line” because of stage (d) above?,  I think that is correct.,  Note by the way the bad set will always be |B| &gt;&gt; |Q|.</t>
  </si>
  <si>
    <t>C3344</t>
  </si>
  <si>
    <t>1081.
&gt;  E_{w in v^{G \ Q} H(v^Q | v^{G \ Q) = w  &gt; 1 – eps,
&gt;
&gt;  and so with probability &gt;= 1/2 over w in v^{G \ Q} it is the case that
&gt;  VariationDistance(v^Q | v^{G \ Q), uniform) &lt; 2eps., Hmm.  Could one then say that with probability 1 – sqrt(eps), the
variation distance is at most sqrt(eps)?  Because that would be kind
of cool, no?  For almost all strings x in 3^{G \ Q}, it holds that
for almost all y in 3^Q, that (x,y,z) in A for some z in 3^B?
Wouldn’t one just get that for almost all strings w in 3^G, there is
a z in 3^B such that (w,z) in A?, I also wonder if maybe it might be better to apply this lemma to the
set I was calling “L-bar” in the talk.  You know, it had density 1 –
delta^2, hence A had density delta + delta^3 inside it.  That set
L-bar was almost completely arbitrary, except that it was a union of
two “12-insensitive sets”, so we worked extremely hard to
almost-partition it into copies of 3^{log log log n}, so that we
could get the delta^3 density increment on one of them, and recurse., But perhaps instead one could somehow just apply the lemma to L-bar (a
bit weird, because its density is very close to 1) and get it
fractionally covered by uniform distributions on coordinate-sets of
size q…  would have to think about it…</t>
  </si>
  <si>
    <t>C3345</t>
  </si>
  <si>
    <t>1082., &gt;    Hmm.  Could one then say that with probability 1 – sqrt(eps), the
&gt;    variation distance is at most sqrt(eps)?  ,  Sure, I just put 1/2 for example., &gt; Because that would be kind of cool, no?  For almost all strings x in
&gt; 3^{G \ Q}, it holds that for almost all y in 3^Q, that (x,y,z) in A for
&gt; some z in 3^B?
&gt; Wouldn’t one just get that for almost all strings w in 3^G, there is
&gt; a z in 3^B such that (w,z) in A?,  But I think x ranges over projections of strings in A, while y is uniform. I.e. we have found a subset Q of coordinates where projections of strings in A to those coordinates are almost uniform. And this is true even for most ways of filling the coordinates in G \ Q with projections of strings
from A., Re your last point about almost-partitioning L-bar, I wonder in what sense it is almost partitioned. I am not sure if the lemma would be good for that…</t>
  </si>
  <si>
    <t>C3346</t>
  </si>
  <si>
    <t>work update</t>
  </si>
  <si>
    <t xml:space="preserve">Two more updates:, 1. The slides I used for my talk at Microsoft are here:
http://www.cs.cmu.edu/~odonnell/slides/dhj.pps, If you don’t have PowerPoint there is a free viewer here:, http://www.microsoft.com/downloads/details.aspx?FamilyId=428D5727-43AB-4F24-90B7-A94784AF71A4&amp;displaylang=en, 2. I have finished most details of the measures.tex file.  We can now pass from uniform to equal-slices, and we can also pass from equal-slices overall to equal-slices on a restriction.  Next step for me will be to write up the partitioning argument under equal-slices, with the “losing insensitive coordinates” method.,  Sorry, this went to my moderation queue. </t>
  </si>
  <si>
    <t>C3347</t>
  </si>
  <si>
    <t>A tiny notational note: as you can see from the slides, I actually went with .  Two reasons I ended up preferring this: , a) makes the deduction on Szemeredi from DHJ plainer (“just write numbers in base “), b) computer scientists like .</t>
  </si>
  <si>
    <t>C3356</t>
  </si>
  <si>
    <t>updates</t>
  </si>
  <si>
    <t>Just to demonstrate that Ryan is not completely alone in the Polymath universe, I decided to write a draft of an introduction. I’ve put it on the wiki in one of the pages that Ryan created. I’m not sure I made any controversial decisions. I too have been coming to the view that we should make $k$ be $\{0,1,\dots,k-1\}$ though as it stands I’ve hedged my bets. But actually I think it’s slightly strange even for DHJ(3) to think of the coordinates as belonging to $\{1,2,3\}$ rather than $\{0,1,2\}$. , As Ryan suggested earlier, I put the introduction up in LaTeX, so if anyone wants to edit it they just paste it into a file, edit the file, and replace what was there before by their new version. Or they can edit the page directly (but then they can’t compile it to see what it looks like)., I also decided not to use any macros, though it’s conceivable that I did so by accident., Incidentally, I was imagining that the first section after the introduction would contain quite a lot of technical preparation: definition of combinatorial subspaces, discussion of different measures, etc. So I left all that out of the introduction (apart from the definition of a combinatorial line, which was essential).</t>
  </si>
  <si>
    <t>C3365</t>
  </si>
  <si>
    <t>added TeX files to the update</t>
  </si>
  <si>
    <t>I have added some more TeX files to the document.  It’s not really organized right now, but I wanted to get some math details written and (hopefully) correct.  , I ended up just writing the partitioning argument under product distributions.  It was just proving too awkward to do it all under equal-slices.  So I propose we go in-and-out of a product distribution when doing the partitioning., PS: I went back to k = {1, 2, …, k}; I guess we should stop switching at some point. 🙂  My reasoning was that it was common to talk about distributions on k as points in the k-dimensional simplex, and one really likes to index  by 1…k, not 0…k-1.</t>
  </si>
  <si>
    <t>C3385</t>
  </si>
  <si>
    <t>I have made some updates to the paper at http://michaelnielsen.org/polymath1/index.php?title=TeX_files_for_first_paper</t>
  </si>
  <si>
    <t>CTao_38767</t>
  </si>
  <si>
    <t>what about writing a paper?</t>
  </si>
  <si>
    <t>Metacomment:
Given that we have not added much new material for the last month or so I have a metaquestion:, What are the current plans for writing something up based on the threads here? Will it be part of the paper already being written or a second one?, We have a number of results on both asymptotics and small (n,k). In the outline for the write up that has begun at the wiki,  bounds are mentioned as a  possible part of the  Discussion section.</t>
  </si>
  <si>
    <t>CTao_38772</t>
  </si>
  <si>
    <t>outline</t>
  </si>
  <si>
    <t>Ah, yes, I should be getting back to this project at some point.  I was kind of delaying things hoping for the paper writing project on the other side to advance a bit first, but that seems to be slow also., Right now, it looks like the plan is to have two papers – one for the new proofs of DHJ(3), and the other for the small (n,k) results.  My feeling is that we don’t need to put every single result we’ve established into the small(n,k) paper; there are some which definitely have a preliminary feel to them, and in any case there’s no reason why we can’t write a subsequent paper should there be further significant advances, and in the meantime we have the wiki., The obvious things to put in, I think, are the c_6 and c’_5 computations, the numerics for higher n, the asymptotic counterexamples we have, and the results we have for the n,k DHJ numbers, including the breakdown of the HOC.  It looks like we’re close to a human proof of c’_5; it would be nice to have both in there.  That would already be a reasonably-sized paper with a number of non-trivial results, I think., Once we get some consensus on what to put in, I can try to draft an outline of the paper similar to what one has for the other paper, and then we can discuss individual sections, standardise the notation (e.g. is 3 equal to {0,1,2} or {1,2,3}?  Not a life-or-death issue, but one which needs to be settled at some point.)</t>
  </si>
  <si>
    <t>CTao_38787</t>
  </si>
  <si>
    <t>thoughts/suggestion</t>
  </si>
  <si>
    <t>I think the suggested material should make a good paper. This will be emphasising the original “growing n” direction of the problem., I am away for about a week now but once I get back home I should have some time to devote to this project again.</t>
  </si>
  <si>
    <t>C3391</t>
  </si>
  <si>
    <t>More updates…</t>
  </si>
  <si>
    <t>C3398</t>
  </si>
  <si>
    <t>I just finished a write up which proves the corner theorem for Cartesian products of cubes. The problem is easier than DHJ(3) and it makes the explanation of the density increment method easier to follow. I hope that this write up will help the reader to understand the key elements of the DHJ(3) proof. It is available at , Click to access cubes3.pdf, I would be happy to place it somewhere on the wiki sites, but I don’t know how to do that., I’ve found some typos in my note which I corrected but probably there are more of them. Working out the epsilons and deltas explicitly isn’t my strong side. Please let me know if you find more typos.</t>
  </si>
  <si>
    <t>C3403</t>
  </si>
  <si>
    <t>editing typos in note</t>
  </si>
  <si>
    <t>I’ve found some typos in my note which I corrected but probably there are more of them. Working out the epsilons and deltas explicitly isn’t my strong side. Please let me know if you find more typos.</t>
  </si>
  <si>
    <t>CTao_38817</t>
  </si>
  <si>
    <t>vote &amp; working the problem</t>
  </si>
  <si>
    <t>I also agree that the suggested material looks good for a paper. I would prefer {1,2,3} as I am used to seeing 2 as the center point. I will be looking at the problem of making the proof of c_5′ a human proof.</t>
  </si>
  <si>
    <t>CTao_38839</t>
  </si>
  <si>
    <t>I also vote for {1,2,3}., I think Fujimura deserves a paper on its own but we don’t know enough about it yet to consider one. Separated from DHJ, allowing r &lt; 0 should be considered, and I think it’d be productive to study all the various restrictions on r (only r = 1, 0 &lt; r &lt; 3, etc.), I also now believe the HOC is false for even DHJ(3), and it’d be great if we could find a counterexample before the paper goes up, but that might be out of our computational reach.</t>
  </si>
  <si>
    <t>CTao_38840</t>
  </si>
  <si>
    <t>polymath spinoff</t>
  </si>
  <si>
    <t>Second thought: would it be productive to make a “spin-off” thread for a Fujimura-only polymath? (I’d be happy to make one but my blog traffic is about 30 times less than here, so I doubt we’d get much of the same cross-interaction we’ve had.)</t>
  </si>
  <si>
    <t>CTao_38848</t>
  </si>
  <si>
    <t>1269. Fujimura when r can only equal 1, r=1 is the case of considering only the triangles of sidelength 1., Consider each row r of the triangular lattice. Let the terms of a particular row be i_0, i_1, …. , i_r.
When r mod 3 = 0, then the terms i_k where k mod 3 = 1 should be removed.
When r mod 3 = 1, then the terms i_k where k mod 3 = 0 should be removed.
When r mod 3 = 2, then the terms i_k where k mod 3 = 2 should be removed., This leaves maximal sets of 0, 2, 4, 6, 10, 14, 18, 24, … which curiously enough matches with A128422 which is the projective plane crossing number of ., There’s a closed form of  for A128422 which means the closed form for the sequence above is just  of the same.</t>
  </si>
  <si>
    <t>CTao_38849</t>
  </si>
  <si>
    <t>(Oops, unfortunate variable name clash in 1269. r row is different from other r. Sorry about that!)</t>
  </si>
  <si>
    <t>C3424</t>
  </si>
  <si>
    <t>feedback from external-ish presentation</t>
  </si>
  <si>
    <t>I gave a talk about the work at IAS today.  Afterwards, Boaz Barak and Anup Rao reminded me that DHJ actually has an application in theoretical computer science: Verbitsky used it to give the first known proof of the Parallel Repetition Theorem (albeit with parameters which are essentially useless for applications of Parallel Repetition).  The paper is here., Raz subsequently gave an effective (combinatorial/probabilistic) proof of the Parallel Repetition Theorem (for “2 players”), which had massive implications in TCS.  Raz’s Theorem was subsequently improved by Thomas Holenstein and then Anup Rao.  , Anup also pointed out to me that Verbitsky’s proof using DHJ works for any number of players, and is indeed the only known proof of Parallel Repetition for more than 2 players., This application motivates the following question about DHJ:  Try to show that for any finite alphabet , if  has density  and  is large enough, then  contains “99 percent” of a line.  By this we mean that there is a “template”  such that for at least 99 percent of the symbols  we have .  , Can we prove this even for 67 percent in place of 99 percent?  51 percent? 50 percent?  1 percent?</t>
  </si>
  <si>
    <t>C3425</t>
  </si>
  <si>
    <t>I’m trying to understand that last question, but I don’t yet. If  is allowed to depend on  then the answer is obviously yes with 100 percent, since that’s just DHJ. So it would seem that you are asking for a proof that for every  there exists  such that for every finite alphabet , every subset of  of density at least  contains 99 percent of a line., But this cannot be the correct interpretation either, since for any fixed  one can just choose  to be enormous and choose  randomly, and by trivial arguments (Chernoff estimates plus a union bound over all lines)  will have density no more than  in any combinatorial line. , I’m assuming here that I understand correctly what you mean by containing 99 percent of a line: that it means there is a combinatorial line and at least 99 percent of the points in that line belong to .</t>
  </si>
  <si>
    <t>C3428</t>
  </si>
  <si>
    <t>Hi Tim.  Er, yes, my question didn’t make sense.  But I believe there is a correct question in there — I will try to write it down soon., In the meantime, there are some more updates to the draft here:, http://michaelnielsen.org/polymath1/index.php?title=TeX_files_for_first_paper, including a pdf of the current (extremely messy and less-than-half-finished) state.</t>
  </si>
  <si>
    <t>C3433</t>
  </si>
  <si>
    <t>suggested reading incl.</t>
  </si>
  <si>
    <t>It seems that some of the observations made about equal(-nondegenerate-)slices distribution may follow from “de Finetti’s Theorem” and extensions; see e.g. http://www.stats.ox.ac.uk/~steffen/teaching/grad/definetti.pdf</t>
  </si>
  <si>
    <t>C3440</t>
  </si>
  <si>
    <t>notation &amp; definition choices in current draft</t>
  </si>
  <si>
    <t>A few comments about notation and definition choices in the current draft of the DHJ paper. I don’t want to make any changes without some discussion taking place, but let me give some opinions and questions here., Ryan, I see that you’ve changed from talking about combinatorial lines to talking about line templates and nondegenerate combinatorial lines. I can see that there is some reason for this, but it strikes me as a situation where the logical convenience of this notion (which presumably comes in when one wishes to argue that a random line template has probability almost 1 of actually having some wildcards) is outweighed by the unfriendliness when you compare it with the more geometrical notion of a combinatorial line. I think I would favour defining a combinatorial line as something that has to be nondegenerate, but allowing line templates to be degenerate. That way, the statements of the theorems don’t have to have the unnecessarily distracting nondegeneracy condition (just as, when stating Szemerédi’s theorem, we don’t say that a dense set contains a nondegenerate AP of length k)., Actually, that’s all I have to say for now, but I haven’t got very far through the draft yet., Sure, that’s fine.</t>
  </si>
  <si>
    <t>C3453</t>
  </si>
  <si>
    <t>Sure, that’s fine.</t>
  </si>
  <si>
    <t>C3455</t>
  </si>
  <si>
    <t>Oh yes, there was another thing — the question of how to fill in the wildcards in the sentence, “The purpose of this paper is to give the first **** proof of DHJ.” My initial attempt was “fully combinatorial” and you suggested “finitary”. There are problems with both: one can argue that just about anything is combinatorial, and I think that some combination of Tim Austin and Terry ended up with a finitary proof of DHJ that was heavily influenced by ergodic theory. So the question is this: is there some clever choice of words to insert here, or should we rewrite the first paragraph so as to avoid the problem? Would “first elementary proof” do?, “Elementary” sounds good to me.  It seems justified, given that the most complicated notion in the proof is the distance between probability distributions.</t>
  </si>
  <si>
    <t>C3456</t>
  </si>
  <si>
    <t>I’ve now added a short section on Sperner’s theorem to the TeX files on the wiki, with a view to motivating the concept of equal-slices measure, and because I think it would be very wrong not to have such a section, given how much Sperner’s theorem influenced our thoughts.</t>
  </si>
  <si>
    <t>C3461</t>
  </si>
  <si>
    <t>“Elementary” sounds good to me.  It seems justified, given that the most complicated notion in the proof is the distance between probability distributions.</t>
  </si>
  <si>
    <t>CTao_38945</t>
  </si>
  <si>
    <t>Tao_9</t>
  </si>
  <si>
    <t>use LaTeX</t>
  </si>
  <si>
    <t>I propose, by the way, that the paper be written in LaTeX, as it is a standard format for mathematical papers and also supports everything we need, such as tables and pictures.  We have some interesting visualisations of various subsets of 3^n, for instance, which it would be good to have in the paper at some point.  (But the specific graphics to put in will probably only be decided upon quite late in this process, once most of the text is already in place.)</t>
  </si>
  <si>
    <t xml:space="preserve">
Now that the quarter is nearing an end, I’m returning to the half of the polymath1 project hosted here, which focussed on computing density Hales-Jewett numbers and related quantities.  The purpose of this thread is to try to organise the task of actually writing up the results that we already have; as this is a metathread, I don’t think we need to number the comments as in the research threads.
To start the ball rolling, I have put up a proposed outline of the paper on the wiki.   At present, everything in there is negotiable: title, abstract, introduction, and choice and ordering of sections.  I suppose we could start by trying to get some consensus as to what should or should not go into this paper, how to organise it, what notational conventions to use, whether the paper is too big or too small, and so forth.  Once there is some reasonable consensus, I will try creating some TeX files for the individual sections (much as is already being done with the first polymath1 paper) and get different contributors working on different sections (presumably we will be able to coordinate all this through this thread).   This, like everything else in the polymath1 project, will be an experiment, with the rules made up as we go along; presumably once we get started it will become clearer what kind of collaborative writing frameworks work well, and which ones do not.
Share this:PrintEmailMoreTwitterFacebookRedditPinterestLike this:Like Loading... </t>
  </si>
  <si>
    <t>CTao_38960</t>
  </si>
  <si>
    <t>CANT conference - https://www.theoryofnumbers.com/cant/</t>
  </si>
  <si>
    <t>1270. It occurs to me that it could be beneficial to build line-free sets directly from Behrend-ish arguments, rather than from the Behrend bound on . Here’s what I have in mind, but I haven’t worked out the numbers., Take  in  uniformly, and take  in  uniformly. Let  be the map from $3^n={0,1,2}^n \to T^d$ that takes  to . The useful thing is that this map takes any combinatorial line to an arithmetic progression in ., If we restrict our attention to those  that map into the box  then we avoid wrap around progressions in , and so we can think of  as a subset of . If we further restrict our attention to those  that map into a thin annulus, then we are only left with progressions with very small difference., Since  was chosen uniformly, we can estimate the number of  that map into the annulus and into the box: the proportion is just the volume of that shape. Letting  be the 0-1 vector with 1’s where the wild-cards are, we get a difference in  of , which must be uniformly distributed mod 1 by the choice of , and must be small because the annulus is thin. We can bound how many times that happens by the volume of a small ball, and throw out one point for each time., This is basically just rehashing the Green-Wolf construction, but using a map from 3^n instead of a map from 1,k and then taking slices. I don’t know what this gives…and I’d prefer to have a construction that includes this and the slices one as special cases, and *then* optimize the parameters. I’ll work out what this gives next week (after the CANT conference here in New York), but if anybody sees a better map or family of maps to look at please post!</t>
  </si>
  <si>
    <t>CTao_38961</t>
  </si>
  <si>
    <t>interesting problem</t>
  </si>
  <si>
    <t>The outline looks good, thank you for posting it. In terms of c_5′ the one computer result that is used in the proof that looks hard to get rid of is when the size of a four dimensional Moser set is 41 and the number of points with two twos is less than 17 then there must be exactly 12 points with two twos. I don’t see why that is forced. It is an interesting problem.</t>
  </si>
  <si>
    <t>CTao_38962</t>
  </si>
  <si>
    <t xml:space="preserve">CTao_38961 ? </t>
  </si>
  <si>
    <t>Hmm.  That does sound like a difficult fact to prove by hand.  Perhaps it may be more efficient to try to reduce the dependence of this fact in the n=5 proof.  On the wiki it seems that we only use this fact in the proof of Lemma 2., One possibility here is to reprove Lemma 2 by doing it in stages.  Instead of jumping right away to the proof that the middle slice has at most 41 points, first prove that it has at most 42.  I think we actually established this at some earlier stage of the project, and this should be doable without relying too much on the computer data.  (For instance, the 3D data and maple tell me that 43-point sets must have c at least 18, so the Lemma 2 argument already seems to work here.) Once we have this, we know that the *2*** slice has at most 42 points, so for a 125 point set at least one of the *1*** and *3*** slices have at least 42 points, and thus have d at most 2.  Similarly for the **1** and **3** slices, etc.  This suggests that the d-points of the 124 point set have to either be very few in number, or very irregularly distributed.  Hopefully this can be used somehow (without having to use the fact that c(2****) is either at least 18, or is of a very special form)., At the worst case, we can try to minimise and isolate the few computer facts that we absolutely need, and leave it as a challenge for future authors (or future polymath1 participants) to find human proofs of those facts (or at least proofs that can be easily and transparently computer-verified by standard software, e.g. Maple).</t>
  </si>
  <si>
    <t>CTao_38964</t>
  </si>
  <si>
    <t>OK, I played around with maple and got the following new fact:, – 40-point Moser sets in 3^4 have a d-statistic of at most 6., (Details are in http://michaelnielsen.org/polymath1/index.php?title=Maple_calculations .), We already know that 43-point sets have , 42-point sets have , and 41-point sets have  (and these facts are mostly computer-free at this point.)  As a consequence, given a 125-point Moser set, if we know that middle slices have size at most 42 (so that side slice pairs must be at least 40+43 or 41+42), we conclude that,  (*), and similarly for permutations; if a middle slice has size at most 41, then the 6 improves to a 4.  Double-counting (as in Corollary 4 on the wiki) we see that every middle slice has a c-value of at most 12.  On the other hand, the only way 12 can actually be attained is if every middle slice has exactly 42 points and (*) is obeyed with equality; Maple tells me that 42-point sets have c at least 12, so c(2****)=12 and similarly for permutations.  But double-counting this fact, we see that the average value of  must now be 8, contradicting (*).  So in fact middle slices have a c-value of at most 11 and so must have at most 41 points, giving Lemma 1.</t>
  </si>
  <si>
    <t>CTao_38967</t>
  </si>
  <si>
    <t>which language do we use?</t>
  </si>
  <si>
    <t>A trivial issue to settle here: should the paper use American English or Commonwealth English?  The rule I usually use is that I write in Commonwealth English if a strict majority of the authors are from the Commonwealth, and American otherwise.  I know Michael is an Aussie like myself, and Christian is German but works in the UK, so it seems to be more or less a tie here… of course, it’s easy to change from one to the other, so this is not a major issue in any event.</t>
  </si>
  <si>
    <t>CTao_38980</t>
  </si>
  <si>
    <t>draft of Moser portion</t>
  </si>
  <si>
    <t>I’ve written up a draft of the Moser portion of the paper now, the PDF is at, Click to access polymath.pdf, and the source files are at, http://michaelnielsen.org/polymath1/index.php?title=Polymath.tex
http://michaelnielsen.org/polymath1/index.php?title=Moser.tex, It’s actually rather lengthy to put everything together (27 pages!).  Also, one is still missing the human proofs of the fact that d &lt;= 3 for 41-point Moser sets in 3^4 (one also needs d&lt;=2 for 42 point sets and d=0 for 43 point sets), as well as human proofs of the inequalities for 3^3 that Michael found.  But other than that, the proof of  is now computer-free, albeit tediously long., I didn't quite realise just how large the paper is going to be – once one puts everything else in as well, it's looking like 50+ pages.  We may eventually want to abridge some of it, referring to the wiki for further details., Feel free to make minor changes to the text so far by editing the source directly; I plan to make the wiki files the master version of the source (i.e. I will download from the wiki whenever I want to recompile the PDF or make other changes).  If you want to download the source and make major changes, one should probably notify the rest of us here to avoid bifurcation of the version tree.  , In a few days I plan to start porting the  bounds from the wiki to the LaTeX source., This would be a good time to make any comments on notation, exposition, etc.; it will be easier to make these sorts of changes now, when only a portion of the paper is written, than later, when there would be a lot more text to re-edit.</t>
  </si>
  <si>
    <t>CTao_38981</t>
  </si>
  <si>
    <t>especially language</t>
  </si>
  <si>
    <t>That seems to take care of lemma 2. I think the remaining parts of the proof should be easier to clear of computer generated results. I don’t have any problem with Commonwealth English for the paper but then I don’t really have any experience writing it. I would think any problems involved in standardizing the paper this way would be minor.</t>
  </si>
  <si>
    <t>CTao_38982</t>
  </si>
  <si>
    <t>I think the proof of d &lt;= 3 for 41-point Moser sets in 3^4 is at the end of section n=4 in the wiki at
http://michaelnielsen.org/polymath1/index.php?title=Moser%27s_cube_problem, It is looking good so far I think.</t>
  </si>
  <si>
    <t>CTao_38984</t>
  </si>
  <si>
    <t>outline review</t>
  </si>
  <si>
    <t>I took a look at the outline  Looks good.  I was wondering if my input was needed in any way for the parts concerning the genetic algorithm.</t>
  </si>
  <si>
    <t>CTao_38992</t>
  </si>
  <si>
    <t>Dear Kareem,, I would imagine that the genetic algorithm would be discussed in the section on the lower bounds for Moser, which hasn’t really been written yet.  If you like, you could write a section on it right now (describing the algorithm, and mentioning the lower bounds obtained) and we’ll insert it somehow into the draft.  (We should also have a discussion on the integer programming techniques, even though we have been making an effort to become independent of them now.), Dear Kristal: thanks for the pointer.  I’ll probably try to port that argument over at some point in the near future.</t>
  </si>
  <si>
    <t>CTao_39003</t>
  </si>
  <si>
    <t>working on it</t>
  </si>
  <si>
    <t>Dear Terry,, I started writing something up.  It should be done by the end of today (east coast time).</t>
  </si>
  <si>
    <t>C3528</t>
  </si>
  <si>
    <t>tex &amp; explanation</t>
  </si>
  <si>
    <t>I’ve made some more updates to the TeX files., I think that most of the technical pieces of the paper are now more-or-less in there.  The major technical thing that remains is the “putting all the pieces together” argument., And the major nontechnical thing that remains is — well, everything 🙂  Aside from the introduction, which is in good shape, there is zero explanation or helpfulness in the rest of the paper, and the organisation is haphazard., I’m planning at some point to go through all the technical stuff and pad it out so that the steps are motivated. Not sure when I’ll get the chance to do it though. Anyhow, it’s great to hear that at least some kind of certificate of doneness almost exists: thanks for all the work you’ve been putting in.</t>
  </si>
  <si>
    <t>CTao_39004</t>
  </si>
  <si>
    <t>Student</t>
  </si>
  <si>
    <t>dropbox</t>
  </si>
  <si>
    <t>Hi,, May I recommend using something like Dropbox https://www.getdropbox.com/ for sharing and working on the LaTeX source tree. This way if you share the source directory with your collaborators they can have a look at the changes as they get synced and also add to it. , It will probably not solve merge conflicts it two or more people are working on the same file, but perhaps if each collaborator works on his own file it might be an easier solution than using cvs/svn/git etc., The great thing about Dropbox is that it is available under Windows, Mac and Linux, and is quite easy to use as its just another folder.</t>
  </si>
  <si>
    <t>CTao_39016</t>
  </si>
  <si>
    <t>I have incorporated Kareem’s file (which was sent by email) into the newest version of the paper at, Click to access polymath1.pdf, The appendix on genetic algorithms source file is at, http://michaelnielsen.org/polymath1/index.php?title=Genetic.tex, Kareem (or anyone else): please feel free to edit the source file; it is the master copy and I will use it (together with the other source files on the wiki) to generate new PDF versions whenever there are major changes to the source.</t>
  </si>
  <si>
    <t>C3540</t>
  </si>
  <si>
    <t>Alexander Woo</t>
  </si>
  <si>
    <t>Matthew</t>
  </si>
  <si>
    <t>role of letters of recommendation</t>
  </si>
  <si>
    <t>Matthew:, I think you may be somewhat too optimistic about the role of letters of recommendation.  At a research university with a sizable department who will have someone in the candidate’s general area(s) of research, I have no doubt that appropriate evaluation of letters can and usually will take place.  However, at a regional state university or lower-tier liberal arts college where an applicant for tenure is trying to count a significant contribution to a large collaboration as one of two or three papers expected for tenure, there may simply be no one who could understand the letter of recommendation and what it says about the tenure applicant’s contribution.</t>
  </si>
  <si>
    <t>C3545</t>
  </si>
  <si>
    <t>I’m planning at some point to go through all the technical stuff and pad it out so that the steps are motivated. Not sure when I’ll get the chance to do it though. Anyhow, it’s great to hear that at least some kind of certificate of doneness almost exists: thanks for all the work you’ve been putting in.</t>
  </si>
  <si>
    <t>CTao_39022</t>
  </si>
  <si>
    <t>American v. Commonwealth English; two papers with different initials?</t>
  </si>
  <si>
    <t>I too wondered about American vs. Commonwealth English for the other paper.  Between me, Tim, Terry, Jozsef (works in Canada)… there might be enough Commonwealth people to tip the scales to “colour” and “analyse”.  On the other hand, this might get settled by the editorial policy of the journals to which we submit., I also wonder whether the two papers might use different initials for this Polymath author, to reflect the fact that the papers were developed via two essentially separate projects (albeit sharing a common wiki and some participants).</t>
  </si>
  <si>
    <t>CTao_39034</t>
  </si>
  <si>
    <t>I translated most of the wiki page on low c_n values into Latex, and included it in polymath1.tex.  I don’t have a Latex compiler, though, so I am sure to have left out a bracket :(.</t>
  </si>
  <si>
    <t>CTao_39042</t>
  </si>
  <si>
    <t>Thanks Michael!  I formatted the text and split up the files a bit.  The latest compiled version can be found at, Click to access polymath2.pdf, It’s 44 pages right now, although this includes a few pages of whitespace which I will try to remove later at some point., There is of course a lot of work to be done in harmonising the notation, cleaning up the non-rigorous language from the wiki into a more professional style, adding pictures etc., but this is a good starting point at least, and will give a rough idea as to what we are evolving towards., I also started putting in stubs for the other source files (fujimura, higher k, etc.) at, http://michaelnielsen.org/polymath1/index.php?title=Outline_of_second_paper, but there is not much there yet., Constructive criticism and suggestions for the paper are, of course, very welcome; there is still a fair way to go before this paper reaches a professional level of quality.</t>
  </si>
  <si>
    <t>CTao_39056</t>
  </si>
  <si>
    <t>I have a proof for d=0 for Moser sets with 43 points. I will post it in several parts:, If a Moser set with n=4 has 43 points it has no points of type d.
Proof: Assume that such a set exists. We have already proved that it contains no point of type e. So we can assume that. This set does not contain such a point. , This set since it has 43 points must have at least 18 points of type c. See http://michaelnielsen.org/polymath1/index.php?title=Maple_calculations.
Since there is a point of type d we can slice the set so that one side cube has its center slot filled and so must have 13 points or less.
The other cubes must sum to 30. The other side cube must not have 16 points since then by the list of Pareto optimizers its distribution would be (4, 12, 0, 0) and it would contribute no points of type c to the Moser set. Then the other side cube could contribute at most 3 points of type c. So for there to be 18 the central cube must contribute 15 which is not possible. , This means the center cube must have at least 15 points for there to be a total of 43. Now we will show that the configuration has at most one point of type d., Assume that there are more than one. Then no two can have the same c-statistic or we can slice and get two side cubes with center points filled which give each a total of at most 13 points which would force the center slice to have 17 points which is impossible., So we can get a slice that has one point of type d in a side cube and the other in the center cube. That means the side cube must have its center slot filled and it must have 13 points, the center cube contains one point of type c(type d in the overall Moser set) and thus must have 15 points or less as the only Pareto optimal set with 16 points contains none of type c. The remaining side cube must have 15 points or more. , The only distribution which works is 13 points in one side cube and 15 in the other two. Now since there is no Moser three set with one point of type c and a total of fifteen points. There must be at least two points of type c in the center cube in giving at least 3 for the overall set.
From this and the Pareto optimizers we see that the distribution of the side slice with 13 points must be (3, 6,3,1) or (4,6,2,1) and of the center and side cubes (3,9,3,0) or (4,9,2,1) This means we have at least 17 points of type b. Every one of these points appears in the center cube in exactly one slice. There are 4 slices so there is one slice with 5 of these points in the center cube., end of part one, part two follows.</t>
  </si>
  <si>
    <t>CTao_39057</t>
  </si>
  <si>
    <t>part two of proof every Moser set with 43 points has no point with three 2’s:, Now since we have at least three points of type d and we can’t have two of them in the side cubes we must have at least one in the center cube. This means that that cube must have at most 13 points. No if either of the side cubes has a point of type d its total will be at most 13 and the third cube must be 17 which gives a contradiction so all three center points must be in the center cube., This lowers the total of the center cube to at most 12. This in fact forces the center cube to have distribution (5,4,3,0) or that distribution with one point removed.. This also forces the sides cubes to have total 31. This means that one will have 16 points and thus have statistics (4,12,0,0). The other will have 15 points and hence have 9 point s of type b giving a total of 25 of type b if the center cube has 12 points. , If it has 11 points then it will have the distribution (5, 3, 3 as that is the only subset of the Pareto optimizers satisfying the conditions.  Then both side cubes will have 16 points which means that neither will contain points of type c which means that there must be 18 points of type c in the center cube which gives a contradiction., So the center cube has 12 points and the total number of points of type b is 25 so since each point of type b occurs in one slice and there are four possible slices there must be one slice with 6 points of type b since we get a contradiction as above if there are less than 11 points. So there must be 12 points the only distribution that works is (6,6,0,0). , But then the middle slice contains none of the points of type d and one must be on a slide slice lowering the total of that slice to 13 or less forcing the other side slice to be above 18. So we have reached a contradiction in assuming that we have more than one point of type d the remaining case is that there is exactly one point of type d., If there is exactly one slice so it is in one of the side cubes. That cube will have at most 13 points. The other side cube can have at most 15 points because if it has 16 it will have no points of type c and the other side cube will have at most 3 of type c and since the total size is 18 we must have 15 of type c in the center cube which gives a contradiction., So the center cube must have at least 15 points. Furthermore since it has no points of type c since we have our single point of type d in one of the side cubes it must be a subset of (4,12,0,0) and must have at least 11 points of type b. To avoid forming a monochromatic line the points of type b of the side cubes must sum to 13 or less., End of part, part three follows.</t>
  </si>
  <si>
    <t>CTao_39058</t>
  </si>
  <si>
    <t>Third and final part of proof that every Moser set with 43 points contains no point with three 2’s:, If the side cube without the center cube has 15 or more points it must have at least 9 points of type b forcing at most 4 of type be in the other side cube which forces its size to 11 or less which forces both of the other cubes to have more than 16 which contradicts the fact that no side cube can have more than 15 points proved above.
So the side cube without the center point must have at most 14 points. The other side cube can have at most 13 points so the center cube must have 16 points and since it cannot have 17 we have the distribution (13,16,14)., This forces the center cube to have all its points of type b there are 12 of these. From the Pareto optimizers the side cube with 13 points with the center spot filled must have at exactly 6 points of type b. We will get a line unless the remaining side cube has more than six points of type b. The only distributions with at least 14 points that satisfies this is (3,6,5,0) and (2,6,6,0). From the Pareto optimal statistics we can limit the possibilities for the other cubes of slice and get the following:, So one center cube has statistics (4,12,0,0) the side cube with thirteen points and the center filled has distribution (3,6,3,1) or (4,6,2,1) and final cube has statistics (3,6,5,0) and (2,6,6,0). So the statistics of the Moser set must be (6,16, 21,1,0), (7,16, 20,1,0), or (8,16, 19,1,0). So the exact number of points of type b must be 16., Now slice the set so that the point of type d is in the center slice. Then the center cube contains a point of type c and has at most 10 points of type b. It must have at most 14 points that means that the other two cubes must total at least 29. If one is 16 then it contains no points of type c and since the center cube contributes at most 10 the other side cube must have 8 such points. This gives a contradiction which means one side cube must be of size 15 and the other of size 14. The one of size 15 contains at most three of type c. The center contains at most 10 so the remaining cube must have 5 or more., Again from the Pareto statistics we can limit the statistics of each of the cubes the side slice of size 15 must be (3,9,3,0) (4,9,2,0) otherwise it will have no points of type c and we will get a contradiction as above.  The side slice must have at least 5 points of type c and at least 14 points so it must have statistics (2,6,6,0) or (3,6,5,0). The center slice must have 1 point of type c in its statistics and at least 9 points of type b in its statistics which are statistics of type in the whole Moser set. Thus it statistics are either (4,9,1,0) which is a Pareto optimal set with one point removed or (3,10,1,0).  Then the distributions are either (5, 19,18,1), (5,18,19,1), (6,19,17,1,0),(6,18,18,1,0), (7,19,16,1,0) or (7,18,17,1,0). Since we must have 18 points of type c the only possible distributions are (5, 19,18,1), (5,18,19,1) or (5,18,19,1). But we have shown the exact number of points of type b must be 16 which is a contradiction and we are done. So every Moser set with d=4 cannot contain a point with three two’s.</t>
  </si>
  <si>
    <t>CTao_39098</t>
  </si>
  <si>
    <t>more proof</t>
  </si>
  <si>
    <t>I have added the proof that every 43 point has no point with three 2’s to the wiki at , http://michaelnielsen.org/polymath1/index.php?title=Moser%27s_cube_problem, It is in the section n=4 following the result I put in the same place earlier that every 41 point set has three or less points with three 2’s.</t>
  </si>
  <si>
    <t>CTao_39121</t>
  </si>
  <si>
    <t>I finished the proof that a 42 point Moser set must have 2 or less points with three 2’s. I posted it in the wiki at http://michaelnielsen.org/polymath1/index.php?title=Moser%27s_cube_problem at the end of the section n=4. I also posted it here but since it was so long It did not go through.</t>
  </si>
  <si>
    <t>CTao_39122</t>
  </si>
  <si>
    <t>Thanks Kristal!  I am going through the paper now to write an introduction and reformat some of the existing text, and will incorporate your new material shortly., Incidentally, Ryan (whose comment was initially trapped in the spam filter, sorry!) raised the question of how to attribute authorship here.  I like the idea of having just the Polymath pseudonym as author (but we can debate what the first initial should be :-).  We may also want some section listing contributors to the project, though there is a delicate issue of where to draw the line between “major” contributors and “minor” contributors – does a single comment on a thread count as a contributor?  I can see the case of not trying to list contributors at all to avoid this problem.  (I may need eventually to list a corresponding author, though, to handle journal submission.)</t>
  </si>
  <si>
    <t>CTao_39123</t>
  </si>
  <si>
    <t>I am now back home and beginning to be free of jet lag as well., I can start out by  writing a section describing the integer programing methods I have used for those of the computational parts I have done.</t>
  </si>
  <si>
    <t>CTao_39126</t>
  </si>
  <si>
    <t>use wiki for source</t>
  </si>
  <si>
    <t>Dear Klas:, Sure, please do!  The relevant file for this is, http://michaelnielsen.org/polymath1/index.php?title=Integer.tex, I’ve written an introduction, added in Kristal’s Moser stuff (thus making the Moser bounds up to n=5 computer free except for Michael’s Pareto-optimality calculations for n=3), at, Click to access polymath3.pdf, Michael, was there anything special you did to obtain the n=3 calculations?  I guess the 2^{27} ~ 10^8 combinations can simply be brute-forced in a matter of minutes on a modern computer, so nothing fancy is needed.</t>
  </si>
  <si>
    <t>CTao_39130</t>
  </si>
  <si>
    <t>There are shortcuts to the 2^{27}.  For example, ,   * There are 230 line-free subsets of the square.
  * Choose a first layer, choose a third layer.
  * Find which second-layer cells do not complete a vertical or sloping line.
  * Identify the list of pareto-optimal second layers that are made from those cells.  There are 512 of these lists, average length 3, longest length 23.
  * Build the cube, find its statistics, compare with the current list of pareto-optimal statistics., The first point saves a factor of 11, the second saves a factor of 2, and the fourth saves a factor of between 10 and 100.</t>
  </si>
  <si>
    <t>C3570</t>
  </si>
  <si>
    <t>partial/elementary</t>
  </si>
  <si>
    <t>I extended the note about corners in Cartesian products with a proof of the k=3 case of the DHJ theorem. This write up is (very) elementary; for example it uses equal slices distributions indirectly, without even stating the definition. Here is the link:, Click to access cubes3.pdf, I will put there the tex file too in case you will find it useful for the write-up. I’m still not sure what would be the way to use our wiki page for that.</t>
  </si>
  <si>
    <t>CTao_39140</t>
  </si>
  <si>
    <t>I am going to start showing that each of the Pareto optimal configurations are Pareto optimal by hand. I will put it at the end of the n=3 section of the Moser wiki and periodically post what I have done so far here.</t>
  </si>
  <si>
    <t>CTao_39141</t>
  </si>
  <si>
    <t>method suggestion</t>
  </si>
  <si>
    <t>Dear Kristal: Thanks for this.  It may help to first compute the Pareto-minimal counterexamples (i.e. the (a,b,c,d) which are larger than those in Michael’s list, but end up in Michael’s list after removing one from any of a,b,c,d) and to eliminate each of them.  From the n=2 inequalities (and using the planes xy1, xy2, and xxx, averaged over symmetries) we have a number of linear constraints, , which should be helpful in eliminating many of these; these inequalities, by the way, together with the trivial inequality , are given as Y3 in the maple computations on the Wiki., One should also be able to get one or two more inequalities by using the skew planes xxy as per Michael’s method, but I haven’t computed what they are.  Anyway, it may be a good idea to do this first, before doing the labor-intensive program of eliminating each of the possible counterexamples by hand.</t>
  </si>
  <si>
    <t>CTao_39142</t>
  </si>
  <si>
    <t>didn't work like I thought</t>
  </si>
  <si>
    <t>Hmm, the technique wasn’t quite as effective as I had first thought.  It seems that the Pareto-minimal counterexamples that are consistent with these inequalities are (4,5,3,1), (3,11,1,0), (4,10,1,0), (5,8,1,0), (6,5,1,0), (5,7,2,0), (6,4,2,0), (4,8,3,0), (5,5,3,0), (6,0,3,0), (3,8,4,0), (4,7,4,0), (5,0,4,0), (3,7,5,0), (4,5,5,0), (3,6,6,0), so one has to eliminate 16 possibilities – not too pleasant, unless one can find some way to do them in batches.  Also, it looks like the xxy planes don’t give any new inequalities, so no luck there.</t>
  </si>
  <si>
    <t>CTao_39143</t>
  </si>
  <si>
    <t>edit/review/correct</t>
  </si>
  <si>
    <t>I’ve given the paper a thorough look … this really was quite a substantial effort! , I do think we should be more careful about stating the “open problems” left remaining (for example, in the saturation section it states (4,4) and (4,6) are not saturated … and then the text cuts off)., I have time Friday and will try writing the Fujimura section then. , I can also try the geometric / combinatorial picture.</t>
  </si>
  <si>
    <t>CTao_39144</t>
  </si>
  <si>
    <t>questions about the picture</t>
  </si>
  <si>
    <t>Regarding the picture …, Dimetric? Isometric? Does anyone care?, Numbers on or off? (Because this is black and white I’m inclined to leave them off, it’s too hard to handle the visibility with the lines crossing over.), Showing 3^3 side by side … should it be combinatorial on the left and geometric on the right, or vice versa?</t>
  </si>
  <si>
    <t>CTao_39145</t>
  </si>
  <si>
    <t>sort of a "what would it take to solve this?"</t>
  </si>
  <si>
    <t>Dear Jason: Thanks for helping out!  I think whatever picture looks best is fine; we can always use the caption to explain what the interpretation of the picture is., Dear Michael: These are neat speedup tricks for the brute force search.  I thought of another one which could conceivably save another factor of up to 8.  You said that there were 230 line-free subsets of the square; but many of them are going to be equivalent, using the symmetry group  of the square which has order .  So one can group 230 into about 30 or so equivalence class, each of which typically has size 8 (there are a few that are smaller, but generically one expects each equivalence class to have the full size of 8)., We can arbitrarily order the ~30 equivalence classes (thus giving each of them a number from 1 to ~30), and then arbitrarily order the representatives within each class (giving them a number from 1 to 8)., Now, by symmetry, when considering the first and third slices, one can assume that the equivalence class of the first slice has a equal or lesser number than that of the second slice (saving the same factor of 2 that you saved), _and_ one can assume that the first slice is the _first_ representative of the equivalence class that it is in (thus saving an additional factor of up to 8)., This brings up the possibility that one might now be able to compute the Pareto-optimal table for .  A pure brute force would take  computations, which is infeasible.  But with all these speedups, I think there is a chance.  Firstly, the total number of line-free sets in  is at most ; actually, the number is likely to be significantly less than this, let’s say of the order of .  It should not be hard to enumerate all of them.  Then, we have the symmetry group of , which has order .  Dividing this out, we are looking at something like 20,000 equivalence classes of line-free sets, each with up to 48 representatives.  So the outer loop here is going to be over about  combinations; a bit large, but within the range of modern computers., But what happens inside the loop?  We have to prepare a lookup table for each of the  possible sets cut out by non-horizontal lines between the first and third layers.  Each element of the lookup table consists of a list of Pareto-optimal quadruples.  Given that there are 22 Pareto-optimal quadruples for the entire set , it is reasonable to expect that the average list will have length , leading to a lookup table of about 2GB in size, which is quite manageable.   It looks like processing the loop for each choice of first and third slices would take about  bit operations or so (being conservative), for a total computation cost of maybe  bit ops, which should be performable in a matter of weeks on a typical computer (less, if one programs efficiently)., The one tricky thing would be to build the lookup table.  Given  line-free sets in , a brute force approach would require matching  pairs, which assuming  bit ops to compare each pair would take centuries.  But one can use the symmetry group to cut down the  combinations by a factor of about 48.  One might also be able to cut down the amount of computation by grouping the  line-free sets according to their (a,b,c,d) statistics; once a hit is found for one line-free set in its (a,b,c,d) class, none of the other sets in that class need to be checked, and none of the sets in classes strictly smaller than that class need to be checked either for the purposes of Pareto optimality.  This could conceivably shave a factor of, say, 10 from the running time.  This brings the total computation required to the level of months; it is easily parallelisable, so given several computers one could do it in a reasonable period of time.  , I’m not sure this is really worth the effort yet, though; it would give a whole bunch of inequalities which we could use to improve the upper bound on , but it’s still unlikely that we will come that close to the lower bound coming from the GA (the current range is 353,361)., One thing which might be computable pretty quickly though is the exact number of line-free sets in , and how many equivalence classes there are under symmetries.  This would give us a more accurate idea of whether the above computation is really feasible.</t>
  </si>
  <si>
    <t>CTao_39146</t>
  </si>
  <si>
    <t>improving earlier work</t>
  </si>
  <si>
    <t>Actually, my initial computations were bit too conservative.  To compare whether a centre slice fits inside one of the  subsets of , one merely needs to AND together two 27-bit (i.e. 4-byte) strings together and check whether the result is zero or not, which should take considerably less than  bit operations.  , Another thing to do is to separate into two cases, one where the set contains the centre 2222 and one where it doesn’t.  When it doesn’t, one only has  sets to consider rather than , and the number of line-free sets in the slice should also go down slightly (and the management of statistics should be slightly easier too).   On the other hand, when one does have 2222, then there should be far fewer line-free sets to deal with, and also the first and third slices are much more constrained, so the loop should run a lot faster.  This may end up saving another factor of 2 or so… not too much, but these savings add up after a while.</t>
  </si>
  <si>
    <t>CTao_39153</t>
  </si>
  <si>
    <t>Thank you for the elimination to 16 cases. The problem as it is looks doable to me.</t>
  </si>
  <si>
    <t>CTao_39158</t>
  </si>
  <si>
    <t>machine and runtime</t>
  </si>
  <si>
    <t>machines available</t>
  </si>
  <si>
    <t>Regarding the pictures, are the sorts of pictures that I have on my website useful?  Because I have code that can automatically generate these for arbitary elements in 3^n from a given list of elements., Interesting discussion of speedup tricks.  I suspect it might be relevant to the GA.  I would not be surprised if my current representation of solutions can be drastically improved., Concerning the GA, I am thinking of organizing a group computation if people would be interested.  I could distribute a pair of 32-bit executables that would run on Windows and Linux computers.  If a large number of computers could be used, we might increase the probability of better results.  Is this something that people would be interested in?</t>
  </si>
  <si>
    <t>CTao_39163</t>
  </si>
  <si>
    <t>There are 3813884 line-free subsets of 3^3.  These form 83158 equivalence classes:  76066*48+6527*24+51*16+338*12 +109*8+41*6+13*4 +5*3+3*2+5*1, In the case without the 2222 point, the centre of the third layer does not affect the second slice, and the six points next to the centre only affect one cell each of the second slice.  So it should be quick to calculate which cells the second slice is constrained to.</t>
  </si>
  <si>
    <t>CTao_39166</t>
  </si>
  <si>
    <t>Dear Kareem: I think the pictures you have will indeed be useful for visualising higher-D sets.  Kevin O’Bryant kindly contributed a sample 2D picture which is now on the new version of the paper at, Click to access polymath.pdf, but for 3D and higher I think your software is the way to go.  One could for instance have a nice picture depicting maximal line-free and Moser sets in low dimensions, which we could then put in the “lower bound” sections of the paper…, Incidentally I was playing around with the 3^6 Moser set examples.  Kareem’s 353-point example does seem to be significantly better than the type of sphere-packing examples we had before; I could only get up to 342 points that way, though perhaps I wasn’t being maximally efficient.  There does seem to be an interesting phase transition at six dimensions, where the maximisers become much more chaotic.</t>
  </si>
  <si>
    <t>CTao_39167</t>
  </si>
  <si>
    <t>Dear Michael: Thanks for the computations!  They came in a bit larger than what I was hoping, but still not too bad.   After using the symmetries, the number of first slice/third slice pairs that one has to deal with is roughly  – large but not impossibly so., In the case when 2222 is omitted, one can greedily fill in the 1222 and 3222 spots, which should cut down the  possibilities for the first and third slices a little bit.  But the lion’s share of the work here is still in crafting the lookup table; there are  possible configurations for the forbidden portion of the second slice cut out by the lines connecting the first and third slices (but after dividing out by the symmetry group this should have size about ), to be compared against the 3813884 line-free sets (actually we only need those sets which omit the centre point 2222, which should cut the latter down a little bit).  That’s close to being brute-forceable as is (we’re looking at about  comparisons), but one should be able to speed this up a bit by first sorting the 3813884 sets into (a,b,c,d) classes, working with the large ones first, and skipping the rest of a class (and all classes below it) as soon as one gets a “hit” in that class., With the centre point 2222, things look pretty good, in large part because I believe the number of line-free sets in the second slice should be cut down substantially (for instance, just by considering the 13 rays through the center of  I get a crude bound of , and the truth should be even lower than this).  And most of the  first-slice/third-slice pairs should be eliminated instantly due to the 2222.    So it’s beginning to look feasible…</t>
  </si>
  <si>
    <t>CTao_39169</t>
  </si>
  <si>
    <t>storing the moser set as a string of bits ?!?!?!?</t>
  </si>
  <si>
    <t>Kareem, it occurred to me that 230 fits nicely inside a byte range 0,255.  So one could store a Moser set in , for instance, as a string of  bits.  (One might want to pad out the list of 230 with 26 additional line-free sets to make a clean 256, e.g. by taking 26 line-free sets from the best examples of Moser sets we already have.)  It should not be hard to build a lookup table of  bits (= 512 MB) declaring which triples of 2D line-free sets give 3D line-free sets (Michael may already have done this, in fact; also, one can use symmetries to reduce the size of the table).  One could then test whether a set in  is line-free by checking this lookup table once for every line in .  The number of such lines is, ,, so by storing those linesets in a lookup table too one should be able to test for line-free-ness in a quick manner.  (The downside, though, is that if there are lines, it is difficult to decide how to modify the set to eliminate the lines.  I guess one could augment the 512 MB table by associating to each non-line-free set in , a line-free set that can be obtained by eliminating as few points as one can from the set (this may explode the size of the lookup table, though, unless one uses symmetries).  Applying this procedure once for every offending line, one should get back to a line-free set.), Coming back to the statistics for  sets, it occurs to me that one can split up the computation in a way that should speed it up substantially.  For instance, define the signature of a set in  to be its intersection with the set {222, 221, 223, 212, 232, 122, 322}.  There are  possible signatures (and significantly less, if one uses symmetry), so one can subdivide the 3813884 line-free sets into 128 classes based on signature (this is going to be a rather uneven distribution, though).    So, for each of the  subsets of , one does not need to compare against all  sets, but only those whose signature is disjoint from the signature of the set being considered, which should cut down the number of comparisons significantly, especially when combined with the symmetry reduction.</t>
  </si>
  <si>
    <t>CTao_39172</t>
  </si>
  <si>
    <t>Rereading the paper: we found a counterexample to the HOC for k=4 but I don’t believe we addressed larger k. Unless there’s a trivial argument involving subsets that I’m missing to dispense with all larger k, we should at least test k=5 (in case primality is a factor).</t>
  </si>
  <si>
    <t>C3576</t>
  </si>
  <si>
    <t>amazed by simplicity &amp; effectiveness; Tim promised some explanations</t>
  </si>
  <si>
    <t>I’m planning to add a few more pages to the note proving the higher dimensional version of the “corners in Cartesian products of cubes” theorem. It will give a surprisingly short and simple proof of Szemeredi’s theorem. The more I use Tim’s partitioning argument the more I am amazed about its simplicity and effectiveness. I would be very interested to learn more about the connections/similarities to the Hahn-Banach theorem. I vaguely recall that Tim promised some explanations …</t>
  </si>
  <si>
    <t>CTao_39173</t>
  </si>
  <si>
    <t>I just put in a rewritten proof of Theorem 1.3 (what was there was incorrect). We can run pretty much the same proof to give a construction for k^n. Maybe this should just replace Theorem 1.3, or maybe it’s wise to keep the simpler version here, and put the general version in the “higher k” section., I haven’t worked out the theorem for k^n, just the proof.</t>
  </si>
  <si>
    <t>CTao_39177</t>
  </si>
  <si>
    <t>I started working on the Pareto minimal conterexamples. I got through the first two. What I have is at the end of section n=3 on the Moser wiki.</t>
  </si>
  <si>
    <t>CTao_39187</t>
  </si>
  <si>
    <t>The asymptotic lower bound really uses a subset B of n^2 that is free from 3-term APs. One way to construct such a thing is take a subset A of n that is 3-free, and then use B=A x A. I’d be surprised if there was a better construction known, but am I wrong to suspect that there are larger B that are not simple products?</t>
  </si>
  <si>
    <t>CTao_39188</t>
  </si>
  <si>
    <t>There is a counterexample to the HOC for all even n greater than 2. One takes one element on the diagonal say (n,n) then one can take (a,a+1) for all n-1 vaules 0 through n-2 and (n-1,0) this will block all combinatorial lines and it has weight (n+1)/2. The complement of this thus line free. Its weight is greater than any set of slices. For each such set must contain at least one diagonal blocking point and n-1 other blocking points if it has two or more diagonal blocking points the complement will be less than the above set(there must be at least n blocking points so 2 or more diagopnal points increase the weight by 1/2 and pushes it over the limit constructed above. If it has one then because of parity reasons it must have an additional point (there are an odd number of coordinates to take care of and since if (a,b) is in the blocking set (b,a) must be as well, coordinates must be blocked by pairs there is one left over which requires an addition point or an addition point of the form (a,a) which makes the line free set lower than the above construction. The HOC is known to be true for 2 and for even numbers greater than 2 by the above it is false. For odd numbers three and greater the answer is not known.</t>
  </si>
  <si>
    <t>CTao_39189</t>
  </si>
  <si>
    <t>code work</t>
  </si>
  <si>
    <t>I have modified my program to test the HOC for larger k as well. For k=6 it found counterexamples for n=2,3 and it is working on the optimal value for  n=4  now., For k=5 it has verified the conjecture for n=2,3,4,5, and it might be able to finish the computation for n=6 as well but it is very slow., I’m a bit short on time today but I’ll post the values for Fujimura for k=5,6 later, and compile a list of optimal solutions for the weighted problem for k=5,6 and small n as well.</t>
  </si>
  <si>
    <t>CTao_39192</t>
  </si>
  <si>
    <t>I am still working on the Pareto minimal counterexamples . I have done the first 6. They are in the wiki at the end of the section n=3.</t>
  </si>
  <si>
    <t>CTao_39208</t>
  </si>
  <si>
    <t>also some questions RE computation</t>
  </si>
  <si>
    <t>I have updated the section on lower bounds for Moser sets. In particular I have given a description what the bounds of Chvatal give. In fact, for dimension n&gt;7 they improve our bounds in the spreadsheet. , I also updated some diacritics in the references.
Komlos to  Koml\'{o}s and Chvatal to Chv\'{a}tal, To be done:
equation (1.1) should be changed in the light of the updates above.
For example by equation (2.2), reference to Andries Brouwer’s table or another explicit table of coding results on
A(n,d) into references., Is any result known that states that the maximal size of a binary code wit n bits minimum distance d, i.e. A(n,d) is even (if it is not equal to 1)?, ———–
Kareem in case you read this: you recently mentioned you could do an extended computation. If I remember it right my suggestion of improving the programme (post 1116) was never taken up. I would hope that such a modification would save a lot of computational time.</t>
  </si>
  <si>
    <t>CTao_39210</t>
  </si>
  <si>
    <t xml:space="preserve">reasons for delay </t>
  </si>
  <si>
    <t>Dear Christian,, Good point about the modification you suggested.  I was favoring something like distributing excutable copies of the program because it doesn’t take too much time on my part (less than an hour) and might make a difference.  , Your modification, while worthwhile, would probably take a day (at the most optimistic) or more to implement.  The algorithm isn’t conceptually complicated but doesn’t mesh well with my data structures and my general program design., I was intending to implement your idea a few months ago but the demands of classes/life in general got too high to put much time toward this project., I have a little more time now.  (Although due to some complications with moving, I haven’t had access to my computer/programs/data for several days now).  After several days of missed promises, according to the movers, I should see it today though!  So I am living out a suitcase and doing all the other moving related stuff., Terry’s idea also looks like a productive direction but would require a full redesign from the ground up., I am trying to navigate the time cost/benefit curves as best I can. Sorry about the delays., Kareem</t>
  </si>
  <si>
    <t>CTao_39213</t>
  </si>
  <si>
    <t>I have the first 8 of the 16 Pareto minimal counterexamples.</t>
  </si>
  <si>
    <t>CTao_39221</t>
  </si>
  <si>
    <t>I have written a Matlab script to calculate the lookup table for the 3^4 brute-force calculations.  I ran 1000 randomly chosen forbidden sets; it found an average of eight Pareto maxima for each forbidden set, with a maximum around 22 maxima.  , It takes about four seconds for each forbidden set, although the empty forbidden set took thirty seconds.  At this rate, it would take four months to run the complete table</t>
  </si>
  <si>
    <t>CTao_39223</t>
  </si>
  <si>
    <t>significant time reduction in runtime</t>
  </si>
  <si>
    <t>My routine would now run in about two weeks, not four months.
There are 499 possible statistics that a Pareto line-free subset of 3^3 can take, so with 2^27/48 lists, average eight Pareto sets, it might fit in 20MB or 40MB.</t>
  </si>
  <si>
    <t>CTao_39224</t>
  </si>
  <si>
    <t>Dear Michael,  this is promising, it looks like the algorithm run time is almost within a feasible range, especially since it should be possible to split up the task among several computers (e.g. to do the case with 2222 and the case without 2222 separately).   Can I ask how you search for the Pareto maxima for each forbidden set?  It may be possible to squeeze an extra factor of 2 or something by an additional trick.  (In particular, I suspect that the with-2222 and without-2222 cases each take less than half of the projected time of the whole algorithm, due to additional shortcuts one can take in either case (e.g. filling in the 2222 point greedily))., The one additional idea that occurred to me is that if one already knew the Pareto optimal statistics for one forbidden set, then this would give partial information about the statistics for any larger forbidden set (and also for any smaller forbidden set), which may reduce the number of statistics one has to search.  Given that it’s only taking half a second now to check each forbidden set, though, the benefit of trying to set this up may not be worthwhile.  (It also interacts somewhat clunkily with the 48 symmetries.)</t>
  </si>
  <si>
    <t>CTao_39227</t>
  </si>
  <si>
    <t>I have four more cases. I now have 12/16 of them. All of them are at the end of the section n=3 at , http://michaelnielsen.org/polymath1/index.php?title=Moser%27s_cube_problem</t>
  </si>
  <si>
    <t>CTao_39236</t>
  </si>
  <si>
    <t>Michael, is your final program in Matlab too? I have several machines where I can run programs but they do not have Matlab since they moslty for batch work.</t>
  </si>
  <si>
    <t>CTao_39240</t>
  </si>
  <si>
    <t>could we also get the Matlab code??</t>
  </si>
  <si>
    <t>Klas,, My final program is in Matlab; I haven’t worked out how to compile and run Matlab routines outside of Matlab.  I put the program in the Moser wiki page.  I have Student Matlab 5, which is a little out of date., Note this routine is only to build the lookup table.  For each subset of 3^3, it gives a list of Pareto-max statistics, of line-free sets restricted to that subset.  , The routine is easily parallelizable.  Speedups would be welcome as, at an average of half a second per restriction subset, it would take two weeks to run.</t>
  </si>
  <si>
    <t>CTao_39245</t>
  </si>
  <si>
    <t>I have finished all sixteen cases. The are at the end of the section n=3 of the Moser wiki.</t>
  </si>
  <si>
    <t>CTao_39252</t>
  </si>
  <si>
    <t>Michael,
If the program can be run in command line Matlab I have available at least 16 linux machines where I can run it if you want to cut the final run time  down., For things which are pure C, or something similar, I have a lot more available.</t>
  </si>
  <si>
    <t>CTao_39255</t>
  </si>
  <si>
    <t>Kristal: That’s great!  I’ll try to go through them at some point.  They may either go into an appendix of the paper, or else we could leave them on the wiki and put a link to them from the paper., Michael: A couple speedups occurred to me.  Firstly, once we compute the Pareto statistics (a,b,c,d) for forbidden sets avoiding 222, then we automatically get the Pareto statistics for forbidden sets with 222 as well – just set d to zero!  So we need to only check 2^{26}/48 configurations rather than 2^{27}/48., Once 222 is no longer forbidden, we can fill in 222 greedily among the 3813884 Moser sets, which may cut down the possibilities a little bit., Another observation is that the (1,b,c,d) statistics can be deduced from the (0,b,c,d) statistics, because if one has a (0,b,c,d) Moser set, one can automatically create a (1,b,c,d) Moser set by adding an arbitrary a-point.  (It requires two a-points to make a line.)  So unless all 8 a-points are forbidden, we can move a from 0 to 1 “for free”.  Similarly we can deduce the (0,1,c,d) statistics from (0,0,c,d), and (0,0,1,d) from (0,0,0,d).  This trims down the cases a little bit (this is a pretty modest saving though.), In a similar spirit, it is easy to see when (a,0,0,0) is feasible – this occurs whenever at least a of the a-points are not forbidden.  Similarly for (0,b,0,0), (0,0,c,0), (0,0,0,d).  With all this we should be able to reduce the 499 possible (a,b,c,d) statistics for Moser sets to a modestly smaller number.</t>
  </si>
  <si>
    <t>CTao_39262</t>
  </si>
  <si>
    <t>OK, I dusted off my old C programming skills and managed to get an algorithm that tests each forbidden set in about 0.07 seconds on my laptop, which when multiplied by  would become roughly a day (but perhaps less, on a dedicated computer)., What I did was as follows.  I brute-force located all 3813884 3D Moser sets (confirming Michael’s count – actually, it only takes about 15 seconds to find them all), and sorted them into the 499 (a,b,c,d) possible statistics, creating 499 lists.  I then threw away the redundant or easy statistics from my previous comment (i.e. (1,b,c,d), (0,1,c,d), (0,0,1,d), (a,0,0,0), (0,b,0,0), (0,0,c,0), (0,0,0,d)), leaving 369 lists, totaling 3151007 sets in all.  (Full statistics can be found here..)  I sorted these lists by size; most are quite small, for instance 159 of them are under 1000 in length, the longest being (2,5,2,0) which has 108528 elements.  To find the statistics for each choice of forbidden set, I then started with the smallest lists first and worked down towards the largest lists, but each time I found a feasible set (a,b,c,d), I then skipped all smaller choices of (a,b,c,d), and conversely when I found that (a,b,c,d) was infeasible I skipped all larger choices of (a,b,c,d).  Also, I initially computed the maximal values of a,b,c,d compatible with the forbidden set and excluded any (a,b,c,d) that were not less than or equal to these maximal values. , Michael, just to double check my code, could you plug in the following randomly chosen forbidden sets (written as 9 octal digits = 27 bits, identified with subsets of  by identifying the latter with {0,…,26} using base 3 – actually the beauty of the Moser set problem is that the conventions here really don’t matter, due to the symmetries of the Moser problem) into your own code and see what Pareto-optimals you get?  My Pareto-optimal list is likely to be a little bit shorter (avg length is about 5.5) because I removed all the redundant statistics.  Alternatively, you could send me some of your randomly chosen lists so that I can check my own code…, 405301460…(3 6 2 1) (3 5 3 1) (3 9 0 0) (3 6 4 0) (3 7 3 0) (4 7 1 0) (4 6 2 0) (3 8 1 0) (4 4 3 0) , 607626507…(0 4 4 0) (0 6 2 0) (0 5 3 0) , 340302444…(4 5 4 0) (3 6 2 1) (4 6 3 0) (4 7 2 0) (5 3 2 0) (5 5 0 0) (5 4 1 0) (3 8 1 0) , 645570745…(0 6 3 0) (0 4 4 0) , If it checks out, then I’ll try to write the rest of the code that I could give to Klas to run on a better machine than my laptop.</t>
  </si>
  <si>
    <t>CTao_39267</t>
  </si>
  <si>
    <t>check results</t>
  </si>
  <si>
    <t>Terry,, Unfortunately, our Pareto lists don’t match.  Here are my results:, Oct(405301460)=Dec(68518704)
 (3 5 1 1) (2 9 1 0) (3 8 2 0) (5 5 0 0) (4 7 1 0) (3 9 0 0)
Oct(607626507)=Dec(102706503)
 (2 4 3 0) (1 6 1 0) (2 5 2 0) (1 5 2 1) (2 4 2 1)
Oct(340302444)=Dec(58819876)
 (3 5 2 1) (3 6 2 0) (3 3 3 1) (3 4 4 0) (3 5 3 0) (4 4 2 0) (2 6 3 0) (2 5 3 1) (3 7 1 0) (4 5 1 0) (2 5 5 0)
Oct(645570745)=Dec(110555621)
 (2 5 3 0) (3 4 3 0) (2 6 2 0), I’ll recheck my program.</t>
  </si>
  <si>
    <t>CTao_39271</t>
  </si>
  <si>
    <t>why we didn't match</t>
  </si>
  <si>
    <t>Hmm, maybe we have different conventions?  For instance, for the forbidden set Oct(405301460)=Dec(68518704), I get Oct(252436105)=Dec(44710981) as a Moser set with statistics (3,6,2,1) which is disjoint from the forbidden set, so it doesn’t look like to me as if (3,6,1,1) can be Pareto-optimal., Also, Oct(607626507)==Dec(102706503) contains the centre square 222 (because of the “2” in the middle of the octal string) and so the (1,5,2,1) and (2,4,2,1) statistics in your Pareto-optimal list can’t be right., Not sure what is going on here…</t>
  </si>
  <si>
    <t>CTao_39273</t>
  </si>
  <si>
    <t>issue/bug identified</t>
  </si>
  <si>
    <t>now we match</t>
  </si>
  <si>
    <t>Yes, I found my bug.  I multiplied by 256 when I should have multiplied by 512 to go from one layer to the next.  Now my results agree with yours.</t>
  </si>
  <si>
    <t>CTao_39279</t>
  </si>
  <si>
    <t>I managed to build a lookup table; it is 113MB (but a mere 643KB when compressed); I’ll upload the latter when I get into work tomorrow.  (It turned out that the 0.06 seconds / forbidden set runtime was dominated by the outputting of my debugging code (!); without it, the run time dropped by a factor of ten, and I was able to generate the table in a matter of minutes on my laptop.  The (rather inelegant) code for generating the table is here.), In order to make the lookup table fixed-width (to make it as easy to access as possible) I chose a rather idiosyncratic format.  The 2^{26} forbidden sets (excluding 222) were split into a 12-bit string (representing the b’s) and a 14-bit string (representing the a’s and c’s).  The b-string was then mapped to the reflection of itself (among all 48 reflections) which had the smallest b-value; of the 4096 b-strings, there are 144 minimal such b-strings.  So the total number of forbidden sets is 144 * 2^{14}., For each forbidden set A, and each value of a,c,d, I recorded the largest b-value such that (a,b,c,d) is a feasible statistic of a Moser set avoiding A (or -1, if no such b-value exists).  It turns out that the number of nontrivial values of (a,c,d) is 49, so I used 49 bytes per forbidden set, for a total of 144 * 2^{14} * 49 = 110 MB.  (Presumably the extra 3MB in my file are for file management purposes and checksums.), In the next few days I’ll test the lookup table by checking the test statistics given earlier, and then I should be able to build the outer loop to test the roughly 3813884^2 / (2 * 48) ~ 1.5 x 10^11 combinations.  I haven’t costed this yet, but this step may well require more computational power than my laptop has…</t>
  </si>
  <si>
    <t>CTao_39284</t>
  </si>
  <si>
    <t>Terry, I’ll be happy to supply some computing power if more is needed, and the program  can be run on the machines I have available, which are mostly linux.</t>
  </si>
  <si>
    <t>CTao_39290</t>
  </si>
  <si>
    <t>suggested method</t>
  </si>
  <si>
    <t>Here is a suggestion that uses the Pareto lists to do the full calculation:, * Pick an abcd1 statistic for Layer 1.  Pick an abcd3 statistic for Layer 3.
* Initialize the list of possible Layer2 statistics
* For one representative per 48 with the abcd1 statistic, and for each pattern with the abcd3 statistic, find the forbidden set.  Turn on the Pareto statistics for this forbidden set.
* Find the pareto optima of the possible Layer 2 statistics.  Combine with abcd1 and abcd3, and compare with the 3^4 pareto optima.
* Loop through other abcd1 and abcd2 statistics., There is the following shortcut when 2222 is disallowed.
To find the forbidden set, you can group together all those Layer3s with the same a and b points, and same number of c points.  Each forbidden Layer 2 set can be found from a common ancestor with a single bitand and bitor.  This common ancestor also applies to different numbers of c points, so its calculation can be averaged over up to ninety Layer3 sets., There are on average 5 or 6 pareto sets for each forbidden set, so the main part of the algorithm might take a dozen or so flops, times 83000*3800000/2</t>
  </si>
  <si>
    <t>CTao_39293</t>
  </si>
  <si>
    <t>Dear Michael: Thanks for the suggestion!  Certainly one wants to cut down the number of operations per 83000*3800000/2 Level 1/Level 3 pairs as much as possible.  It requires loading an array of size 2^{27} = 128 MB for the possible Level2 statistics into memory (in addition to the 110MB lookup table I already have) but it seems that even my laptop will be capable of doing both simultaneously – I’m glad memory technology has advanced in the last 10 years!  (I guess I could compress the table to 2^{27} bits rather than 2^{27} bytes, but this might cause a few more bitops per Level1/Level 3 pair, and the time-memory tradeoff might not be worth it.  One could also try to use symmetries to perform more compression, but this again would cost a lot of bitops.), I still haven’t tested my lookup table yet, but hope to do so soon, at which point the above scheme should be implementable soon.</t>
  </si>
  <si>
    <t>CTao_39299</t>
  </si>
  <si>
    <t>I have now put the values for k=5,6 Fujimura on my table page, and the optima solutions for small n. As you can see the number of optimal solutions grows quite fast here.
http://abel.math.umu.se/~klasm/Data/HJ/
I’m still trying to get the value for k=6 n=5., I have found the optimal values for the weighted problem for k=5 up to n=5 and the HOC holds there. I might be able to get the value for n=6 too, but the integer program is difficult even for the commercial MIP-solver I am using now., For k=6 the weighted problem has optimum
35/2 for n=2
140/3 for n=3, I’ll try to find the optimum for n=4 later when the machine with the better MIP-solver is free., Again it looks like the HOC fails by a larger and larger margin for larger n.</t>
  </si>
  <si>
    <t>CTao_39327</t>
  </si>
  <si>
    <t>bug resolved</t>
  </si>
  <si>
    <t>I fixed a bug in the code to create the lookup table (available here) and I have tested it on the sets given above.  The sheer number of combinations to search, though, is daunting; even with 2222 present and using the 48 x 2 symmetries, the total number of Level1 x Level3 pairs to check is roughly 4 billion (it took me an hour just to count these pairs, and I haven’t tried actually looking up their stats).  And without 2222 we’re looking at about 150 billion., But it occurs to me that we can exploit the full symmetry group of the cube 3^4, which is eight times larger than the order 48 symmetry group of 3^3, by putting the sixteen corners of the cube (i.e. the eight corners of Level1 and the eight corners of Level3) in some canonical form before doing the pair-checking.  In principle this can save a factor of 4 over our current strategy, which exploits a group of order  rather than .    I’ll have to look at the equivalence classes of the 2^16 subsets of the corners to see exactly what one gets here…</t>
  </si>
  <si>
    <t>CTao_39333</t>
  </si>
  <si>
    <t>cost</t>
  </si>
  <si>
    <t>OK, so I did some costing and it looks like the trick in the previous comment will reduce the number of pairs to check to 74 billion, i.e. a factor of 2 saving – not as much as I had hoped but still substantial.  One new observation is that the a=1 and a=2 Pareto-optimal statistics for 4D Moser sets can be derived automatically from the a=0 Pareto-optimal ones, so they don’t need to be computed separately.  Indeed, given any (0,b,c,d,e) Moser set, one can create a (1,b,c,d,e) Moser set for free by adding an a-point arbitrarily.  Also, a Moser set cannot saturate all of the b,c,d,e layers, so one can also get a (2,b,c,d,e) Moser set for free by adding a pair of a-points whose midpoint is in the complement of the set.  So one only needs to look at the  corner sets for which a=0,3,4,5,6,7,8.  Thus turns out to give 396 possibilities after symmetries.  For each of the 396 equivalence classes, one slices the 4D cube into 3D slices in such a way to minimise the number of Level 1/ Level 3 pairs obtained, which gives the 74 billion pairs., There is a chance that all (0,b,c,d,e) Moser sets can in fact be completed to (3,b,c,d,e) Moser sets automatically; if so, then we can eliminate the a=3 case and this saves about 17 billion pairs to check.  Perhaps someone (Kristal, perhaps?) might like to have a go at this conjecture?  (Formally: if  is a Moser set with a=0, then it is always possible to add three more points to A and still have a Moser set.)  , Incidentally, the a=4 case is the dominant one, occupying 27 billion pairs; for large a it seems that there aren’t many Moser sets in Level 1 and Level 3, and checking the cases is relatively cheap.  The a=0 case is also relatively cheap because the full 48-order symmetry group is available for Level 1, leading to about  pairs to check.</t>
  </si>
  <si>
    <t>C3656</t>
  </si>
  <si>
    <t>Hi guys.  I got back on the writeup today, but didn’t make much progress (some updates to the tex, though).  One issue is that the parameter-situation is a nightmare!  Nothing to be done about that, unfortunately., The other issue was a subtle snag that I did not previously consider.  The partitioning argument goes through very pleasantly under any product distribution; this is convenient, since we get our first insensitive-density-increment under equal-slices, and this easily gives the same increment under some product distribution (since equal-slices is a mixture of product distributions)., The bummer is this, though:  If you draw a string from a product distribution pi^n, and condition it on falling in a certain d-dimensional subspace, the conditional distribution on the subspace is not just the pi-product measure.  This spoils the remainder of the argument., It does work fine if pi is uniform, and also (I’m pretty sure) if pi is equal-(nondegenerate-)slices.  , So, again, there are two choices: (1) take the density increment under equal-slices and do some wangling to get it under uniform, then partition, then go back to equal-slices, and iterate; or, (2) get the partitioning to work under equal-slices., I remember taking several cracks at (2) and failing; maybe I’ll take one more crack.  It would really be more elegant if we could execute the whole proof under one measure.</t>
  </si>
  <si>
    <t>C3658</t>
  </si>
  <si>
    <t>could we do x?</t>
  </si>
  <si>
    <t>Actually, there’s a choice (3): try to get the correlation-with-an-insensitive-set part to work with the uniform distribution in some way.  Then we could do everything under uniform, which would be extremely attractive.  I wonder if that’s possible…</t>
  </si>
  <si>
    <t>CTao_39340</t>
  </si>
  <si>
    <t>run-time</t>
  </si>
  <si>
    <t>How long does it take to check a pair with the current program? I’m wondering what the total running time is at the moment.</t>
  </si>
  <si>
    <t>CTao_39343</t>
  </si>
  <si>
    <t>I have started looking at the coloring Hales Jewett numbers. I have found some material related to this problem. One thing I have noticed is that the notation appears to vary. I have seen HJ(n) used for sets in which the lines are geometric and the in which the lines and combinatorial. I have some idea of the results for both. For geometric lines I think we can definitely improve on the results. For combinatorial lines we can obtain better numbers then there are in the existing literature but the method is known and we are just applying it to get more information about these sets. For geometric lines the method seems to be new.</t>
  </si>
  <si>
    <t>CTao_39344</t>
  </si>
  <si>
    <t>code status</t>
  </si>
  <si>
    <t>Dear Klas,, I finally managed to debug and run a tester for Level1/Level3 pairs, and to create a second lookup table that precomputes the Pareto optimals for each choice of forbidden set modulo symmetries (and knocking out the 222 center) the first lookup table only contained these optimals implicitly due to some additional reductions.  , I was able to check 1 million Level 1/Level3 pairs in about 4 seconds, using a rather naive way to create the Level2 forbidden set (I precomputed the 125 lines through the three levels and then did a couple of bit operations for each), rather than using Michael’s faster way using the a/b ancestor.  So currently we’re looking at about 60 hours on my (800 MHz) laptop, probably a little less if we get to use a dedicated computer.  There are various further speedups of maybe a factor of 2-4 or so that I haven’t implemented (e.g. exploiting residual symmetries, filling in some entries greedily, using Michael’s ancestor bitmasks to compute the forbidden set, treating the 2222 case separately, etc.) but given my current error rate in coding, it may not be efficient to try to wring these final improvements in performance., If you have about 60 hours of computing power available, I might just code up what I have without further attempts at optimisation and send it to you to run., Best,, Terry</t>
  </si>
  <si>
    <t>CTao_39347</t>
  </si>
  <si>
    <t>Terry,
I have quite a bit more available if there is an easy way to parallellise the problem. I also have a fairly fast single machine which I could leave this running on over the weekend, without anything else competing for the CPU.</t>
  </si>
  <si>
    <t>CTao_39348</t>
  </si>
  <si>
    <t>A quick, easy way to parallelize is to take the original program, write say 6 versions of it, where in each version instead of counting through all cases, you manually code the cases you want to compute.  Compile each one separately and run it on separate machines., I don’t know much about the program but if Terry is iterating through the cases in a set way, it ought to be easy to write a few versions of the program where each is programmed to compute a different and disjoint set of cases., It’s not elegant but it works and ought to require very little modification of the original program.</t>
  </si>
  <si>
    <t>CTao_39352</t>
  </si>
  <si>
    <t>OK, I have all the C code written and (somewhat) tested.  There are two programs that need to be run once (to build the lookup table), and then the third program to run the search., The first program is at, http://michaelnielsen.org/polymath1/index.php?title=Lookup_table_C_code, (use the “edit” tab to extract a clean copy of the text.), Running this once will create an 113MB file called “lookup.dat”, which is the preliminary lookup table.  On my laptop, this program took about 80 minutes to run., The second program is at, http://michaelnielsen.org/polymath1/index.php?title=Second_lookup_table_C_code, Running this once will convert the preliminary table “lookup.dat” into a 120MB file “newlookup.dat” which is the final lookup table.  On my laptop, this program took a minute or two to run.  (Note that this will require about 250MB of free memory, as the program needs to hold both lookup tables in memory at once.) lookup.dat can be deleted once newlookup.dat is created., The main program is at, http://michaelnielsen.org/polymath1/index.php?title=Scanning_code, The name of the program is not relevant, but suppose it is compiled as scan.exe.  Then the format for the program is “scan x y”, where ; this will scan the range x,y of the 391 classes of Level 1/Level 3 pairs, and dump the Pareto statistics it finds to the standard output as well as to the file output_x_y.txt.    Thus, for instance, “scan 0 390” will scan all the pairs (and will probably take about 60 hours to run), and dump the statistics to output_0_390.txt.  But one can parallelise easily, e.g. by having one computer run “scan 0 100”, another run “scan 101 200”, and a third run “scan 201 390”.  (All computers will need a copy of newlookup.dat, of course.)  , The 391 classes have very unequal sizes (here is the list of their sizes).  If one uses “scan x y count” one will see what percentage of the scanning range is covered by the range x,y (and this will be very quick to compute).  You can use this first to decide how to divide up the scanning tasks among your various computers., If you want to test the code, the output of “scan 371 390” (which should take about a minute to run, but is only 0.001 percent of the total scan) can be found here and here., Once one has all the output files for a set of ranges which covers 0,390, we can merge them, remove duplicates and non-Pareto-optimal statistics, and we will have the entire Pareto statistics for the 4D Moser sets!  (assuming, of course, I have not screwed up the code.)  We can of course test it against the 41, 42, and 43 point data Klas already has once it comes in, or against the linear inequalities we already know to be true., p.s.  I managed to prove my conjecture that if (0,b,c,d,e) is feasible then (3,b,c,d,e) is as well, thus allowing one to ignore all Pareto statistics with a=1, 2, or 3; see , http://michaelnielsen.org/polymath1/index.php?title=4D_Moser_brute_force_search, Because of this, the a=1,2,3 statistics are not listed in the output of the above program.  “scan 0 0” will compute the a=0 Pareto statistics; this is about 3% of the entire job.</t>
  </si>
  <si>
    <t>CTao_39357</t>
  </si>
  <si>
    <t>I don’t follow the proof that (3,b,c,d,e) follows from (0,b,c,d,e).  The points chosen seem to form a line 1311,2211,3111., How easy is it to adapt the search to the xxyzw diagonals?  It needs a whole new lookup table, with Pareto sets in (a,b,c,d,e,f) statistics.</t>
  </si>
  <si>
    <t>CTao_39359</t>
  </si>
  <si>
    <t>fixing proof</t>
  </si>
  <si>
    <t>Oops!  I had had a more complicated proof, but I thought I “simplified” it into the one on the wiki which is, of course, incorrect.  I’m reinstating the more complicated proof., While in principle the search for vanilla (a,b,c,d,e) statistics can be adapted to more exotic statistics, the loss of symmetries is going to be a significant problem.  Right now I am using a fair chunk of the symmetry group of , which has order , to reduce the number of cases to check.  I’m not exploiting it fully, though: many of the  a-signatures (i.e. the corners of the Level 1 and Level 3 slices) have some reflection or rotation symmetry, so that they lie in an equivalence class of order less than 384, and so one does not get a raw speedup of 384 from symmetry.  I estimate the gain as currently exploited to be closer to 150 or so; there is room for improvement, but at this point I’ll take 60 hours of computer time over 1-3 hours of my own programming and debugging time :-).  For the statistics that are relevant for the xxyzw problem I would imagine the symmetry group to be smaller by a factor of eight or so (it seems the order is now just  rather than ) and the computation time would go up by a comparable factor.  I guess once we know the runtimes from Klas, we’ll get an idea of how feasible it would be to adapt the method, and whether we would have to come up with more clever speedup tricks.</t>
  </si>
  <si>
    <t>CTao_39360</t>
  </si>
  <si>
    <t>Here is a proof that (3,b,c,d,e) follows from (0,b,c,d,e)., * If all b points are present, then no c points are present, so (1111),(1133),(1313) can be added.
* If any d point is present, say (2221), then we can find three absent c points (1221),(2121),(2211), so we can add (3111),(1311),(1131)
* If e is absent, and 2333 is absent, then we can add (1111),(1333),(3333)
* If any c point is absent, say 2211, and all ds are absent, we can add (1111,3133,3311)
* If we are not done yet, then 2211,2222 and 2233 are all present.</t>
  </si>
  <si>
    <t>CTao_39361</t>
  </si>
  <si>
    <t>simultaneous discover</t>
  </si>
  <si>
    <t>ZCP!!!!</t>
  </si>
  <si>
    <t>Hmm, it looks like we simultaneously came up with more or less the same fix to the (3,b,c,d,e) problem.  :-), I just realised for the xxyzw problem, if one uses the x coordinate to do the Level 1, Level 2, Level 3 slicing, then one still has the 48 horizontal symmetries and vertical reflection symmetry, and the old approach (based on checking  pairs) would still work (and one might even be able to reuse the lookup table).  Right now we are checking about 67 billion pairs, so it’s only a factor of two worse; and there are still a number of speedups available (e.g. playing with 2222, precomputing some of the forbidden set, eliminating some of the Pareto-optimals by things similar to the (3,b,c,d,e) argument, etc.).  But my current code, which is focused on the a-signature approach, would take a certain amount of rewriting.  (I was writing quick and dirty code that would only be used once, and so I did not employ the usual “good programming practices” that would come in handy at this stage… if one is to do more flexible searching, it’s probably better to rewrite the code from scratch using a higher level language than C.  I am not so familiar with Matlab, but perhaps this would be the way to go in the long run, even if C might be marginally faster.)</t>
  </si>
  <si>
    <t>C3664</t>
  </si>
  <si>
    <t>Okay, I’ve made some more additions, and now I believe the writeup contains all the technical material needed to prove DHJ(k).  The only part missing is at the end, where one “puts all the pieces together”., In thinking about how to write that, I tried to figure out the actual quantitative bounds we get.  As expected, for DHJ(3) we get a simple tower; I believe ., For DHJ(k), , the bounds get comically bad.  I get hopelessly muddled when Ackermann functions are involved, but I believe the bound is at least as bad as .  Perhaps worse, I’m not a hundred per cent sure., The particularly painful part, quantitatively, is where we deduce the d-dimensional version from the 1-dimensional version.  Iterating a bound d times is not pretty, especially when d itself needs to be huge.  I’ve wondered if we can improve this.  Gunderson-Rodl-Sidorenko certainly improves upon our basic iterative method., Note that the proof is really no more complicated for general k; it’s just the actual bounds get laughable for k bigger than 3., —, Anyway, before nailing these last details, I think it’s better to make a clarifying pass over the document.  There’s actually strictly more technical stuff in there than needed, because I didn’t quite know what pieces would ultimately be necessary, so I added extra stuff in just in case.  And now that we know what quantitative bounds we’re shooting for (the reasonable tower for k = 3, anything at all for higher k), we know which factors we need to save and which we don’t care about.</t>
  </si>
  <si>
    <t>CTao_39363</t>
  </si>
  <si>
    <t>Is it possible to consider all of xxyzw, xyxzw, xyzwx, etc when building the lookup table, rather than during the main loop, and would that let you recover the symmetries during the main loop?</t>
  </si>
  <si>
    <t>CTao_39364</t>
  </si>
  <si>
    <t>report algorithm status</t>
  </si>
  <si>
    <t>Hmm, that’s an interesting idea.  But this will explode the size of the lookup table, which will partially counteract the time saving.  Right now the lookup tables are a manageable 110MB in size (I still find this fact hard to get used to – 110MB was not manageable when I first learned to program!), but this was aided by (a) the order 48 symmetry group, (b) knocking out the centre square 222, and (c) deleting some of the “easy” or “redundant” Pareto statistics such as (1,b,c,d).  The reason why there are two lookup tables in my code, rather than one, is to undo the compression from (c).   I don’t know how much larger we can expect to go in memory.  (My laptop is not going to like requests above 2GB, for instance, and using hard disk space rather than RAM is likely to significantly impact runtime.)  But I suppose one could tolerate some expansion of the lookup table.  Currently this table takes an hour to build, compared with the 60 hours needed to search pairs, so one could rebalance the time-memory tradeoff in favour of time at the expense of memory to some extent.</t>
  </si>
  <si>
    <t>C3665</t>
  </si>
  <si>
    <t>By the way, I’m not sure why we can’t bill this as the first finitary proof of DHJ.  TimA’s new proof is still “infinitary” (it includes that word in the title).  I suppose our paper is also infinitary in the very weak sense that it views equal-slices as an infinitary mixture of product distributions., Perhaps we can evade the issue by saying that our paper is the first to give a quantitative bound., The problem was that, if I understand correctly, Terry had some way of discretizing Tim Austin’s argument. But perhaps that argument isn’t sufficiently written to make it a problem to call ours the first finitary proof. We should probably see what Terry thinks about it., I’ve been busy with other things (including the sister polymath project) but I do intend to have a read through the draft here at some point.  So far it’s looking pretty good…, The notes on the wiki on finitising Austin’s proof are not yet at the level of a rigorous proof, but I believe that it can be made into one with more effort.  At any rate I consider this part of the polymath project and so arguing about precedence seems somewhat moot.  Once finitised, some quantitative bound is in principle extractable, but it is likely to be far more laughable than anything Ryan is likely to get out of the combinatorial proof (in particular it relies on multiple regularity lemmas with parameters analogous to those in the hypergraph lemma).  In any case it is not at the point where it needs to be cited as fact.  Perhaps one can bill the current proof as the first proof which is primarily combinatorial in nature?, In the draft there is a side note to ask on the relationship between Austin’s proof and the combinatorial one.  What Austin did was to take one of the key insights from this project, namely that lack of lines implied correlation with a local 12-insensitive set (or whatever the current terminology is – I haven’t kept up), and found an ergodic-theory analogue of this fact, in a framework which Austin used previously to establish another proof of the multidimensional Szemeredi theorem and a related multiple ergodic theorem (and which, deep down, is a very heavily disguised version of the hypergraph regularity framework, but that is a whole story in itself…).    The other ingredients of the proof are different, though; for instance, there is nothing resembling a density increment argument (for much the same reason as the regularity lemma approaches to these sorts of problems don’t need density increment; they have energy increment instead as a substitute).  So I think the relation is that one key idea in Austin’s proof was inspired by the discovery of one key idea in the combinatorial proof.</t>
  </si>
  <si>
    <t>C3666</t>
  </si>
  <si>
    <t>The problem was that, if I understand correctly, Terry had some way of discretizing Tim Austin’s argument. But perhaps that argument isn’t sufficiently written to make it a problem to call ours the first finitary proof. We should probably see what Terry thinks about it.</t>
  </si>
  <si>
    <t>CTao_39371</t>
  </si>
  <si>
    <t>I have now done the pareto computation. I split it into 391 subcases and submitted them to one node each on a linux cluster. The 0 0 case was the hardest one and took just over 2 hours. Most of the rest took less than 5 minutes. The results are here
http://abel.math.umu.se/~klasm/Data/HJ/PARETO-DATA.tar.gz, Constructing the lookup table took 22 minutes., Regarding the amount of memory one case use I can say that on the machines I am using each node has 16Gb of RAM.</t>
  </si>
  <si>
    <t>CTao_39372</t>
  </si>
  <si>
    <t>That should be “the amount of memory one can use”</t>
  </si>
  <si>
    <t>CTao_39377</t>
  </si>
  <si>
    <t>more Pareto maxima added to reference list</t>
  </si>
  <si>
    <t>That’s great.  There are 387 Pareto maxima, which include about 50 extremal points, listed at http://michaelnielsen.org/polymath1/index.php?title=4D_Moser_brute_force_search</t>
  </si>
  <si>
    <t>C3670</t>
  </si>
  <si>
    <t>I’ve been busy with other things (including the sister polymath project) but I do intend to have a read through the draft here at some point.  So far it’s looking pretty good…, The notes on the wiki on finitising Austin’s proof are not yet at the level of a rigorous proof, but I believe that it can be made into one with more effort.  At any rate I consider this part of the polymath project and so arguing about precedence seems somewhat moot.  Once finitised, some quantitative bound is in principle extractable, but it is likely to be far more laughable than anything Ryan is likely to get out of the combinatorial proof (in particular it relies on multiple regularity lemmas with parameters analogous to those in the hypergraph lemma).  In any case it is not at the point where it needs to be cited as fact.  Perhaps one can bill the current proof as the first proof which is primarily combinatorial in nature?, In the draft there is a side note to ask on the relationship between Austin’s proof and the combinatorial one.  What Austin did was to take one of the key insights from this project, namely that lack of lines implied correlation with a local 12-insensitive set (or whatever the current terminology is – I haven’t kept up), and found an ergodic-theory analogue of this fact, in a framework which Austin used previously to establish another proof of the multidimensional Szemeredi theorem and a related multiple ergodic theorem (and which, deep down, is a very heavily disguised version of the hypergraph regularity framework, but that is a whole story in itself…).    The other ingredients of the proof are different, though; for instance, there is nothing resembling a density increment argument (for much the same reason as the regularity lemma approaches to these sorts of problems don’t need density increment; they have energy increment instead as a substitute).  So I think the relation is that one key idea in Austin’s proof was inspired by the discovery of one key idea in the combinatorial proof.</t>
  </si>
  <si>
    <t>CTao_39381</t>
  </si>
  <si>
    <t>Wow, that was faster than I expected (both in the run time and in getting the output collated – but parallelisation is clearly a big help; so is having collaborators evenly distributed amongst time zones).  Thanks guys!, One tiny thing is that the Pareto optimal statistics were computed with the (1,b,c,d,e), (2,b,c,d,e), (3,b,c,d,e) statistics deleted (because of the lemma).   The only net effect of this should be to replace the (0,16,24,0,0) maximiser by the (3,16,24,0,0) maximiser., As a sanity check we should make sure that the statistics are consistent with Klas’s earlier computation of the 43, 42, and 41 point statistics, which can be found for instance at, http://spreadsheets.google.com/ccc?key=p5T0SktZY9DuqNcxJ171Bbw&amp;hl=en, or on the wiki., I see that the four 43-point statistics (5,20,18,0,0), (4,16,23,0,0), (3,16,24,0,0), (4,15,24,0,0) Klas found are among Michael’s list of extremals, and that no statistic is larger than 43 which is reassuring; we also have independent confirmation of the extremisers of the score a+5b/4+5c/3+5d/2+5e which are used in the proof of c’_5=124 (but we have a fully human proof of this fact anyway, thanks to Kristal).  I put the statistics on a spreadsheet at, https://spreadsheets.google.com/ccc?key=rD2Oc_wyheVOcmCyd-Drdgw&amp;hl=en, The next step is to find the linear inequalities and then dump them into the Maple program… we’ll see if all this effort pays off for the n=6 problem…</t>
  </si>
  <si>
    <t>CTao_39382</t>
  </si>
  <si>
    <t>request or response</t>
  </si>
  <si>
    <t>request</t>
  </si>
  <si>
    <t>Could someone post the 387 Pareto optimizers?</t>
  </si>
  <si>
    <t>CTao_39387</t>
  </si>
  <si>
    <t>Yes, that would have made more sense than posting the fifty.  They are now at the same place, http://michaelnielsen.org/polymath1/index.php?title=4D_Moser_brute_force_search</t>
  </si>
  <si>
    <t>CTao_39388</t>
  </si>
  <si>
    <t>learned something</t>
  </si>
  <si>
    <t>moot now; only evident a posteriori</t>
  </si>
  <si>
    <t>One consequence of the statistics is that there is a refinement of the (3,b,c,d,e) lemma: if (0,b,c,d,e) is feasible and (0,b,c,d,e) is not less than or equal to (0,16,24,0,0), then (4,b,c,d,e) is feasible.  A subtlety here: this does not mean that if A is a Moser set with (0,b,c,d,e) statistics, then one can add four points to A and keep it a Moser set; one may also have to rearrange the b-points, c-points, and d-points to recover the Moser property.  It seems quite likely that this lemma could be proven by hand, thus eliminating the “scan 0 0” case and possibly shortening the run time by some significant factor.  This is of course moot now, and is one of these things which was only evident a posteriori, but it may be something to keep in mind if one wants to try some similar search in the future.</t>
  </si>
  <si>
    <t>CTao_39392</t>
  </si>
  <si>
    <t>Grr… there is a bug in the code somewhere; (8,32,0,0,0) ought to be Pareto-optimal, but is not present in the lists.  I’ll try to track down the source of the problem…</t>
  </si>
  <si>
    <t>CTao_39394</t>
  </si>
  <si>
    <t>bug fixed</t>
  </si>
  <si>
    <t>OK, I found the problem: when I manually added in the (a,0,0,0) Pareto optimals in the second lookup table from the first, I made the mistake of thinking there were 4 a-points in 3^3, when of course there are 8.  This should only impact a small fraction of the statistics (only the ones where the Level2 statistics are of the form (a,0,0,0), which is for instance the case with the (8,32,0,0,0) example), but unfortunately I think have to rerun the whole code., Klas, I had to change the code to create the second lookup table, at, http://michaelnielsen.org/polymath1/index.php?title=Second_lookup_table_C_code, and also the scanning code at, http://michaelnielsen.org/polymath1/index.php?title=Scanning_code, (because I had to increase the number of Pareto stats per forbidden set by one, from 26 to 27).  The first lookup table, lookup.dat, does not need to be recomputed (hopefully you didn’t delete it like I said you could), but the second lookup table, newlookup.dat, does need to be, and will be marginally larger now (something like 123 MB instead of 120 MB).  Unfortunately I think the entire range 0-390 needs to be rescanned.</t>
  </si>
  <si>
    <t>CTao_39396</t>
  </si>
  <si>
    <t>CTao_39387; CTao_39377</t>
  </si>
  <si>
    <t>Thank you for posting the Pareto optimizers. From the statistics it looks like a Moser set with its center point can only have 36 points. I think that was conjectured earlier of course there could be more such Pareto optimizers in the range 0-390 that may need to be rescanned.</t>
  </si>
  <si>
    <t>CTao_39397</t>
  </si>
  <si>
    <t>check understanding w/logical test</t>
  </si>
  <si>
    <t>I think if all Moser sets with n=4 that have their center points have less than 36 points then all Moser sets with n=6 that have their center point must have 360 points or less. To see this for any such set slice along any two coordinates the slice 22 will have 36 points and the remaining 648 points will be symmetric about the center point and hence at most 324 of them will be in the Moser set for a total of 360.</t>
  </si>
  <si>
    <t>C3675</t>
  </si>
  <si>
    <t>Am working on some introductory material now; a new draft is up.</t>
  </si>
  <si>
    <t>CTao_39402</t>
  </si>
  <si>
    <t>he does useful bits</t>
  </si>
  <si>
    <t>I had kept the file, I usually try to keep things which took some time to construct for a while in case they are needed again, so it did not take long to rerun the program. The new files are here
http://abel.math.umu.se/~klasm/Data/HJ/PARETO-DATA-NEW.tar.gz, By the way, my c-compiler, gcc 4.1.2, complains about there being a function named “index” so in order to compile the programs I just changed that name to “index1”</t>
  </si>
  <si>
    <t>CTao_39405</t>
  </si>
  <si>
    <t>There were 390 pareto maxima this time, including (8,32,0,0,0).  They are now at http://michaelnielsen.org/polymath1/index.php?title=4D_Moser_brute_force_search.</t>
  </si>
  <si>
    <t>CTao_39410</t>
  </si>
  <si>
    <t>I computed the extremals from Michael’s data.  I got 154 extremals, far more than the 50 in the previous run… so I am a little worried as to the integrity of my computations, it would be good to have a double check.  (My list of extremals is at  http://michaelnielsen.org/polymath1/index.php?title=4D_Moser_brute_force_search )., I have code now to extract out the linear inequalities; there seem to be a lot of them, but it should be computable.</t>
  </si>
  <si>
    <t>CTao_39411</t>
  </si>
  <si>
    <t>notice mistake</t>
  </si>
  <si>
    <t>Ah, I see what I did wrong – I only computed those points which were not convex combinations of two other points, when of course I should be looking at combinations of up to five points.  Never mind…</t>
  </si>
  <si>
    <t>CTao_39412</t>
  </si>
  <si>
    <t>describe process</t>
  </si>
  <si>
    <t>"repeat ten million times" might be making me giggle ;)</t>
  </si>
  <si>
    <t>There might be another problem: You kept (5,16,19,1,0), but the original list includes (5,15,20,1,0) and (5,17,18,1,0), My original list of fifty was found by the doubtful method of
* Multiply the 390×5 matrix by a random positive vector
* The row with the highest value is an extremal.
* Repeat ten million times., I’m not sure how else to do it.  This time, I have just removed those points that are midpoints of two others, and got down to 113 points.  Then I form a hyperplane from any set of five that form an invertible matrix, and check whether it is extremal.  It is up to 106 linear combinations, and more than two-thirds finished.</t>
  </si>
  <si>
    <t>CTao_39414</t>
  </si>
  <si>
    <t>compare work</t>
  </si>
  <si>
    <t>also tool update</t>
  </si>
  <si>
    <t>I found a great package, qhull, from the geometry centre,, http://www.qhull.org/, which computed the extremals for me; there turn out to be 58 (now on the wiki).  I also brute forced the associated linear inequalities (by checking the  combinations), now also on the wiki (in a random order, and possibly not all in least common denominator yet; there are currently 140 inequalities there., Hmm, I see that you just did the same computation, and got 145 inequalities instead.  Hmm, we’ll have to see exactly how they differ…</t>
  </si>
  <si>
    <t>CTao_39415</t>
  </si>
  <si>
    <t>OK, it looks like my inequalities are a strict subset of yours; I’m not sure how my program managed to miss some of them, but it looks like all of yours are correct, at any rate., Time to fire up maple…</t>
  </si>
  <si>
    <t>CTao_39416</t>
  </si>
  <si>
    <t>OK, I dumped the 145 inequalities into the Maple routines at, http://michaelnielsen.org/polymath1/index.php?title=Maple_calculations, and (after clearing out some errors in those routines – sigh) it looks like the upper bound for  has improved from 361 to 356, coming within range of Kareem’s 353-point solution!, What I am going to do next is make sure Kareem’s 353-point statistics are actually feasible for the inequalities we have, as a sanity check…</t>
  </si>
  <si>
    <t>CTao_39417</t>
  </si>
  <si>
    <t xml:space="preserve">Yes, the statistics (22, 66, 165, 100, 0, 0 0) of Kareem’s example is indeed feasible.  Reassuring…, Maple also tells me that if g=1 then a 6D Moser set can have at most 337 points – so we can assume g=0.  If f=1, then a 6D set can have at most 353 points, so we can also (barely) assume f=0., Unfortunately, for e&gt;0, one can have as many as 355 points, and for 354 sets, e can be as large as 5, so we can’t quite reduce to e=0 yet., On the other hand, Maple also tells me that there is only one statistic possible for 356-point Moser sets in 3^6, namely (24,72,180,80,0,0,0).  So there is a good chance one can reduce 356 to 355, at least, thus narrowing the range for  to 353,355., The range for  is still rather poor: 988,1041.  </t>
  </si>
  <si>
    <t>CTao_39418</t>
  </si>
  <si>
    <t>what is the most effective method for this?</t>
  </si>
  <si>
    <t>Hmm.  The only way that a 6D set can have statistic (24,72,180,80,0,0,0) is if every 1***** slice has statistics (6,12,18,4,0) (which is an extremal for 4D), and similarly for permutations.  If we can classify the (6,12,18,4,0) sets in 3^4 we may be able to kill off the 356 case.  The scanning program can in principle do this but perhaps an integer program would be the most direct way to go here?</t>
  </si>
  <si>
    <t>CTao_39419</t>
  </si>
  <si>
    <t>Ack, there is a problem with the brute force search :-(… (6,12,18,4,0) is reported as feasible, but it is not compatible with the 3D inequalities.  Time to debug…</t>
  </si>
  <si>
    <t>C3677</t>
  </si>
  <si>
    <t>use some partial problems</t>
  </si>
  <si>
    <t>identify good problems to work on (there's another post - highlighted - with a similar idea)</t>
  </si>
  <si>
    <t>Ryan, this is just to say thanks for all the terrific work you’ve been putting into this. Right at the moment I am busy with some other write-ups, but at some point I’d like to work through this one and pad it out with a few explanatory remarks and things like that. But I don’t see myself doing that before about August or September. I hope that delay is acceptable. In any case, once a fully detailed argument exists in written form, which it seems that it more or less does now, we will be in a position where we could in principle do what you suggested in an earlier comment and declare the project to be finished. The practical meaning of that would be that anybody could make any use they wanted of the wiki and the blog posts, whether private or public. Another thing I want to do at some point is trawl through the posts and write a document containing problems that we did not solve but that are, in my view, pretty interesting. The reason I want to do that is that I think they would make ideal PhD problems: the best ones are fully motivated (since, even now we have a proof of DHJ, they would still advance our understanding of the problem), unlikely to have been worked on all that hard, but also unlikely to be trivial either. Of course, for such a document to be useful, we would need to say to a potential PhD student that he/she is welcome to work on these problems privately and make use of any relevant blog comments.</t>
  </si>
  <si>
    <t>CTao_39423</t>
  </si>
  <si>
    <t>bug wasn't a bug</t>
  </si>
  <si>
    <t>;)</t>
  </si>
  <si>
    <t>False alarm! (6,12,18,4,0) is indeed feasible (an explicit example has slices 261660105, 356516660,432356261 in octal; it seems that there are not many other solutions than this one and its symmetric permutations, though I was not able to establish this rigorously).  My application of the 3D inequalities in the preceding comment was incorrect.   So, barring any further bugs, we’re still in a good position, in that we have a proof of  and a fairly precise description of when  can occur; if we can pin down the (6,12,18,4,0) Moser sets precisely, we might be able to finish off 356 completely.</t>
  </si>
  <si>
    <t>CTao_39428</t>
  </si>
  <si>
    <t>If the slice is 4D from a 6D set shouldn’t the number of fixed coordinates be two instead of one. I am assuming that what happens here is that is that if we fix any two coordinates of the (24,72,180,80,0,0,0) and set each of them equal to 1 or 3 the resulting slice will have statistics (6,12,18,4,0).</t>
  </si>
  <si>
    <t>CTao_39431</t>
  </si>
  <si>
    <t>clarification &amp; partial proof</t>
  </si>
  <si>
    <t>Yes, you’re right, I meant the 11**** slices (and symmetries thereof)., Actually I have a short proof of .  Define the score of a 4D set to be 4a+6b+10c+20d+60e.  Double counting shows that (if f=g=0, which we may assume) the size of a 6D set is the average of the scores of its 4D side slices (such as 11****).  But thanks to the 4D extremals, the largest score is 356, attained at exactly one place, namely (6,12,18,4,0), see https://spreadsheets.google.com/ccc?key=rD2Oc_wyheVOcmCyd-Drdgw&amp;hl=en .  This also shows that the only way 356 is attainable is if all 11**** slices have statistics (6,12,18,4,0) as mentioned earlier, and if the entire set has statistics (24,72,180,80,0,0,0)., With a bit more effort I can get . Consider the 112*** slices (and symmetries thereof).  Double counting shows that these slices must have statistics (3,9,3,0) on the average.  But all 3D slices must obey the inequalities  and  (see https://spreadsheets.google.com/ccc?key=p5T0SktZY9DuKZ2DyzO9EOg&amp;hl=en ), and so all 112*** slices must obey these inequalities with equality; also, d must be zero.  We conclude that the 112*** slices have statistics (3,9,3,0), (2,6,6,0), or (4,12,0,0).  The latter two possibilities are inconsistent with the 11**** slices having statistics (6,12,18,4,0) (since all but at most two of the “d” points in the 11**** slice lie in 112***).  So all 112*** slices have statistics (3,9,3,0).  Since 11**** has statistics (6,12,18,4,0), this implies that exactly one of 111222 and 113222 lie in the set.  More generally, we see that given any two adjacent “d” points in , exactly one of them lies in the set; thus the d points consist either of those strings with an even number of 1s, or those with an odd number of 1s.  , Let’s say it’s the former, thus the set contains 111222, 133222, and permutations, but omits 113222, 333222 and permutations.    Meanwhile, we see that the (24,72,180,80,0,0,0) set saturates the inequality , which is only possible if every line connecting two “c” points to a “d” point meets exactly two elements in the set.  Since the “d” points 113222, 333222 are omitted, we conclude that the “c” points 113122, 113322, 333122, 333322 must lie in the set, and similarly for permutations.  But this is too many c points (225 points, whereas we are only supposed to have 180), a contradiction., There may be a chance to push these arguments further; the fact that (6,18,24,4,0) is the only extremiser for the score (by quite a margin) is quite encouraging.</t>
  </si>
  <si>
    <t>CTao_39437</t>
  </si>
  <si>
    <t>I can see why, in xxx222, either every d point has an odd number of 1s, or an even number of 1s.  But xx2x22 may also have an odd number of 1s, or an even number of 1s.  Could a choice of ‘odd’  and ‘even’ for the twenty classes of d points be made so that fewer c points are needed?</t>
  </si>
  <si>
    <t>CTao_39440</t>
  </si>
  <si>
    <t>Hmm, true, but the argument can be easily fixed.  For xxx222, the argument in my previous comment shows that the set has at least 15 “c” points of the form xxxx22 (regardless of whether the xxx222 points come from odds or evens).  Permuting this fact, we still get 225 “c” points in all., I played a little bit with the score 4a+6b+10c+20d+60e.  As I said before, the maximal score is 356, attained at (6,18,24,0,0).  The next highest score among all feasible statistics is 352, attained in three ways, by (6,8,12,8,0), (5,12,12,4,1), and (5,18,24,0,0).  Since there must be a way to slice into 11xxxx, 13xxxx, 31xxxx, 33xxxx (or a permutation thereof) such that the average score is greater than or equal to the cardinality, we see that for a 355 set, one way of slicing must consist of three (6,18,24,0,0) slices plus one of the three other slices mentioned above (in particular, this shows that a=24 or a=23).  To proceed further it seems of interest to classify the (6,18,24,0,0) slices properly.  It would also be interesting to see what the slices of Kareem’s example are.</t>
  </si>
  <si>
    <t>CTao_39442</t>
  </si>
  <si>
    <t>It’s a little awkward to move the thread while it is still so active, but I have decided to stick with tradition and move on to the next thread, at, https://terrytao.wordpress.com/2009/06/14/dhj-still-writing-the-second-paper/</t>
  </si>
  <si>
    <t>Tao_10</t>
  </si>
  <si>
    <t xml:space="preserve">
This is a continuation of the previous thread here in the polymath1 project, which is now full.  Ostensibly, the purpose of this thread is to continue writing up the paper containing many of the things achieved during this side of the project, though we have also been spending time on chasing down more results, in particular using new computer data to narrow down the range of the maximal size of  6D Moser sets (currently we can pin this down to between 353 and 355).   At some point we have to decide what results to put in in full detail in the paper, what results to summarise only (with links to the wiki), and what results to defer to perhaps a subsequent paper, but these decisions can be taken at a leisurely pace.
I guess we’ve abandoned the numbering system now, but I suppose that if necessary we can use timestamps or URLs to link to previous comments.
Share this:PrintEmailMoreTwitterFacebookRedditPinterestLike this:Like Loading... </t>
  </si>
  <si>
    <t>CTao_39458</t>
  </si>
  <si>
    <t>A set with statistics. (6,12,18,4,0) cannot have two points of type d with the same c-statistic. If it does say the coordinate of both points which is not equal to 2 is one then slice on that coordinate there result will be that both side slices will have their center point and can have at most three points of type c. So the remaining 12 must be in the center slice. But there they will block all points of type d but the only remaining spaces for these points are the outside slices and there are only two such spaces there and we need two so there is a contradiction., Now without loss of generality taking in account the above we can take the points of type d to be (1,2,2,2), (2,1,2,2),(2,2,1,2) and (2,2,2,1) . We slice on the first coordinate. Then the cube with first coordinate equal to one contains its center point and can only have three points of type c. The center cube contains the remaining points of type d and hence can contain 9 of the remaining points of type d. The rest must be in the remaining slice. It must contain all its points of type c. But we could have cut along any coordinate thus the set contains all points of type c with one coordinate equal to 3. This accounts for all 18 of its points., With this I think we can show that four dimensional slice of a six dimensional Moser set with its coordinates equal to 1 or three cannot be equal to this set. If this occurs then when two slices differ by cooridinate not equal to 2 and intersect in a cube that has all of its points of type c the other side cube in both sets will have its center point and three such points. If they intersect in a slice that does not have all of its points of type the other side cube of both sets will have all of its points of this type. In this all cubes which have the same two coordinates equal to two that the original two intersecting slices will have either all of their points of type c or one depending on the parity of the difference from the orginal cube formed by the intersection of the original 4 dimensional slices. But we can get a contradiction because we can find a set that contains all of the points of type d as the extra 2’s wipe out the parity difference. Then we can find two that have the same c-statistic and get a contradiction as above., I originally looked at this to try to find the above proof but I ought to be able to use the above information to find out more about the sets with statistics (6,12,18,4,0).</t>
  </si>
  <si>
    <t>CTao_39460</t>
  </si>
  <si>
    <t>issue with earlier post</t>
  </si>
  <si>
    <t>I have looked at the (6,18,24,0,0) slices mentioned at the end of the previous thread and I don’t think that they can be realized as 4 dimensional Moser sets. They are not listed in the table of Pareto extremizers  and it looks like the density of points of type b is over 1/2 while the density of points of type c is 1 which would seem to give a contradiction.</t>
  </si>
  <si>
    <t>CTao_39465</t>
  </si>
  <si>
    <t>CTao_39440; CTao_39460</t>
  </si>
  <si>
    <t>Sorry, that was a typo: I meant (6,12,18,4,0) instead of (6,18,24,0,0).  Thus:, The score 4a+6b+10c+20d+60e is maximised at 356 at (6,12,18,4,0), and equals 352 for (5,12,18,4,0), (5,12,12,4,1), and (6,8,12,8,0).  All other feasible statistics have score at most 350., One example of a (6,12,18,4,0) set comes from taking the strings 1111, 1113, 3333, 1332, 1322, 1222 and all permutations.  I am tentatively conjecturing that, up to symmetries, this is the only such set.</t>
  </si>
  <si>
    <t>CTao_39467</t>
  </si>
  <si>
    <t>Shouldn’t that be 1111, 1113, 3333, 1332, 1322, 1222 with the addition of 3322 with all permutations? I think the addition of the 3322 term is needed to make it (6,12,18,4) otherwise it would be (6,12,12,4,0). In any case I will be looking at these sets and your conjecture.</t>
  </si>
  <si>
    <t>CTao_39469</t>
  </si>
  <si>
    <t>Yes, this is what I meant.  From the scanning code (which only detected the (6,12,18,4,0) statistic once, in the scan region 249) it does seem that this particular statistic is extremely rare, but I think one should be able to obtain a human proof of this fact fairly easily, without reliance on computer data.</t>
  </si>
  <si>
    <t>CTao_39471</t>
  </si>
  <si>
    <t>I think I will be able to get all instances of this soon. I think I can force all points of type c, d and a into a certain pattern. I am still working on the points of type b I suspect I will be done soon. I think a human proof is doable.</t>
  </si>
  <si>
    <t>CTao_39472</t>
  </si>
  <si>
    <t>Kristal - middle ground suggestion</t>
  </si>
  <si>
    <t>offer to help; was wrong to crush the idea</t>
  </si>
  <si>
    <t>A long time ago, Kristal suggested a middle ground between (a,b,c,d) statistics and c-statistics, where you count the points with the same number of 1s, same number of 2s and same number of 3s.  However I jumped up and down on the idea.  I was wrong to do that, firstly because it was an idea and secondly because it was a good idea that I didn’t follow.  I am sorry Kristal.  Would these statistics help now?</t>
  </si>
  <si>
    <t>CTao_39474</t>
  </si>
  <si>
    <t>Michael.904</t>
  </si>
  <si>
    <t>credit idea source</t>
  </si>
  <si>
    <t>someone else had this idea before me and I just realized it</t>
  </si>
  <si>
    <t>Speaking of ideas from long ago, I just now realised that the score argument I mentioned at the end of the last thread was in fact proposed by Michael way back in 904!  But we only had the 41, 42, 43 point data then, and couldn’t push it through…, I crunched the numbers on Kareem’s example at, http://twofoldgaze.wordpress.com/2009/03/10/353-element-solution/, The stats are (22, 66, 165, 100, 0, 0 0).  If we look at 11xxxx, 13xxxx, 31xxxx, 33xxxx slices, they split as (6,8,12,8,0,0), (5,12,18,4,0), (5,12,18,4,0), (6,12,18,4,0).  In fact all of the  different ways to slice the set give exactly the same four statistics; one slice is always the 356-score statistic (6,12,18,4,0) and the other three are 352-score statistics, for a net average of 353, which unsurprisingly is the cardinality of the example., If the putative 354 and 355 point Moser sets can be proven to exhibit similar behaviour, then perhaps the way to proceed is to classify all the 352 and 356 score sets in 4D, and then do a brute force computer search over all possibilities of the 11xxxx, 13xxxx, 31xxxx, 33xxxx slices.</t>
  </si>
  <si>
    <t>CTao_39494</t>
  </si>
  <si>
    <t>potential partial proof</t>
  </si>
  <si>
    <t>part 1 of 3</t>
  </si>
  <si>
    <t>I think I can show that there is only one set of type (6,12,18,4,0) up to the various permutations., A set with statistics. (6,12,18,4,0) cannot have two points of type d with the same c-statistic. If it does say the coordinate of both points which is not equal to 2 is one then slice on that coordinate there result will be that both side slices will have their center point and can have at most three points of type c. So the remaining 12 must be in the center slice. But there they will block all points of type d but the only remaining spaces for these points are the outside slices and there are only two such spaces there and we need two so there is a contradiction., Now without loss of generality taking in account the above we can take the points of type d to be (1,2,2,2), (2,1,2,2),(2,2,1,2) and (2,2,2,1) . We slice on the first coordinate. Then the cube with first coordinate equal to one contains its center point and can only have three points of type c. The center cube contains the remaining points of type d and hence can contain 9 of the remaining points of type d. The rest must be in the remaining slice. It must contain all its points of type c. But we could have cut along any coordinate thus the set contains all points of type c with one coordinate equal to 3. This accounts for all 18 of its points., end of part 1</t>
  </si>
  <si>
    <t>CTao_39495</t>
  </si>
  <si>
    <t>part 2 of 3</t>
  </si>
  <si>
    <t>Part 2 of proof that there is only one set of type (6,12,18,4,0) up to the various permutations:, Now for the points of type a. There can only be two points of type a in the slice with first coordinate equal to three as any two points that don’t block a line block the remaining points. So there must be four in the other side slice. Now if the point (1,1,3,3) is in the set then it will block all points except (1,1,1,1), (1,1,3,1), (1,1,1,3) and (1,3,3,3) and (3,1,1,1), (3,1,3,1) and (3,1,1,3) and (3,3,3,3). To have four points in the slice with first coordinate equal to one it must contain one of (1,1,3,1) and (1,1,1,3)
But either of these together with (1,1,3,3) will block all but one of the points in the slice with first coordinate equal to three but we need to so we have a contradiction. And by a similar argument we can deal with all points of the which are permutations of (1,1,3,3)., If the point (1,3,3,3) is in the set it will block all points which are permutations of (1,1,1,3) and (1,1,1,1) and to get four points in the slice with first coordinate equal to one we will need points which are permutations of (1,1,3,3) but that leads to contradictions as noted above., So the only way to have four points in the side slice with first coordinate equal to one is to have the points (1,1,1,1), (1,1,1,3), (1,1,3,1) and (1,1,1,3)., These points block all but he points (3,1,1,1) and (3,3,3,3) these can be included and we need them to have six points so we add them and we have our six points of type a.</t>
  </si>
  <si>
    <t>CTao_39496</t>
  </si>
  <si>
    <t>part 3 of 3</t>
  </si>
  <si>
    <t>Part 3 of proof that there is only one set of type (6,12,18,4,0) up to the various permutations:, Now we need to get the points of type b. We can include all points which are permutations of (1,3,3,2) and get 12 points so we need to show that any deviation from this leads to less points. Let us look at the 8 points of type a which have the first coordinate equal to 2 we will show that the only way to have three points in that set is if they all are permutations of (1,3,3,2). Assume we have a point with two ones say (2,1,1,3) we will have the points (2,2,1,3) and (2,1,2,3) in the set from the above result on points of type b. They will block (2,3,1,3) and (2,1,3,3). The points (2,1,2,2) and (2,2,1,2) will be in the set from our discussion of points of type d. They will block (2,1,3,1) and (2,3,1,1). So the only points left are (2,3,3,1), (2,3,3,3)
And (2,1,1,1) but (2,1,1,1) is blocked by (1,1,1,1) and (3,1,1,1).
So we must have both of (2,3,3,1) and (2,3,3,3) but (2,3,3,2) is in our set as noted in our discussion of points of type c. So we can have only one of the two. So the only way we can have three points in the set is if we have the three permutations of (1,3,3,2) in the set.
Similar arguments apply to the other sets with one fixed coordinate equal to two and the rest not equal to two. Thus the only set of points of type b that works is the permutations of the points (1,3,3,2) and we are done.</t>
  </si>
  <si>
    <t>CTao_39497</t>
  </si>
  <si>
    <t>Kristal, this morning I started up an integer programming run for n=6 where I have added the condition that the statistics must be (6,12,18,4,0). So far it has eliminated a large number of subcases, and I hope it will finish the rest during the night, but only found one solution.</t>
  </si>
  <si>
    <t>CTao_39505</t>
  </si>
  <si>
    <t>Mohammad</t>
  </si>
  <si>
    <t>confusion</t>
  </si>
  <si>
    <t>that make me confiused :S, i’ll try to find solution, thanks :)</t>
  </si>
  <si>
    <t>CTao_39506</t>
  </si>
  <si>
    <t>Kareem &amp; Klas</t>
  </si>
  <si>
    <t>Dear Kareem and Klas,, Thanks!  It looks like the (6,12,18,4,0) solutions will be classified by two independent means.  , I’ve been looking a bit at what 355-point Moser sets would look like.  The average score 4a+6b+10c+20d+60e of the 60 slices of 11**** type is 355, which means (from the Pareto statistics) that at least 45 of these slices have to be of the (6,12,18,4,0) type (which have score 356), with all other slices having score 352 or less.  This means that one of two possibilities holds:, 1.  There exists four parallel slices of 11**** type (e.g. 11****, 13****, 31****, 33****) which all have statistics (6,12,18,4,0). In particular this forces a=24., 2.  For each of the 10 ways to create four parallel slices of 11**** type, three of those slices have statistics (6,12,18,4,0), while the last slice has score 352 (and thus has statistics (5,12,18,4,0), (5,12,12,4,1), or (6,8,12,8,0)).  In particular this forces a=24 or a=23., Presumably the classification of (6,12,18,4,0) slices will help in analysing these two cases further.  Note that the (6,12,18,4,0) slice has 40 points, and the (5,12,18,4,0) slice has 39 points, but the (5,12,12,4,1) and (6,8,12,8,0) only have 34, so it may be relatively easily to eliminate the latter.  (It also seems desirable to eliminate the “e” points once and for all.  The linear inequalities are only able to establish the bound  for 355-point Moser sets.), I also looked at the 12**** slices.  The analogous score here, let’s call it 12****-score, is 12a+15b/2+20c/3 + 15d/2; the average 12**** score of a 6D Moser set is its cardinality minus the “a”-points, which in the case of 355-point sets is either 331 or 332., Unfortunately the scoring isn’t quite as favourable here.  The largest 12**** score is 336 (attained at (8,32,0,0,0)), followed by 334 (attained by (7,28,6,0,0), 332 (attained by (6,24,12,0,0)), and 330 (attained by (5,20,18,0,0)), and then they start piling on quickly after that.  The (8,32,0,0,0) slice looks rather unlikely, but the other ones look like real possibilities., For comparison, with Kareem’s 353-point example, the ab**** slice statistics are, (5,12,18,4,0)   (6,24,12,0,0)  (6,12,18,4,0)
(5,20,18,0,0)   (11,20,0,0,0)  (6,24,12,0,0)
(6,8,12,8,0)     (5,20,18,0,0)  (5,12,18,4,0), in fact all ten ways of slicing the example give some reflection or rotation of these statistics, so Kareem’s example is actually rather symmetric.  (It might be illuminating to find a good description of this example.)</t>
  </si>
  <si>
    <t>CTao_39508</t>
  </si>
  <si>
    <t>My integer program finished during the night. The program looked for solutions for n=6 with size at least 353, where each slice with two coordinates fixed to 1 has the right statistics. It found that there is just one such solution, which has  size 353,
The solution is  here
http://abel.math.umu.se/~klasm/Data/HJ/solution-n=6-k=3-moser-6_12_18_4_0, However, in this solution the 33**** slices do not have the right statistics</t>
  </si>
  <si>
    <t>CTao_39509</t>
  </si>
  <si>
    <t>?last 2 posts - make sure I have the right ones</t>
  </si>
  <si>
    <t>So putting the last two posts together, it follows that c’_6 = 353.  To get a score above 352, at least one corner is (6,12,18,4,0), and Klas shows there is therefore just one solution</t>
  </si>
  <si>
    <t>CTao_39510</t>
  </si>
  <si>
    <t>describe solution</t>
  </si>
  <si>
    <t>The 353-point solution is the union of the Gamma-cells (6,0,0),(5,0,1),(3,3,0), (3,2,1),(3,1,2),(2,2,2),(1,3,2),(0,3,3),(2,0,4),(0,2,4),(0,1,5)</t>
  </si>
  <si>
    <t>CTao_39511</t>
  </si>
  <si>
    <t>can I get this picture?</t>
  </si>
  <si>
    <t>Here is a picture of this 353-point solution
http://thomas1111.files.wordpress.com/2009/06/moser353new.png, It has indeed some symmetry in it, more precisely it is of the form
A B C
B D E
C E F
where each letter represents a pattern (subset of ) and where both patterns B and F have invertion symmetry throught their center, while A, C, D and E are symmetric wrt their first diagonal.</t>
  </si>
  <si>
    <t>CTao_39512</t>
  </si>
  <si>
    <t>what about this picture?</t>
  </si>
  <si>
    <t>http://twofoldgaze.wordpress.com/2009/03/15/visualizing-solutions-i/, I had actually produced several examples of size, 353.  The above link gives images of three of them.  It had slipped my mind but I should have them on my drive somewhere.  I will make them available shortly.</t>
  </si>
  <si>
    <t>CTao_39513</t>
  </si>
  <si>
    <t>emergence</t>
  </si>
  <si>
    <t>an important part of the problem emerges</t>
  </si>
  <si>
    <t>Hmm, it is interesting to see the Gamma cells emerge for the Moser problem at last; they have of course been of major importance in the DHJ problem but had not been so useful for Moser (in large part because they don’t respect the symmetries of the cube).  I wonder if we can improve the  lower bound of 988 using Gamma cells?, Unfortunately we are not yet done in showing , although given how pretty and symmetric the 353-point example, one can begin to conjecture that this is the case.  The score argument tells us that there are many 11***-type slices of statistic (6,12,18,4,0) (in fact, for 355-point sets, at least 45 of the 60 such slices must have this statistic, and for 354-point sets, at least 30 must), but this does not quite put us in the situation assumed in Klas’s program (in which the ten slices 11***, 1*1**, 1**1*, 1***1, *11**, *1*1*, *1**1, **11*, **1*1, ***11 are all assumed to have statistic (6,12,18,4,0)), at least if I understand Klas’s description correctly.), But perhaps we can get by with less.  For instance,  suppose we assume that the 11*** and 33*** slices are both (6,12,18,4,0), and that there are at least 354 points (or, if we are feeling less ambitious, assume there are exactly 355 points).  Can we get the integer program to get a contradiction?  I’m guessing that these are too few constraints for the program to run in a reasonable amount of time, but we can reduce the amount of work by using the classification of (6,12,18,4,0)-sets.  Kristal showed that there is exactly one such set with d-points 1222, 2122, 2212, 2221; more generally, by reflection symmetry, given , there is exactly one (6,12,18,4,0) point with d-points x222, 2y22, 22z2, 222w.  Let’s call this the xyzw (6,12,18,4,0)-set; this describes all 16 such xyzw (6,12,18,4,0)-sets.  If we are assuming that the 11*** and 33*** slices are both (6,12,18,4,0) sets, then by all the symmetries we may assume that the 11*** slice is the 1111 (6,12,18,4,0) set, and the 33*** slice is either the 1111, 1113, 1133, 1333, or 3333 (6,12,18,4,0)-set.  So we have five cases to check, and in each of which we have pinned down  of the  cells completely, which should help.  We also already know that f=g=0, which eliminates 13 more cells.   (It would definitely help if we could show e=0, as is the case with the known 353-point examples; this would eliminate 58 more cells.), If we can eliminate this case when two diagonally opposite slices are both (6,12,18,4,0), then this kills off the 355-point case, and puts severe restrictions on the 354-point case (every antipodal pair of slices must have exactly one (6,12,18,4,0) slice).  If one can eliminate this case under the additional hypothesis that the 13**** slice is also (6,12,18,4,0), then this disposes of the 355-point case at least, and puts non-trivial restrictions on the 354-point case.  If one can eliminate under the additional hypotheses that 13**** and 31**** are all (6,12,18,4,0), then this is a significant advance on the 355-point problem (it forces us into Case 2 of my 15 June 10:34pm comment).</t>
  </si>
  <si>
    <t>CTao_39514</t>
  </si>
  <si>
    <t>It may also be better to work with transverse slices rather than parallel ones.  For instance, suppose we assume that 11****, 1*1***, and *11*** are all (6,12,18,4,0); by symmetry we can reduce to this situation in the 355-point case by the pigeonhole principle, and one can almost reduce to this situation in the 354-point case (because a triangle-free graph cannot have more than half of the edges, by Turan’s theorem).  These 16-point slices intersect each other in 8-point subspaces, and so there should be a lot of compatibility conditions between the xyzw types of these three slices in order for them to fit together properly.   Furthermore, the lines between these three slices then put constraints on several other parts of the cube .  So this may be another way to proceed.</t>
  </si>
  <si>
    <t>CTao_39515</t>
  </si>
  <si>
    <t>problem similarity noted</t>
  </si>
  <si>
    <t>the problem emerges as another problem type</t>
  </si>
  <si>
    <t>It occurs to me that the Moser problem, when specialised to unions of  cells, becomes a Fujimura-type problem but in which one has to forbid isosceles triangles  rather than equilateral triangles, and each point  is weighted by the cell cardinality .  (In particular, one has to exclude vertical line segments , thus each value of  can have at most one cell.  It may thus be quite computable, even by hand, to work out what the best 7D construction is by this method, especially since some of us have some Fujimura practice already…</t>
  </si>
  <si>
    <t>CTao_39518</t>
  </si>
  <si>
    <t>code assumptions</t>
  </si>
  <si>
    <t>My program assumed that each slice of the form 11**** and permutations thereof had the given statistics. This gives 15 different slices and an indentify for the statistics vector for each of them., It is fairly easy to change these conditions in the integer program, but as always it is hard to say how the running time will be affected.</t>
  </si>
  <si>
    <t>CTao_39519</t>
  </si>
  <si>
    <t>Here are the additional sets of size 353 that I promised.  There are 26.  , Click to access 353-examples.pdf</t>
  </si>
  <si>
    <t>CTao_39521</t>
  </si>
  <si>
    <t>tentative report</t>
  </si>
  <si>
    <t>I think the following Gamma sets work to give a set of 1008 points for c’_7
(610),(520),(430),(502),(331),(322),(313),(223),(133),(205),(034),(025),(016)</t>
  </si>
  <si>
    <t>CTao_39522</t>
  </si>
  <si>
    <t>this works</t>
  </si>
  <si>
    <t>The following pattern of Gamma sets will give a one-third improvement over the bound  when n is large.
Take two cells in every three from the #2=q and #2=q-1 layers, and one cell in every three from the #2=q-2 and #2=q-3 layers.  The Gamma cells in the #2=q-2 layer match the gaps in the q layer, and the cells in the q-3 layer match the gaps in the q-1 layer.
You get to pick q so, for large n, you get roughly twice the sum of the largest layer.</t>
  </si>
  <si>
    <t>CTao_39523</t>
  </si>
  <si>
    <t>response &amp; potential write-up target</t>
  </si>
  <si>
    <t>Dear Michael: nice!  This may well be close to the limit of the Gamma method for Moser sets.  One can’t pick two cells  on the same vertical line, so it seems one can’t hope to do any better than two rows worth of Gamma’s, i.e. roughly twice the size of the largest layer.  It should be possible to make this rigorous using Stirling’s formula; that would be a nice addition to the paper.  (On the other hand, it looks like the Gamma method is unable to reproduce the 124-point 5D Moser set example, though this should be checked.  It may be that the correct optimum is some combination of Gammas plus a sphere packing of an outer layer or two, a little bit like a layer cake with frosting.), A side remark: computing slices of a union of Gamma sets (e.g. the 12**** slice of a 6D set) can be done easily: plot the points on the triangle  corresponding to the occupied Gamma sets, and then pass to a subtriangle.  In particular, slices of Gamma sets are again Gamma sets., By the way: Jozsef Solymosi just contacted me and invited us to submit this paper to the proceedings of a conference next year in honour of Endre Szemeredi’s 70th birthday.  I think this would be quite suitable and am in favour of this.  (The deadline for submission would be April 2010; given our current rate of progress in writing up, I don’t believe that we will have difficulty making this deadline.)</t>
  </si>
  <si>
    <t>CTao_39524</t>
  </si>
  <si>
    <t>also wordpress (tools) issue</t>
  </si>
  <si>
    <t>Dear Kareem: thanks for the stats!  (I guess wordpress does not support uploading of raw txt files, which is a pity, but the files should still be scrapeable, I think.)  It seems that none of the examples have any e-points (I searched for 2222 and came up empty), and so perhaps a key step trying to show that no 354 or 355 point Moser sets exist is to show that e=0.  (A sub-problem would be to get a human proof that f=0; currently the only proof I know is through the Maple calculations.  I managed at least to show that g=0 by human means, the proof is on the wiki at http://michaelnielsen.org/polymath1/index.php?title=Moser%27s_cube_problem ).  Perhaps some further playing around with various scores of slices will settle this issue.</t>
  </si>
  <si>
    <t>CTao_39527</t>
  </si>
  <si>
    <t>update on planned work</t>
  </si>
  <si>
    <t>Tomorrow I will try to adapt my program for Fujimura to the Moser-Fujimura version as well. It should not be too much work but its probably best if I don’t try do it now in the evening when I’m tired., The proceedings volume sounds like a suitable place for this paper, so I too am in favour of that.</t>
  </si>
  <si>
    <t>CTao_39529</t>
  </si>
  <si>
    <t>paper submission vote</t>
  </si>
  <si>
    <t>I am also in favor of submission to the proceedings volume.</t>
  </si>
  <si>
    <t>CTao_39532</t>
  </si>
  <si>
    <t>Hi Terry,, It took some digging around but I found a place to store the text file.  I put the file here:, http://cid-b28d4245e5fea70c.skydrive.live.com/self.aspx/.Public/353%20Examples.txt</t>
  </si>
  <si>
    <t>CTao_39538</t>
  </si>
  <si>
    <t>can someone do it by hand - need to check my computer</t>
  </si>
  <si>
    <t>Could someone try to do the first few values for the Moser-Fujimura problem by hand? , I have a program for this problem now but I am getting oddly low values and a few independently generated values would be good in order to help track down the bug I suspect I have.</t>
  </si>
  <si>
    <t>CTao_39540</t>
  </si>
  <si>
    <t>Here are my results by hand
d N
1 2 = (100),(010)
2 6 = (011),(101),(110)
3 16 = (111),(201),(210),(012),(003)
4 42 = (004),(013),(022),(121),(211),(220),(400)
5 122 = (500),(401),(104),(005),(212),(221),(122),(230),(032)
6 355 = (610),(520),(430),(502),(331),(322), (313),(223),(133),(205),(034),(025),(016)</t>
  </si>
  <si>
    <t>CTao_39545</t>
  </si>
  <si>
    <t>issue/bug fixed</t>
  </si>
  <si>
    <t>I fixed the problem, which was an incorrect bound for the new linear inequalites. The values are, n size
2  6
3  16
4  43
5  122
6  353
7  1017
8  2902
9  8622
10 24786
11 71766
12 212423
13 614875, I will post complete solution sets later.</t>
  </si>
  <si>
    <t>CTao_39548</t>
  </si>
  <si>
    <t>ratio identified</t>
  </si>
  <si>
    <t>For what it’s worth, the ratio between this list and 3^n is close to 0.25+n^{1/3}</t>
  </si>
  <si>
    <t>CTao_39551</t>
  </si>
  <si>
    <t>I have now computed the full solution sets, and the size for a few more values of n. I have added them to my table page here
http://abel.math.umu.se/~klasm/Data/HJ/, As you can see the number or optimal solutions is very small. I have not had time to look at the structure of the optima solutions but given the small number one could even hope that  there is an extremal family with a nice description.</t>
  </si>
  <si>
    <t>CTao_39553</t>
  </si>
  <si>
    <t>Klas and Michael: Thanks for the quick work!, It may be that, as I mentioned previously, one can squeeze a little bit more out of the Gamma cell method by using sphere packing.  Consider one of Klas’s optimal configurations of Gamma cells .  Being optimal, no further cell  can be added, so any such cell must form an isosceles triangle with two existing cells., If that triangle is non-degenerate, or if the new cell sits at the top (a,b+2r,c) of a degenerate isosceles triangle rather than at the bottom (a+r,b,c+r), then one cannot even add a single point from that cell without creating a line.  But suppose one has an unused cell (a+r,b,c+r) which forms a degenerate isosceles triangle with another cell (a,b+2r,c) that is being fully used, but is otherwise not forming any triangles with existing cells.  Then there is a little bit of room to add a few more points: namely, one can add any subset of  to the set without creating lines as long as no two points in that subset are a Hamming distance of exactly 2r apart.  For instance one can certainly add a single point to the Gamma example without difficulty., It may be that this observation could explain the discrepancy between the 122 bound for 5D Gamma cell Moser sets, and the truth of 124.  If we’re really lucky, it might also nudge up the 353 and 1017 lower bounds, which may make our work for computing  a bit easier.</t>
  </si>
  <si>
    <t>CTao_39564</t>
  </si>
  <si>
    <t>One can push up the number of points in  by four points, namely 11333333, 33113333, 33331133, 33333311.</t>
  </si>
  <si>
    <t>CTao_39565</t>
  </si>
  <si>
    <t>Michael, that is interesting to see. Did you find this by hand or have you tested all possible additional points for n=8? Does this work for both of the n=8 Fujimura type solutions?, The integer program for the Moser-Fujimura problem was fairly simple to solve so I can push through a few more values  of n.</t>
  </si>
  <si>
    <t>CTao_39566</t>
  </si>
  <si>
    <t>I added the values for n=17…20, using the stable MIP-solver I have.
My current complete solver can not generate complete solution sets for these sizes.</t>
  </si>
  <si>
    <t>CTao_39567</t>
  </si>
  <si>
    <t>The discussion just made me realise that there is one thing that I have forgotten to post here relating to older posts.
A while back I made a program which converts solutions for Fujimura’s problem into line free subsets of the cube. The bound this gae did not beat any of the bounds we already had for small values of n. Furthermore the different optimal Fujimura solutions for a given n gave a quite large span of different size for the line free sets, despite having the same equal-slices measure., Now if one wants to use Fujimura type sets to construct large sets without combinatorial lines one should of course use a version where a point (a,b,c) is weighted according to the size of the cell it corresponds to, just as we have done for Moser sets., I just implemented this modification and the first few values are, n   weight   #solutions, 3   18          1
4   52          3
5   150        12
6   450        1
7   1302      12
8   3780      12
9   11340    1
10 32864    12, I will compute a  few more and post a table and the solution sets.</t>
  </si>
  <si>
    <t>CTao_39568</t>
  </si>
  <si>
    <t>I have now computed the optimal values for n up to 20 and the solution sets for n up to 10. I have added  a new table for this problem and posted the solutions.
http://abel.math.umu.se/~klasm/Data/HJ/</t>
  </si>
  <si>
    <t>CTao_39569</t>
  </si>
  <si>
    <t>Klas,
I haven’t checked the full set of possibilities.
For the four extra points, I just noticed that (2,0,6) satisfied Terry’s suggestion.  Any two points in the set are not allowed to differ in two places, so their 1s must be in disjoint places.
In the other pattern, (6,0,2) gives a similar set of four extra points.</t>
  </si>
  <si>
    <t>CTao_39574</t>
  </si>
  <si>
    <t>Your update of the Moser section for the paper looks good; however, the four extra points that I found are for  rather than .</t>
  </si>
  <si>
    <t>CTao_39575</t>
  </si>
  <si>
    <t>Oops!  I think it is fixed now.  , A new version of the PDF of the paper is at, Click to access polymath2.pdf, incorporating much of the recent lower bound discussion; I haven’t touched the upper bound stuff yet given that it is likely to improve further.  I also added Thomas’ picture, and a new argument showing that by using Gamma-cells one cannot asymptotically do much better than Michael’s construction which is approximately two slices thick., NB The precise value of the set B in the 8D example is slightly off in the PDF draft, but I think I have reverted it on the wiki version to Michael’s values.</t>
  </si>
  <si>
    <t>CTao_39589</t>
  </si>
  <si>
    <t>A similar pattern would give an improved solution to the DHJ(4^n) problem:
Gamma(a,b,c,d) cells with:
a = q, b+c != 2 mod 3
a = q-1, b+c != 1 mod 3
a = q-2, b+c != 0 mod 3
a = q-3, b+c = 2 mod 3
a = q-4, b+c = 1 mod 3
a = q-5, b+c = 0 mod 3</t>
  </si>
  <si>
    <t>CTao_39590</t>
  </si>
  <si>
    <t>This morning I modified my integer program for Moser sets so that it can begin with an initial set and find the optimal way of adding additional points to the set., For n=5 it found that one of the five solutions coming from the Fujimura problem can be extended to a set of size 124 in 25 different ways. The 124 point sets are here
http://abel.math.umu.se/~klasm/Data/HJ/solutions-n=5-k=3-Moser-ext, However according to this program the Fujimura based sets for n=6…9 can not be extended at all. So either there is a bug in my program or there is a line hiding in Michael’s proposed extension for n=8., This Friday is a holiday in Sweden, Midsummer, so I probably wont do any more work on this until tomorrow.</t>
  </si>
  <si>
    <t>CTao_39591</t>
  </si>
  <si>
    <t>??</t>
  </si>
  <si>
    <t>what is not an improvement</t>
  </si>
  <si>
    <t>No, that’s not an improvement :(</t>
  </si>
  <si>
    <t>CTao_39592</t>
  </si>
  <si>
    <t>missed a thing</t>
  </si>
  <si>
    <t>Sorry, I missed the isosceles triangle (1 0 7),(0 3 5),(2 0 6)</t>
  </si>
  <si>
    <t>CTao_39593</t>
  </si>
  <si>
    <t>I think that twelve points from (5,0,5) can be added to Klas’ first n=10 solution.  That number 12 is A(10,5) on page 22 of the Jun18 version of our paper.</t>
  </si>
  <si>
    <t>CTao_39597</t>
  </si>
  <si>
    <t>human + computer = redundancy = fewer errors</t>
  </si>
  <si>
    <t>Well, I’m glad at least we have both human and computer approaches to these problems, as the redundancy seems to be quite helpful in cutting down errors., Michael, can you edit the paper (and the spreadsheet) accordingly to reflect the corrections?  I’m beginning to get a little confused as to what is proven and what is not…</t>
  </si>
  <si>
    <t>CTao_39598</t>
  </si>
  <si>
    <t>To the best of my knowledge, both the paper’s wiki and the spreadsheet are now correct., The point (5,0,5) is directly below (3,4,3) which is in Klas’ solution.  , An example of twelve points, no two of which differ in exactly four places, is the following.
1113313313
1331333111
1331133113
1133311313
3133113131
3133131131
3311311331
3113133131
3311111333
1331133311
1113331313
3311311133</t>
  </si>
  <si>
    <t>CTao_39603</t>
  </si>
  <si>
    <t>how do we show this?</t>
  </si>
  <si>
    <t>I don’t know how to show there are only twelve points of Gamma(5,0,5) that are not distance 4 from each other.  I think A(10,5) in the paper is something else.  It doesn’t matter too much because we only want to show that some such points exist., Since our results are now better than Chvatel’s, do we need to describe the latter in the paper?</t>
  </si>
  <si>
    <t>CTao_39628</t>
  </si>
  <si>
    <t>modified program</t>
  </si>
  <si>
    <t>This morning I modified my program for creating the integer program input files to make it use less RAM, at the cost of begin a little bit slower. The input file for extending the n=10 Fujimura/moser sets is about 460Mb., The program verifies that the optimal extension for n=10 is to a set of 24798 points, just as for the one Michael has found, and that both n=10 solution can be extended to that size. However because of the RAM requirements I cannot find the full set of extensions for n=10., In order to be able to do the extension step for n=11 with my current programs I would have to install more RAM in the machine with the more advanced MIP-solver.</t>
  </si>
  <si>
    <t>CTao_39631</t>
  </si>
  <si>
    <t>I think you can get eighteen more points for n=11, from either Gamma(4,0,7) or Gamma(5,0,6).  I did the following random search:  First, shuffle the 330 points of Gamma(4,0,7).  Then, greedily, collect points that are not a distance four from each other.  Shuffle and repeat, a thousand times.  , This problem is like coding theory, except that adjacent points are allowed.   Here, a distance 4 is not allowed because of the degenerate triangles (4,0,7),(2,4,5),(4,0,7) and (5,0,6),(3,4,4),(5,0,6)., The points from  Gamma(4,0,7) can be found from the binary representations of these eighteen numbers:
15, 23, 27, 29, 30, 240, 232, 228, 226, 225, 1920, 1856, 1824, 1808, 1800, 1796, 1794, 1793.
The eighteen points from Gamma(5,0,6) can be found from the binary representations of these numbers, no two of which differ in exactly four places: 31,47, 55, 59, 61, 62, 713, 714, 716, 944, 1347, 1349, 1350, 1456, 1712, 1840, 1936, 1952</t>
  </si>
  <si>
    <t>CTao_39635</t>
  </si>
  <si>
    <t>There is an analogy for this problem in k=4.  Isosceles triangles are replaced by isosceles tetrahedra.  Again, there will be a limit of two layers’ worth of points, spread over four layers.  This time, each layer will have a density of 50 percent., The set of possible (a,b,c,d) form a tetrahedron, with vertices (n,0,0,0),(0,n,0,0),etc.  Sit this tetrahedron on its (0,b,c,0) edge, with that edge pointing north-south.  The (a,0,0,d) edge is on top, pointing east-west.  Each layer of cells has constant a+d, or equivalently constant b+c.  Each layer is a rectangle.  The cells in one layer are offset from the layer below, but directly above the cells in the layer two down., A geometric line has points from the four cells (a+r,b,c,d+s), (a,b+r,c+s,d), (a,b+s,c+r,d), (a+s,b,c,d+r).  These form an isosceles tetrahedron with its upper edge pointing east-west and its lower edge north-south.  Degenerate tetrahedra exist, with (a+r,b,c,d+r) directly above (a,b+r,c+r,d).  , So one can’t include two whole cells when one is directly above another. One expects one layer’s worth of cells from the even layers, and one layer’s worth from the odd layers., Give each layer a checkerboard colouring, with each layer matching the layer two levels down.  Even layers have one colouring; odd layers have their own colouring., Select dark cells in layers q and q-1, and light cells in layers q-2 and q-3.  This gives four half-layers of cells.  No isosceles tetrahedrons form from these cells.  One expects at most two layers worth of cells, so this is best possible., It is still possible to include a subset of lower cells, with degenerate tetrahedrons, so long as geometric lines are avoided.</t>
  </si>
  <si>
    <t>CTao_39638</t>
  </si>
  <si>
    <t>request new code</t>
  </si>
  <si>
    <t>Klas,
Is it possible to run your routine, looking just for points from Gamma(7,0,5) that are not a distance 4 from each other?  I think they may be added to the first solution for n=12 without adding geometric lines.  Also, I think points from Gamma(3,0,9) that are not 4 from each other may be added; unlike my  solution for n=11 above, those two sets can both be added to the n=12 mix.</t>
  </si>
  <si>
    <t>CTao_39659</t>
  </si>
  <si>
    <t>Michael, it doesn’t sound too hard to make a program for that. I’ll look into it.</t>
  </si>
  <si>
    <t>CTao_39660</t>
  </si>
  <si>
    <t>I have written the program for maximum sets with no points at distance exactly 4. The program finds good solutions fairly quickly but it is slow at reducing the upper bounds. The values so far are, Cell         best found   upper bound
n=11
(4,0,7)    18               28
(5,0,6)    18               57
n=12
(3,0,9)    12 optimal
(7,0,5)    25               112, I have the programs running on three machines trying to close the gap but I think they will run out of RAM sometime this night before finishing.</t>
  </si>
  <si>
    <t>CTao_39671</t>
  </si>
  <si>
    <t>Klas,, Could you look for the number of points without distance 4 in (5,0,5)? It looks like it may be more than 12, possibly taking an example in (5,0,6) that has 18 such points and modifying it may give more than 12.</t>
  </si>
  <si>
    <t>CTao_39675</t>
  </si>
  <si>
    <t>Kristal, it follows from my earlier post about the best possible extension for n=10 that there cannot be a set with more than 12 points in (5,0,5), The programs have been running over night and the best new upper bounds are now
(4,0,7)  22, (7,0,5) 111</t>
  </si>
  <si>
    <t>CTao_39680</t>
  </si>
  <si>
    <t>For n=12, I think you can have points from (5,1,6) so long as no two points have the 2 in the same place and four 1s or 3s different.  That would be 12*18 = 216 extra points.</t>
  </si>
  <si>
    <t>CTao_39707</t>
  </si>
  <si>
    <t>went looking for points that are not distance 4</t>
  </si>
  <si>
    <t>I went looking for points that are not a distance 4 from each other.  , I expect to find the most ‘extra’ points in the q-4 layer, and the connection between the q’th layer and the q-4’th layer causes that restriction., The following is the results of random searches.  For Gamma(a,0,c), the row is a+c, the column is a or c, and the entry is the number of points I could find that are not a distance 4 from each other., For Gamma(a,b,c), I think you multiply that number of points by binom(a+b+c,b), because the two ends of a geometric line have 2s in the same places.,      1     0     0     0     0     0     0     0     0     0
     2     1     0     0     0     0     0     0     0     0
     3     3     1     0     0     0     0     0     0     0
     4     3     4     1     0     0     0     0     0     0
     5     4     4     5     1     0     0     0     0     0
     6     5     4     5     6     1     0     0     0     0
     7     6     5     5     6     7     1     0     0     0
     8     7     8    10     8     7     8     1     0     0
     9     8     8    11    11     8     8     9     1     0
    10     9     8    12    12    12     8     9    10     1
    11    10     9    18    18    18    18     9    10    11
    12    11    12    20    25    28    25    20    12    11
    13    12    12    22    29    34    34    29    22    12
    14    13    12    29    37    42    43    42    37    29
    15    14    13    32    43    52    59    59    52    43
    16    15    16    35    49    68    79    86    79    68
    17    16    16    43    55    82   107   123   123   107
    18    17    16    47    63   100   137   167   177   167
    19    18    17    51    75   121   174   228   256   256
    20    19    20    60    83   144   220   299   359   380</t>
  </si>
  <si>
    <t>CTao_39713</t>
  </si>
  <si>
    <t>For the n=10 case, I think I can get 36 extra points, rather than twelve:, Delete the Gamma(0,0,10) set
Add one point from Gamma(1,0,9),
23 points from Gamma(4,0,6) that are not 2 from each other, and
13 points from Gamma(7,0,3) that are not 2 from each other.</t>
  </si>
  <si>
    <t>C3706</t>
  </si>
  <si>
    <t>In the middle of page 2, the map  is used to note that finding combinatorial lines in  is at least as hard as finding k-term APs in . The map  accomplishes the same thing and is substantially more efficient. The common difference is just the number of wildcards., I think you need a bijection between  and  though; starting with a subset of , how would one naturally convert it to a subset of ?, The map Kevin suggests works fine for colourings (you just take their inverse images) but isn’t quite so straightforward for density, since the inverse image of a dense subset of  doesn’t have to be dense, though it’s probably OK if you are using equal-slices measure. I think you can get it to work if you restrict to central slices. But probably using the map we have is easier.</t>
  </si>
  <si>
    <t>C3707</t>
  </si>
  <si>
    <t>Somewhere, perhaps, the paper should mention the asymptotic lower bound (currently Theorem 1.3 in the second Polymath paper). For each k there is a  such that for every n there is a subset A of  with cardinality  and no combinatorial lines. Here,  is the maximum possible size of a subset of  not containing any -term AP., The proof is only 10 lines or so; it may well have a better home here than in the “small n” paper. Or two homes., Good point, this lower bound should be added to the “New Proof” paper.  I think it might be best for it to just quote the bound in the “Low Dimensions” paper.</t>
  </si>
  <si>
    <t>CTao_39721</t>
  </si>
  <si>
    <t>new title?</t>
  </si>
  <si>
    <t>I have been wondering a bit about the tentive title for the second paper. Now it is “Density Hales-Jewett and Moser numbers in low dimensions”. However, quite a lot of the material is really about giving constructions which give lower bounds for all values of n. Should we update the title to reflect this?</t>
  </si>
  <si>
    <t>C3710</t>
  </si>
  <si>
    <t>Good point, this lower bound should be added to the “New Proof” paper.  I think it might be best for it to just quote the bound in the “Low Dimensions” paper.</t>
  </si>
  <si>
    <t>C3711</t>
  </si>
  <si>
    <t>I think you need a bijection between  and  though; starting with a subset of , how would one naturally convert it to a subset of ?</t>
  </si>
  <si>
    <t>C3712</t>
  </si>
  <si>
    <t>link correction</t>
  </si>
  <si>
    <t>Hi all.  I have finished a rough draft of the “New Proof” paper.  You can see its pdf here.  A version without internal “notes-to-self” is here.  The files are all on the wiki here for anyone who wants to work on it., I’m fairly satisfied with it for now and think I will take a break from it.  It’s not 100 percent in submittable form yet; there are still many tiny notes in there about editing decisions, references to be added, concluding discussion to be filled in, proofreading to be done, etc.  , Also, the ultimate draft need not actually resemble this present draft; if people think the paper can be improved with significant rewriting or reorganization, that would be great., Oops, broken link.  The second link should be this.</t>
  </si>
  <si>
    <t>C3713</t>
  </si>
  <si>
    <t>Oops, broken link.  The second link should be this.</t>
  </si>
  <si>
    <t>CTao_39731</t>
  </si>
  <si>
    <t>A general form for extra points is to include these whole Gamma sets:, Γ(a,q,N − a − q) when a\neq 2(mod 3)
Γ(a,q − 1,N + 1 − a − q) when a\neq 1(mod 3)
Γ(a,q − 2,N + 2 − a − q) when a = 0(mod3)
Γ(a,q − 3,N + 3 − a − q) when a = 2(mod3), and some extra points from the following Gamma sets:
Γ(a,q-4,N + 4 − a − q) when a = 1 (mod 3)
Points within these Gamma sets must not be connected by swapping a 1 and a 3.  So one can have points with coordinates (1,2,3) and (2,1,3), but not both (1,2,3) and (3,2,1)., The proportion of extra points one can keep from Gamma(a,0,c) is 1/(1+max(a,c)), for the following reason.  For each included point, there are ac excluded points which are all its nearest neighbours.  For each excluded point, there are ac nearest neighbours, but only min(a,c) of them may be included.  So each included point has on average ac/min(a,c) = max(a,c) excluded points.  So the proportion of included points is at most one in 1+max(a,c)., The proportion of extra points one can keep from Gamma(a,q-4,c) is also at most 1/(1+max(a,c)) &lt; 2/(N-q+6).  Since we keep these points from one cell in three of the q-4 layer, one can expect a proportion 2/3(N-q+6) of extra points from this layer</t>
  </si>
  <si>
    <t>C3714</t>
  </si>
  <si>
    <t>The map Kevin suggests works fine for colourings (you just take their inverse images) but isn’t quite so straightforward for density, since the inverse image of a dense subset of  doesn’t have to be dense, though it’s probably OK if you are using equal-slices measure. I think you can get it to work if you restrict to central slices. But probably using the map we have is easier.</t>
  </si>
  <si>
    <t>C3715</t>
  </si>
  <si>
    <t>Metacomment.
What do you think about starting a new thread on the writeup? Sometimes it takes too long to download this page.</t>
  </si>
  <si>
    <t>CTao_39733</t>
  </si>
  <si>
    <t>new title</t>
  </si>
  <si>
    <t>We could change “Density Hales-Jewett and Moser numbers in low dimensions” to “Density Hales-Jewett and Moser numbers.” I think that would include lower bounds that work for all values of n.</t>
  </si>
  <si>
    <t>Gowers_17</t>
  </si>
  <si>
    <t>writeup continues; no more numbered comments</t>
  </si>
  <si>
    <t xml:space="preserve">This short post is in response to Jozsef Solymosi’s request for a new DHJ thread, since the previous one has become rather long and unwieldy. We’ve stopped numbering comments now, and the main purpose of the post is so that people can continue the discussion of the write-up of the proof of DHJ(k). Thanks mostly to the efforts of Ryan O’Donnell, we now have a complete draft. See also this write-up of DHJ(3)  by Jozsef.While I’m writing, I thought I’d take the opportunity to say that I am not intending to post much over the next two or three months, either here on on the Tricki. That’s because I have three more or less completed research projects that need to be properly finished (one of which is DHJ) and I owe it to my coauthors to get them done. So the plan is to clear my backlog over the summer and then come back, refreshed and ready to go, in the autumn. At that point I plan several Tricki articles (more advanced than most of the ones I’ve written so far). I also plan to start a new polymath project. Or rather, I have a file in which I have written plans for ten polymath projects, so what I’ll probably do is explain briefly what they are and try to get some idea of what appeals to people most. I am excited about several of these possible projects, so whatever we do I will be disappointed about the ones we don’t do. I may well have an online vote about it, but first I have to decide what the results of the vote will be.												This entry was posted on June 25, 2009 at 10:55 am and is filed under News, polymath1.						You can follow any responses to this entry through the RSS 2.0 feed.													You can leave a response, or trackback from your own site.											</t>
  </si>
  <si>
    <t>CTao_39742</t>
  </si>
  <si>
    <t>name change</t>
  </si>
  <si>
    <t>Such a name change seems fine with me.   (I’m busy with other things at the moment, but hope to have some time to devote to this project again in the near future.)</t>
  </si>
  <si>
    <t>C3717</t>
  </si>
  <si>
    <t>wiki has repo for the two papers</t>
  </si>
  <si>
    <t>Here are the write-up repositories on the wiki for the two papers.</t>
  </si>
  <si>
    <t>C3718</t>
  </si>
  <si>
    <t>suggested citation</t>
  </si>
  <si>
    <t>I was looking at Shkredov’s paper today, http://arxiv.org/PS_cache/math/pdf/0405/0405406v1.pdf , We really must be sure to cite it, as our double-inductive proof structure is very much the same as his.  The “show a relative density increment on a somewhat-structured set” part is Proposition 4.10 in his paper, and the “inductively partition somewhat-structured sets into disjoint very-structured sets (plus a tiny error set)” part is Theorem 5.2 in his paper.</t>
  </si>
  <si>
    <t>C3719</t>
  </si>
  <si>
    <t>Also, just so it doesn’t get forgotten, Kevin O’Bryant made the good point on the earlier thread that the paper should make sure to state the best known lower bounds for DHJ(k) (proved in the other paper).</t>
  </si>
  <si>
    <t>CTao_39747</t>
  </si>
  <si>
    <t>That looks like a good name.</t>
  </si>
  <si>
    <t>C3722</t>
  </si>
  <si>
    <t>DHJ write-up and other matters</t>
  </si>
  <si>
    <t>So the plan is to clear my backlog over the summer and then come back, refreshed and ready to go, in the autumn., I hope you’re better at actually carrying out your plans for what you want to get accomplished over the summers than I am.</t>
  </si>
  <si>
    <t>CTao_39759</t>
  </si>
  <si>
    <t>check earlier work</t>
  </si>
  <si>
    <t>does someone remember how we got these numbers?</t>
  </si>
  <si>
    <t>I have forgotten how to get some of the c_n numbers in the spreadsheet, specifically from c_13 on, so I have added column AC which is the best values I can get now.  They are the first general form given in the paper and the wiki.  Does someone else remember how the values in Column A were found?</t>
  </si>
  <si>
    <t>C3724</t>
  </si>
  <si>
    <t>we could condense the argument and get marginal improvmenets</t>
  </si>
  <si>
    <t>I finally took the time to, you know, actually read the Gunderson-Rodl-Sidirenko paper (and the Erdos paper it relies on).  I believe one can condense the argument and get marginally better bounds (not good enough to improve the DHJ bounds).  Here is the pdf and tex; we could possibly consider including it in the paper.</t>
  </si>
  <si>
    <t>CTao_39829</t>
  </si>
  <si>
    <t>Ah.  The numbers from 13 to 20 were found by Klas, as he gives in
http://abel.math.umu.se/~klasm/Data/HJ/
The numbers from 21 to 100 are given by my general form.</t>
  </si>
  <si>
    <t>C3751</t>
  </si>
  <si>
    <t>sunee</t>
  </si>
  <si>
    <t>Thank you. best information for me.</t>
  </si>
  <si>
    <t>CTao_39838</t>
  </si>
  <si>
    <t>report external work</t>
  </si>
  <si>
    <t xml:space="preserve">where's the analysis? is it on the blog site? </t>
  </si>
  <si>
    <t>I managed to eliminate 355-point Moser sets in 6 dimensions by a rather complicated analysis, based on seeing how (6,12,18,4,0) sets can fit with each other, see, http://michaelnielsen.org/polymath1/index.php?title=Moser%27s_cube_problem#n.3D6, It may be possible to extend the analysis to eliminate 354-point Moser sets also, but this looks somewhat tricky, as now up to half of the 11**** type slices can fail to be of the (6,12,18,4,0) configuration.  One may have to understand (i.e. to classify) the (5,12,18,4,0), (5,12,12,4,1), (6,8,12,8,0) configurations to do this.  (But it should be possible, I think, to show that e=0, which would at least kill off the (5,12,12,4,1) case.)</t>
  </si>
  <si>
    <t>CTao_39858</t>
  </si>
  <si>
    <t>I am looking at (5,12,18,4,0), (5,12,12,4,1),  and (6,8,12,8,0). It looks like (5,12,18,4,0) has at least 3 different representations as one can remove a point without 2’s three different ways from (6,12,18,4,0).</t>
  </si>
  <si>
    <t>CTao_39862</t>
  </si>
  <si>
    <t>Since in the proof of the uniqueness of (6,12,18,4,0) The c’s and d’s are fixed in a pattern before the a’s or b’s positions are known they will also be forced to take the same positions in (5,12,18,4,0) only the positions of the a’s and b’s can vary.</t>
  </si>
  <si>
    <t>CTao_39863</t>
  </si>
  <si>
    <t>CTao_39858; CTao_39862</t>
  </si>
  <si>
    <t>Thanks Kristal.  The analysis on the blog doesn’t use the a-points much, so if the (5,12,18,4,0) sets are indeed just the same as the (6,12,18,4,0) sets modulo a points then the analysis should carry over to this case., The problem resembles a sort of six-dimensional jigsaw puzzle where one has 60 four-dimensional faces to slot together.  I’m hoping that the (5,12,12,4,1) piece doesn’t fit with any of the other high-score pieces, in which case it can hopefully be ignored.  From the 353 point examples I know that the (6,8,12,8,0) piece can fit with the remaining two high-score pieces, but hopefully the exact nature of that fitting can be quantified precisely.    Then there are the lower score pieces – unfortunately, there can be as many as 20 slices with a score of 350 or lower, but hopefully the 40+ high-score pieces will already give enough information to conclude.  (Another useful piece of information is that the total “a” count of four parallel slices, e.g. 11****, 13****, 31****, 33****, must equal the total “a” count of the 6D set.  This already tells us that a must be either 22, 23, or 24, and any of these three already constrains the configurations of ways to fill out the various 4D faces a fair bit.)</t>
  </si>
  <si>
    <t>CTao_39864</t>
  </si>
  <si>
    <t>“We now show that it is impossible to have a 356-point set, i.e. one in which all corner slices are good. From the above discussion, we see that if the 111*** slice contains its center 111222, then the 113*** slice does not, and vice versa. Tthus the d points of the form ***222 consist either of those strings with an even number of 1s, or those with an odd number of 1s.”, The above is true for not just just for (6,12,18,4,0) but also for(5,12,12,4,1) and (5,12,18,4,0). For (5,12,12,4,1) it is true because of the presence of the center point. For (5,12,18,4,0) it is true because it has the same possible pattern of d points as (6,12,18,4,0). , Also for (6,8,12,8,0) both side slices contain their center points for any cut.
Perhaps that could eliminate some combinations.</t>
  </si>
  <si>
    <t>CTao_39879</t>
  </si>
  <si>
    <t>That’s a good observation!  I checked it against the symmetric 353-point example described on the wiki to see what happens (I added more detail on the wiki page to reflect this discussion).  The 11**** slices of this example are of the (6,12,18,4,0) type, while the 13**** slices are of the (5,12,18,4,0) type and are just a (6,12,18,4,0) set with one a-point removed.  The 33**** slices are of the (6,8,12,8,0) type (consisting of 1133, 1112, 3332, 1122, 3322, 1222, 3222 and permutations).  There are five “d” points of type ***222, namely 111222, 333222, 113222, 131222, and 311222.  They obey the alternating pattern except for 333222, which is consistent with the fact that the three (6,8,12,8,0) slices 33****, 3*3***, *33*** pass through this point.</t>
  </si>
  <si>
    <t>CTao_39911</t>
  </si>
  <si>
    <t>require names</t>
  </si>
  <si>
    <t>The spam problem at the wiki seems to be increasing. Take a look at the discussion for the main page where Michael Nielsen has asked question about completely blocking anonymous users from editing the wiki.</t>
  </si>
  <si>
    <t>CTao_39914</t>
  </si>
  <si>
    <t>semi-response to CTao_39911</t>
  </si>
  <si>
    <t>Klas: thanks for the heads up!  I’ve put in my vote. Thanks for all your spam-fighting efforts!, On the 6D Moser problem, I’ve made a partial breakthrough: I now know that the only way one can make a 354 set is if, among the 11****, 13****, 31****, 33**** slices, two of them have statistic (6,12,18,4,0) and the other two have statistics from (5,12,18,4,0), (5,12,12,4,1), (6,8,12,8,0), so hopefully once we classify all the sets with these statistics we will be close to finally eliminating this case and establishing .  Details are on the wiki.  The key new observation, which came from the list of Pareto-optimal 4D statistics, is that any 4D slice with a=8 had to have an extremely low score (at most 326), which made such slices extremely rare (and in fact I could eventually eliminate them altogether).  Also, a 4D slice with a=4 also has to have a moderately low score (at most 350).  On the other hand, the side 4D slices of a (6,12,18,4,0) set alternate between (4,3,3,1) and (2,6,6,0).  But it is difficult for two (4,3,3,1) slices to be adjacent because this would create a 4D slice with a=8; it is also difficult for two (2,6,6,0) slices to be adjacent.  It turns out that one can leverage this to show that one can’t have too many (6,12,18,4,0) slices that are adjacent, in particular one cannot have the 11****, 13****, 33**** slices all of this form.</t>
  </si>
  <si>
    <t>CTao_39919</t>
  </si>
  <si>
    <t>I have been looking at the ways (5,12,12,4,1), and (6,12,18,4,0) slices can have points in common and I think I have an example in which they can share a (2,6,6,0) slice and the example can be modified so that (5,12,12,4,1), and (5,12,18,4,0) can share the same slice. I was trying to prove that this was not possible and ended up constructing an example. I will be posting it tomorrow. I am still looking at these sets</t>
  </si>
  <si>
    <t>CTao_39921</t>
  </si>
  <si>
    <t>It looks like every family consists of two (6,12,18,4,0) and two of (5,12,18,4,0), (5,12,12,4,1), (6,8,12,8,0) so we don’t have to look at any four dimensional sets but these. Is there any information about these sets from the search for Pareto optimizers? If you have one (6,8,12,8,0) set in a family I think there have to be two which have to be adjacent. I might be able to prove the same for (5,12,12,4,1) since if one is adjacent to a (6,12,18,4,0) one of its side slices has a low number of points I think seven. Could we do a computer search for all examples of the four types, then search for all possible families having the desired characteristics and then try for all possible combinations of families? Perhaps less than 15 families would determine a set and that could narrow the final search.</t>
  </si>
  <si>
    <t>CTao_39922</t>
  </si>
  <si>
    <t>working the problem too</t>
  </si>
  <si>
    <t>Dear Kristal,, I have the a-set data for the Pareto optimisers, but not the other data (though I suppose I could modify the code to hunt for these if necessary).  If you’ll recall, the search was conducted by looping over all possible a-sets (modulo symmetries), filling in the top and bottom 3D layers with Moser sets, finding the forbidden points on the middle layer, then looking up the Pareto optimal statistics for that layer., For (5,12,12,4,1), it looks from the data that the a-set must be some permutation of one of the following three possibilities:, * 1111, 1113, 1131, 1311, 3111
* 3333, 1113, 1131, 1311, 3111
* 1111, 1113, 1133, 1333, 3333, For (6,8,12,6,0), it looks like the a-set must be a permutation of 1133, 1313, 1331, 3113, 3131, 3311., For the (5,12,18,4,0) guy, the situation is a bit more complicated because it isn’t a Pareto optimal set (being shadowed by (6,12,18,4,0)).  But if I am reading the data correctly, the a-set must (up to symmetries) be formed by removing one point from 1111, 1113, 1131, 1311, 3111, 3333, which is consistent with the conjecture that the (5,12,18,4,0) sets are all formed by removing one point from a (6,12,18,4,0) set., I am only about 75% confident in these above statements; it would be good to have an independent means of confirming these claims., It does seem that once we have a good list of all the possible (5,12,18,4,0), (5,12,12,4,1), and (6,8,12,8,0) sets, and how they can fit with each other, one should be well on the way to doing a computer search to exhaust the remaining possibilities, but I guess we will have to first see the list before it becomes clear how feasible this would be and what the best algorithm would be.</t>
  </si>
  <si>
    <t>CTao_39928</t>
  </si>
  <si>
    <t>My computer found 10000 solutions for (6,8,12,8,0), assuming the 12 c-points are Gamma(2,2,0) and Gamma(0,2,2).  There would be more solutions by symmetry.
The six a-points were Gamma(2,0,2)
The eight b-points included two from the c-statistic c2xxx, two from cx2xx, two from cxx2x and two from cxxx2.  The two from c2xxx included three 1s and three 3s in their coordinates, and so for cx2xx, cxx2x and cxxx2.  There are ten choices for c2xxx, and 10^4 choices altogether.</t>
  </si>
  <si>
    <t>CTao_39930</t>
  </si>
  <si>
    <t>I think I can get rid of a lot of cases of 354 and get close to proving that the answer is 353. I am going to be working on this and hopefully I should have some cases eliminated soon. The idea is that when (5,12,12,4,1), and (5,12,18,4,0) share the same (2,6,6,0) slice I can get the number of points is 353 or less and I hope to extend this to other sets as well and narrow the possibilities.</t>
  </si>
  <si>
    <t>CTao_39931</t>
  </si>
  <si>
    <t>My computer found 1720 solutions for (5,12,12,4,1) when 1222,2122,2212 and 2221 were included., If I have read the results correctly, there were
608 solutions with (3333,3111,1311,1131,1113)
608 solutions with (1111,3111,1311,1131,1113)
112 solutions with (3333,1333,1311,1131,1113)
112 solutions with (3333,3111,3133,1131,1113)
112 solutions with (3333,3111,1311,3313,1113)
112 solutions with (3333,3111,1311,1131,3331)
14 solutions with (1111,3111,3311,3131,3113)
14 solutions with (1111,1311,3311,1331,1313)
14 solutions with (1111,1131,3131,1331,1133)
14 solutions with (1111,1113,3113,1313,1133), None had any points from Gamma(3,1,0) or Gamma(0,1,3), I don’t know why.</t>
  </si>
  <si>
    <t>CTao_39932</t>
  </si>
  <si>
    <t>also correcting an error</t>
  </si>
  <si>
    <t>Thanks Michael!  I made an error in my earlier post; the (5,12,12,4,1) sets were picked up in the 16, 214, and 30 scans, which correspond to (permutations of) (1111,3111,1311,1113,1113), (3333,3111,1311,1131,3331), and (3333,3111,1311,1131,1113) respectively (I didn’t expand out the binary code for the 214 scan properly before).  This is consistent with your statistics; the 16 scan corresponds to your second set of 608 solutions and all four sets of 14 solutions, the 214 scan corresponds to the four sets of 112 solutions, and the 30 scan corresponds to the first set of 608 solutions.    So the data appears to be consistent, which is reassuring., Kristal: sounds promising!  The (5,12,12,4,1) slice does seem to be the “odd one out”; it doesn’t show up in the 353-point example (whereas the other four types do) and it does seem like it shouldn’t fit very well with the other three puzzle pieces., The families in the 353-point example consists of a (6,12,18,4,0) slice adjacent to two (5,12,18,4,0) slices, while being diagonally opposite a (6,8,12,8,0) slice.  Based on this, my guess is that any putative 354-point example should eventually have a family consisting of a (6,12,18,4,0) slice adjacent to a (6,12,18,4,0) and a (5,12,18,4,0) slice while being diagonally opposite a (6,8,12,8,0) slice.  Based on the 355 point theory, I would imagine that the diagonally opposite (6,12,8,4,0) and (5,12,18,4,0) points would be forced to be of the same type and thus eliminate a lot of points in the center slice 22****, perhaps enough to get to 353 or below., The number of possibilities coming up in Michael’s search are unfortunately looking a bit big for a computer search to be really feasible, though clearly symmetry is going to help a bit.  I guess at this point it is better to use the human methods to keep cutting down the possibilities before we resort to computer methods.</t>
  </si>
  <si>
    <t>CTao_39933</t>
  </si>
  <si>
    <t>Michael, is it possible to work out what the 3D side slice statistics of your (6,8,12,8,0) and (5,12,12,4,1) sets can look like?  For instance, I know that the 3D side slices of a (6,12,18,4,0) set are all either (4,3,3,1) or (2,6,6,0), and this is very useful in fitting these 4D slices together with each other and with the other 4D slices (e.g. one can relate the 11**** slice to the 1*1*** slice by studying the common side slice 111***).</t>
  </si>
  <si>
    <t>CTao_39934</t>
  </si>
  <si>
    <t>My computer found solutions for (5,12,18,4,0), with 1222,2122,2212,2221 included:
* The (6,12,8,4,0) solution with one a-point removed; (six solutions)
* Remove 3111,2133,2313,2331, but add 2111,2311,2333 (twelve more solutions)
* Remove 1111, get a different set of b-points, (255 more solutions)
The c-points were all determined by the d-points, and the a-points were always five of the six a-points from the (6,12,18,4,0) solution.</t>
  </si>
  <si>
    <t>CTao_39935</t>
  </si>
  <si>
    <t>The 256 solutions you get from (5,12,18,4,0) from deleting (1111) is by adding three points from each of c2xxx, cx2xx, cxx2x and cxxx2.  The three points from c2xxx are either 2111,2113,2333; 2111,2131,2333; 2111,2311,2333 or 2133,2313,2331.  There are four similar choices for each of c2xxx, cx2xx, cxx2x and cxxx2, so 4^4 = 256 solutions in all.</t>
  </si>
  <si>
    <t>CTao_39936</t>
  </si>
  <si>
    <t>The side statistics for (5,12,18,4,0) are as follows., The side statistics for the 256 solutions are (3,x,3,1,0) and (2,9-x,6,0,0) for x between 3 and 6.
The stats for the twelve solutions are either 34310,25600 or 33310,26600.
The stats for the (6,12,18,4,0) solution missing 3333 are (43310) and (16600)
The centre slice is always (3930), The side stats for (6,8,12,8,0) are (3×31) and (3,6-x,3,1) for x between 0 and 3.  The centre slice is always (2,6,6,0), The centre slice for (5,12,12,4,1) is always (3,6,3,1).
The side slices for (5,12,12,4,1) have from 6 to 12 points.  They have 45 different statistics:
(3-4,3-6,0,1), (2-4,3-6,1,1),(2-4,2-5,2,1),(2-4,0-3,3,1),(1,3,3,1)</t>
  </si>
  <si>
    <t>CTao_39937</t>
  </si>
  <si>
    <t>Thanks Michael!  I’m a bit puzzled though as to why the side slices for (5,12,12,4,1) always have d=1, I would have thought they would come in pairs, one with d=1, and the opposite slice with d=0., It does seem to support the claim that the (5,12,12,4,1) slice is hard to fit with the other slices… it seems that only the (3,*,3,1) slices (and the (4,3,3,1) slice) are in common with other 4D slices, if I’m reading the data correctly.</t>
  </si>
  <si>
    <t>CTao_39939</t>
  </si>
  <si>
    <t>Ah, I guess you are omitting the d=0 slices from the (5,12,12,4,1) data as they can be inferred from the d=1 slice and the fact that the center slice is always (3,6,3,1), is that correct?, If I am understanding the data correctly, then there is actually quite a severe limitation on what the 3D slices can be.  We have to have at least one (in fact we have two) (6,12,18,4,0) set in every family, which has slices (2,6,6,0) and (4,3,3,1).  On the other hand, the data seems to assert that, * a (2,6,6,0) slice can only be adjacent to either a (4,3,3,1) slice, a (3,3,0,1) slice, or a (3,3,3,1) slice.  Two 3D slices are adjacent if they are side slices of the same 4D slice, e.g. 111*** and 113*** are adjacent., * A (4,3,3,1) slice can only be adjacent to a (2,6,6,0), (1,6,6,0) or a (1,6,3,0) slice., * A (3,3,3,1) slice can only be adjacent to a (2,6,6,0), (3,3,3,1), or (2,6,3,0) slice., * A (1,6,6,0) slice can only be adjacent to a (4,3,3,1) or (4,3,0,1) slice., * A (1,6,3,0) slice can only be adjacent to a (4,3,3,1) slice., * A (4,3,0,1) slice can only be adjacent to a (1,6,6,0) slice., * A (2,6,3,0) slice can only be adjacent to a (3,3,3,1) slice., * A (3,3,0,1) slice can only be adjacent to a (2,6,6,0) slice., If all this is true, then the only possible 3D slice statistics are (4,3,3,1), (2,6,6,0), (1,6,3,0), (3,3,3,1), (1,6,6,0), (4,3,0,1), (3,3,0,1), and (2,6,3,0).  This should severely cut down on the possible 4D slices and move us closer to the point where we can exhaust the remaining cases by computer or even by hand.</t>
  </si>
  <si>
    <t>CTao_39940</t>
  </si>
  <si>
    <t>Actually, the situation seems to be even better than this.  On the wiki it is shown that in every family of 4D slices, two of the slices are good (i.e. of (6,12,18,4,0) type).  This implies that every 3D slice is adjacent to a 3D slice of a (6,12,18,4,0) set, i.e. adjacent to either a (4,3,3,1) slice or a (2,6,6,0) slice.  This eliminates the (4,3,0,1) and (2,6,3,0) possibilities, thus every 3D slice must be either (4,3,3,1), (2,6,6,0), (1,6,3,0), (3,3,0,1), (1,6,6,0), or (3,3,3,1)., It looks like one could eliminate more possibilities with a bit more effort…</t>
  </si>
  <si>
    <t>CTao_39941</t>
  </si>
  <si>
    <t>Ah, it looks like one can now fully eliminate the (6,8,12,8,0) slices (but this needs to be double-checked)., Suppose for instance that the 11**** slice was of type (6,8,12,8,0).  Then by Michael’s stats, the 111*** and 113*** slices are of type (3,*,3,1) (in fact they have to be (3,3,3,1), in order to be adjacent to either (4,3,3,1) or (2,6,6,0)).  This implies that the 1*1*** and 1*3*** slices can’t be of the form (6,12,18,4,0), which implies that the 3*1*** and 3*3*** slices must be of the form (6,12,18,4,0).  In particular, the 311*** and 333*** slices must be either (4,3,3,1) or (2,6,6,0).  But these slices are adjacent to the (3,*,3,1) slices at 111*** and 113***, and must therefore be of type (2,6,6,0).  But then we have two adjacent (2,6,6,0) slices, which is not possible with this data (actually Kristal observed earlier that we can’t have any two d=0 slices adjacent to each other).</t>
  </si>
  <si>
    <t>CTao_39944</t>
  </si>
  <si>
    <t>That looks right, although I think you meant 313*** instead of 333***.
I am afraid I omitted half the (5,12,12,4,1) slices because it was getting a bit late.  The fact that centre slices were (3,6,3,1) was intended as a check, rather than a cryptic clue.
Another thing from yesterday was the (6,8,12,8,0) data, where I assumed the c-points were Gamma(2,2,0) and Gamma(0,2,2).  I have run it again, without that assumption, and the only extra solutions I got were indeed from symmetries of the cube.</t>
  </si>
  <si>
    <t>CTao_39946</t>
  </si>
  <si>
    <t>Let us assume that a (6,12,18,4,0) set and a (5,12,12,4,1) are in the same family and they share a (2,6,6,0) slice we will show that we can get a contradiction. We will later have to deal with the other possible slice of the (6,12,18,4) as well., The coordinates of the (2,6,6,0) slice can be assumed to be without loss of generality: (3,3,3,3),  (3,3,3,2), (3,3,2,1), (3,3,1,2), (3,2,3,2), 3,2,3,1),(3,2,1,2), (3,2,2,3), (3,2,2,1), (3,2,1,3), (3,1,1,1), (3,1,2,2), (3,1,2,3) and (3,1,3,2)., We can assume the presence of points (2,2,2,2) and (1,2,2,2)., Now the points of the (2,6,6,0) reflected by (2,2,2,2) block all but the center spot and 6 pairs of points which are symmetric about (1,2,2,2) this means that there are at most 7 points but there are at most 13 points in the center slice and exactly 14 in the (2,6,6,0) slice and since there are 34 in the overall set there must be exactly 7 in the slice with first coordinate equal to one and exactly 13 in the center slice., Frome this we see that there must be exactly one of the following pairs in the set: 2212 and 2223,2223 and 2232, 2232 and 2221, and 2221 and 2212. We will look at each of these four cases., to be continued</t>
  </si>
  <si>
    <t>CTao_39947</t>
  </si>
  <si>
    <t>continued from my previous post: , assume 2212 and 2223 are in the set
then with 3213, 2212 blocks 1211 and with
3213 2223 blocks 1233 but this means the diagonal
1211 1222 and 1233 contains only one point and by the previous discussion
the slice with first coordinate equal to one has less than 7 points which means the total set size is less than 34 which gives a contradiction.
The case of 2232 and 2221 is symmetric to this so the only remaining cases are the pair 2221 and 2212 and the pair 2223 and 2232., to be continued</t>
  </si>
  <si>
    <t>CTao_39948</t>
  </si>
  <si>
    <t>It looks like we are rapidly narrowing down the number of possible 4D corner slices (such as 11****) and 3D side slices (such as 111***) of a 354-point 6D Moser set., To summarise so far, it now looks (though it would be good to recheck) that the only possible 4D corner slices are (6,12,18,4,0), (5,12,18,4,0), and (5,12,12,4,1).   The only possible 3D side slices are (4,3,3,1), (2,6,6,0), (1,6,3,0), (3,3,0,1), (1,6,6,0), and (3,3,3,1)., In any family of four parallel 4D slices (e.g. 11****, 13****, 31****, 33****) we have two (6,12,18,4,0) slices, and two slices which are either (5,12,18,4,0) or (5,12,12,4,1)., Any two opposing side slices of a  (6,12,18,4,0) slice (e.g. 111*** and 113*** of 11****) has statistics (4,3,3,1) and (2,6,6,0)., Any two opposing side slices of a (5,12,18,4,0) slice come in the pairs (3,3,3,1)+(2,6,6,0) or (4,3,3,1)+(1,6,6,0)., Any two opposing side slices of a (5,12,12,4,1) slice comes in the pairs (4,3,3,1)+(1,6,3,0) or (3,3,0,1)+(2,6,6,0)., Furthermore, if I understand Kristal’s most recent comments correctly, the (2,6,6,0) slice of (5,12,12,4,1) is not compatible with the (2,6,6,0) slice of a (6,12,18,4,0) set.  If so, it appears that the (3,3,0,1) slice cannot occur, because every 3D slice has to be adjacent to a 3D slice of a (6,12,18,4,0) set as I mentioned in my 7 July 1:34pm comment.  So the (5,12,12,4,1) slice must have the property that every opposing pair of side slices take the form (4,3,3,1)+(1,6,3,0).  There shouldn’t be too many such slices with that property (and if the (4,3,3,1) slices are not compatible with the (4,3,3,1) slice of the (6,12,18,4,0) set, then we should be able to eliminate (5,12,12,4,1) entirely, which would be a huge advance).</t>
  </si>
  <si>
    <t>CTao_39949</t>
  </si>
  <si>
    <t>? pre CTao_39949</t>
  </si>
  <si>
    <t>Continued from my previous post:, Assume the set contains the points 2221 and 2212
then the points 3312 and 3321 together with the above points block
1121 and 1112. Since the slice with first coordinate one must have seven points the diagonals 1121 1222 1323 and 1112 1222 1332 must have two points and so the set must contain the points 1323 1332, Now the points 3213 2212 block 1211 since the diagonal 1211 1222 1233 must contain two points the set must contain 1233, Now on the five remaining diagonals on which points can possibly lie in the slice with first coordinate 1 the points of the (2,6,6,0) set block one point each for four of these diagonals for the slice to have 7 points and the configuration to have 34 the remaining spaces must be filled thus the set must have  the points 1332, 1323, 1311, and 1133., The points 1311 and 3333 block 2322 and since the center slice must have 13 points the point 2122 must be in the set., to be continued.</t>
  </si>
  <si>
    <t>CTao_39950</t>
  </si>
  <si>
    <t>finishing a proof</t>
  </si>
  <si>
    <t>Let me note that the above contain an error the set does not contain the point 1133 this diagonal contains the center point only as the other two are blocked. Also the points 1323 and 1332 are in the set I actually proved they are in the set twice but aside from that the above should be accurate. Finally the point 1311 is one of two possible points in the diagonal. But we can prove it is in the set if the other point 1133 is in the set the it would form a line with 2122 and 3111 so since there must be one point in the diagonal we must have 1133 in the set. So now we have 6  points of the slice with first coordinate equal to one. We will have one more one of the two points 1311 and 1113 to give seven., Now I claim that the slices with second coordinate equal to one must contain one set isomorphic to the set (2,6,6,6) or (4,3,3,1) or else the set with two others containing these slices would form a family with three bad sets which is a contradiction. , the slice with second coordinate equal to one contains it centerpoint so it is not of (2,6,6,0) it contains at most two points of type a so it is not of type (4,3,3,1) so we are done with this slice., The slice with second coordinate equal to three does not contain its centerpoint  so it cannot be of type (4,3,3,1) it is missing one point with three twos 1322 so it cannot be of type (2,6,6,0)., So we are done. The remaining case with the pair 2223 and 2232 is symmetric to the this one so we have a proof of all four cases and we are done.</t>
  </si>
  <si>
    <t>CTao_39962</t>
  </si>
  <si>
    <t>contradicts earlier work</t>
  </si>
  <si>
    <t>I think I can show (5,12,12,4,1) can’t share (4,3,3,1) with (6,12,8,4,0), I try to build (5,12,12,4,1).  The slices 1***, 2***, 3*** have statistics (4,3,3,1), (0,3,6,3,1) and (1,6,3,0), Suppose the (4,3,3,1) in common is the eleven points 1111,1113,1131,1311, 1222,1223,1232,1233, 1322,1323,1332.  The point 2222 is also included in the 4D set., Points 3122,3212,3221 must be excluded to prevent lines through 2222.
So 3322,3232,3223 must be included to give 3*** three c points.
So 2322,2232,2223 must be excluded to prevent lines *322,*232,*223.
So 2122,2212,2221 must be included to give 2*** three d points
So *1** has at least three a points, and at most two c points.
This contradicts Terry’s classification from 8 July, 11:18</t>
  </si>
  <si>
    <t>CTao_39967</t>
  </si>
  <si>
    <t>Tao_11</t>
  </si>
  <si>
    <t>Michael &amp; Kristal work on (5,12,12,4,1) and (6,12,18,4,0) slices</t>
  </si>
  <si>
    <t>It looks like Michael and Kristal have shown that a (5,12,12,4,1) slice cannot intersect a (6,12,18,4,0) slice in either a (2,6,6,0) pattern or a (4,3,3,1) pattern.  If so, then this shows that (5,12,12,4,1) slices do not occur.  (Proof: if such a slice does occur, then by the preceding analysis (see my 8 July 11:18 am comment), it must contain a 3D slice which is either (1,6,3,0) or (3,3,0,1).  But every 3D slice must be adjacent to a slice of (6,12,18,4,0), which is either (2,6,6,0) or (4,3,3,1).  These two adjacent 3D slices must span a (5,12,12,4,1) 4D slice (as they cannot span a (6,12,18,4,0) or (5,12,18,4,0)), and so we have a (5,12,12,4,1) slice intersecting a (6,12,18,4,0) slice.), Assuming everything is correct so far, the remaining scenario left to eliminate for 354-point 6D Moser sets is:, * All 4D slices are either (6,12,18,4,0) or (5,12,18,4,0).  Each family of four parallel slices contains two of each type., * All 3D slices are either (2,6,6,0), (4,3,3,1), (1,6,6,0), or (3,3,3,1).  The (6,12,18,4,0) slices split as (2,6,6,0)+(4,3,3,1); the (5,12,18,4,0) slices split as (1,6,6,0)+(4,3,3,1) or (2,6,6,0)+(3,3,3,1)., As in the wiki, we can assign each (6,12,18,4,0) a _type_ based on what “d” points they have; one can also assign a type to (5,12,18,4,0) slices similarly.  We know that opposing d points (e.g. 111222 and 113222) cannot both lie in the set, or both be absent from the set (see Kristal’s 3 July 6:02 pm comment).  Because of this, two adjacent 4D slices (e.g. 11**** and 13****) must have opposite types, and hence any two diagonally opposite 4D slices (e.g. 11**** and 33****) must have the same type.  On the wiki it is shown that two diagonally opposite (6,12,18,4,0) slices with the same type cannot occur (they eliminate far too many points in the center slice), so we conclude that 11**** and 33**** cannot both be (6,12,18,4,0).  Similarly for 13**** and 31****; meanwhile, these four slices must somehow accommodate two (6,12,18,4,0)’s and two (5,12,18,4,0)’s.  Thus:, * Given two diagonally opposite 4D slices, one of them must be (6,12,18,4,0) and the other (5,12,18,4,0), and they must be of the same type.  (e.g. if the 11**** slice contains 111222, then the 33**** slice must contain 33122)., This is quite a bit of progress… hopefully with a few more observations we should be able to eliminate the last remaining cases, either by hand or by computer search., Incidentally, the above facts pin down the statistics of a 6D 354 Moser set precisely, to be (22, 72, 180, 80, 0, 0, 0).  I don’t see how to gain any additional mileage out of this that we can’t already see from the 3D and 4D slice information, though.</t>
  </si>
  <si>
    <t>CTao_39970</t>
  </si>
  <si>
    <t>If the c and the d points are the same for (6,12,18,4,0)
and (5,12,18,4,0) sets which I think is true and these are the only sets left then can’t the following argument
from the wiki:, “Note: in the 353-point example given above, the 11**** slices are good (and of type 1111), the 13**** slices have statistics (5,12,18,4,0) and consist of the type 3333 slice with the point 133333 removed, and the 33**** slices have statistics (6,8,12,8,0), with the slice consisting of the 6 a-points formed by permuting 1133, the 8 b-points formed by permuting 1112 and 3332, the 12 c-points formed by permuting 1122 and 3322, and all 8 d-points., We now show that it is impossible to have a 356-point set, i.e. one in which all corner slices are good. From the above discussion, we see that if the 111*** slice contains its center 111222, then the 113*** slice does not, and vice versa. Tthus the d points of the form ***222 consist either of those strings with an even number of 1s, or those with an odd number of 1s., Let’s say it’s the former, thus the set contains 111222, 133222, and permutations of the first three coordinates, but omits 113222, 333222 and permutations of the first three coordinates. Meanwhile, we see that the (24,72,180,80,0,0,0) set saturates the inequality 4c+3d \leq 960, which is only possible if every line connecting two “c” points to a “d” point meets exactly two elements in the set. Since the “d” points 113222, 333222 are omitted, we conclude that the “c” points 113122, 113322, 333122, 333322 must lie in the set, and similarly for permutations of the first three and last three coordinates. But this gives at least 15 of the 16 “c” points ending in 22; by symmetry this leads to 225 c-points in all, which is far too many. ”, be adapted to get rid of the remaining 354 point cases?</t>
  </si>
  <si>
    <t>CTao_39972</t>
  </si>
  <si>
    <t>have shown a partial proof</t>
  </si>
  <si>
    <t>Hmm, I think you’re right!  Then it looks like we have in fact shown that ., I’ve put the argument on the wiki.  The wiki proof is not the most efficient proof – this is a consequence of it evolving from the  argument, followed by the  argument, then  argument, and then finally the  argument, but I’ll put a more coherent argument in the LaTeX writeup, which will also provide an opportunity to double-check various steps (and in particular to identify exactly what parts of the argument require computer verification)., Michael, did anything special have to be done to do your computer searches of the various 4D slices, or was brute force sufficient?</t>
  </si>
  <si>
    <t>this is continuing two previous ones</t>
  </si>
  <si>
    <t xml:space="preserve">
This is a continuation of the preceding two threads here on the polymath1 project, which are now full.  We are closing on on the computation of the sixth Moser number – the size of the largest subset of the six-dimensional cube  that does not contain any lines: it is either 353 or 354, and 354 looks close to being eliminated soon.
Besides this, the nominal purpose of this thread is to coordinate the writing of the second paper of the project.  In addition to incorporating whatever results we get from the six-dimensional Moser problem, a lot of work still has to be done on other sections of the paper, notably the higher k component and the component on Fujimura’s problem, as well as the appendices.
Share this:PrintEmailMoreTwitterFacebookRedditPinterestLike this:Like Loading... </t>
  </si>
  <si>
    <t>CTao_39980</t>
  </si>
  <si>
    <t>explain process</t>
  </si>
  <si>
    <t>Mostly, it was a depth-first search, with trimming every few layers to check I hadn’t completed any rows., For 5,12,12,4,1, make use of the central (2,2,2,2) point.
Half the c-points remain, one from each symmetric pair.
It is easy to see that Gamma(2,2,0) is excluded, so Gamma(0,2,2) is included.  The remaining six c points are one from each pair of Gamma(1,2,1).
It turned out, by brute force, that Gamma(3,1,0) and Gamma(0,1,3) were excluded, and the twelve b points were then one from each of the twelve remaining pairs.
The a points are one each from five of the eight symmetric pairs., For 5,12,18,4,0, the c-points are determined by the d-points, as Kristal found in 15 June 12:11.  Then the a-points turned out to be five of the six from the 6,12,18,4,0 solution.  Then I just did a brute-force search through the combin(32,12) possible sets of b points., For 6,8,12,8,0, the c-points are non-adjacent pairs from cxx22 and the other c-sets.  By the cube’s symmetry, I can assume they are 1122,3322;1212,3232;1221,3223, and three other pairs.
Then place the a-points, and I think it turned out that the only solution so far is that the c-points are Gamma(2,2,0) and Gamma(0,2,2), and the a-points are Gamma(2,0,2).  Then brute-force through the b-points.</t>
  </si>
  <si>
    <t>CTao_39981</t>
  </si>
  <si>
    <t>answered in the wrong thread</t>
  </si>
  <si>
    <t>I accidentally answered your question in the previous thread instead of this one.</t>
  </si>
  <si>
    <t>CTao_39983</t>
  </si>
  <si>
    <t>I’ve made a new version of the paper at, Click to access polymath.pdf, It has the  proof, except for a few things that were proven by computer and which we will have to describe in a bit more detail., As the paper was getting a bit long, I decided to omit some of the human proofs of things that we can do by computer, instead referring the reader to the relevant wiki page for details.  , I think we’re pretty much done on the Moser number side of things: the bounds  we have are just too far apart to have any realistic hope of narrowing the gap in any reasonable amount of time.  The big things left to do are to put in the higher k stuff, the Fujimura stuff, whatever we have on the coloring HJ problem, and then once all the material is there, to figure out how to keep the paper reasonable in size and focus (perhaps by moving some content to the wiki as necessary).</t>
  </si>
  <si>
    <t>CTao_39991</t>
  </si>
  <si>
    <t>what was the improvement made?</t>
  </si>
  <si>
    <t>The main improvement we have in coloring is related to the connection between Moser(n, 2k) and DHJ(n,k). We can get a similar connection to coloring numbers Let HJ(k, r) be the coloring number for a cube of side k and r colors(here we are looking for a combinatorial line and M(k,r) be the coloring number for a cube of side k and r colors. then we get a connection between the two that allows an improvement in the M(k,r) and also the use of Van der Warden numbers in constructing the M(k,r). Previously the methond used in getting the M(k,r) was looking at sets free of quadratic sequences instead of arithmetic sequences.  We also have HJ(k,r) numbers that appear to be new but are constructed by a known method. I am thinking of just referring to the wiki for this., I have a question if we are given a density and a length k and we want an n that at that density that must have a k-length arithmetic progression what does that function look like for k = 1 through 6? Because I think the the other paper combined with some of the results here might make those numbers lie within primitive recursive bounds.</t>
  </si>
  <si>
    <t>CTao_39996</t>
  </si>
  <si>
    <t>sort of a questioning post</t>
  </si>
  <si>
    <t>It looks like it might be possible to narrow the gap between the upper and lower bounds of c_7′ the Maple calculations seem to have been done before it was known that the larges c_6′ set was 353 and it looks like the example appears to have g=2 now it looks like if g=2 and we can get one side slice equal to 337 and the center slice will have another g point if not both side slices are of size 337 and we get the total number of points less than 1041. Because of the above I doubt the 1041 bound is realized and it might be relatively easier to improve. Are there 353 point Moser sets in six dimensions with 5 2’s? On the other hand if we are going to submit the paper in April we will probably not get c_7′ by then and even if we did we would run into space problems.  I think the 1041 bound might be quickly improved though., Also in my last post k=1 and 2 are trivial and I think we cannot get an improvement for 3 for this question:, “if we are given a density and a length k and we want an n that at that density that must have a k-length arithmetic progression what does that function look like for k less than 6?” , And now that I think about it I am less optimistic about the cases 4,5 and 6. Although I have no idea what the existing numbers are so it is possible there could be an improvement.</t>
  </si>
  <si>
    <t>CTao_39997</t>
  </si>
  <si>
    <t>Dear Kristal,, I added in the  bound to the Maple calculations (it’s the line “X6 := {op(X6), A6+16*g 0, but at best this will just send g to zero, thus lowering the 1041 upper bound by at most two, which is still a fair way from 1017.)   Also, we are getting further and further away from the last case we understand completely, namely the 4D case where we have the complete Pareto-optimal list, and the capability to classify sets of a given statistic, so I would imagine the 7D case would be quite a deal harder than the 6D case, unfortunately., Regarding your question about arithmetic progressions, I think this is  basically equivalent to getting the best possible bounds for Szemeredi’s theorem, see, http://en.wikipedia.org/wiki/Szemer%C3%A9di%27s_theorem, The number n you are looking for is basically .</t>
  </si>
  <si>
    <t>CTao_40004</t>
  </si>
  <si>
    <t>I added the counterexample to the HOC for all even numbers great than 4 to the following section of the paper, http://michaelnielsen.org/polymath1/index.php?title=Higherk.tex</t>
  </si>
  <si>
    <t>CTao_40133</t>
  </si>
  <si>
    <t>I think I have found a problem in the writeup of the 353 proof, in Moser.tex, In lemma \ref{f6}, proving that f(A)=0, it is assumed 3^6 has 30 edge slices.   I think it has 60 edge slices, which would affect the proof of this lemma in several places.</t>
  </si>
  <si>
    <t>CTao_40135</t>
  </si>
  <si>
    <t>Hmm, this is a problem.  I think this means that the argument as it stands eliminates all values of f(A) greater than 2, but additional arguments are needed for f(A)=1 and f(A)=2. , In principle one can deconstruct the Maple calculations to extract a proof of f(A)=0, but of course a more transparent, human-verifiable proof would be desirable.</t>
  </si>
  <si>
    <t>CTao_40685</t>
  </si>
  <si>
    <t>problem patched</t>
  </si>
  <si>
    <t>I’ve patched the problem Michael pointed out, at the cost of making the argument rather ad hoc and complicated, and also needing some linear programming analysis of the 4D Pareto optimals, and also recompiled the paper.  Thanks to Mike and Klas for fleshing out the other sections of the paper, though still a fair bit of polishing is needed.  The latest version is at, Click to access polymath1.pdf</t>
  </si>
  <si>
    <t>CTao_40706</t>
  </si>
  <si>
    <t>I have just added more to the colouring section of the paper. I also added a couple of items to the bibliography of the main paper since I had to cite them.  I didn’t know about the problem to the c_6′ proof until after it had been solved. I am glad there was a way to get around the problem.</t>
  </si>
  <si>
    <t>CTao_40721</t>
  </si>
  <si>
    <t>how hungry do you have to be to look at a cube and see a donut? https://en.wikipedia.org/wiki/Torus</t>
  </si>
  <si>
    <t>I think I can find lower bounds to a couple more coloring problems. They involve the cube when viewed as a torus. This allows more lines. I think these lines are sets of n points with fixed coordinates and if we are looking at a k-cube k types of moving coordinates they move up by one but can start at any of the k-values. Let us refer to these as n=T(k,r) is the smallest integer to force a monochromatic line. If we allow lines to move sown as well as up we have 2n types of lines and we can define n=D(k,r). By using arguments similar to the arguments relating colorings without combinatorial lines and coloring without geometric lines. I can get lower bounds of roughly 2^n/3 and 2^n/6 for these number if the number of colors is two. Two colors is important because it related to the drawing postions in two player games. These two toric variants are interesting because their hypergraph has a property that makes a variant of the two player game easy to analyze.</t>
  </si>
  <si>
    <t>CTao_40725</t>
  </si>
  <si>
    <t>CTao_40721 (I think)</t>
  </si>
  <si>
    <t>can't prove it</t>
  </si>
  <si>
    <t>With regard to my above post I am not able to prove this result.</t>
  </si>
  <si>
    <t>CTao_40726</t>
  </si>
  <si>
    <t>remark on process</t>
  </si>
  <si>
    <t>Just a remark on the symmetry group in the Moser problem, mentioned in the introduction.  The coordinates  naturally pair up into  and so on.  When , these pairs can be swapped around, which increases the symmetry group by a factor .  Each pair can be flipped, which gives an extra factor .  (The symmetry of flipping every pair is the same as flipping every coordinate dimension, so it is already included in .)</t>
  </si>
  <si>
    <t>CTao_40727</t>
  </si>
  <si>
    <t>huh ...</t>
  </si>
  <si>
    <t>that's a strange symmetry</t>
  </si>
  <si>
    <t>Huh, that’s somewhat strange symmetry (it doesn’t have a geometric interpretation, despite the fact that the lines are geometric), but I guess you’re right.  So for instance, for k=4, one could swap all 1s with 4s in a Moser set while keeping 2s and 3s unchanged, or instead swap 1s with 2s and 3s with 4s, boosting the group of symmetries by an order of 4.  Every little bit helps, I suppose…</t>
  </si>
  <si>
    <t>C3908</t>
  </si>
  <si>
    <t>additional citation needed</t>
  </si>
  <si>
    <t>At the bottom of page two, we mention that the multi-dimensional theorem follows from the lines version. According to Math Sci-Net, this is the content of:, MR0734978 (85d:05068)
Brown, T. C.(3-SFR); Buhler, J. P.(1-REED)
Lines imply spaces in density Ramsey theory.
J. Combin. Theory Ser. A 36 (1984), no. 2, 214–220.
05B25 (51E30) , Let a finite field $F$ with $q$ elements and $\varepsilon&gt;0$ be fixed. The affine line conjecture is the assertion that for $n$ sufficiently large if $V$ is a vector space of dimension $n$ over $F$ and $A\subset V$ with $\vert A\vert \ge\varepsilon\vert V\vert $ then $A$ contains an affine line. This roughly is the density version of the Hales-Jewett theorem and is a leading open question in Ramsey theory today. Let the affine space conjecture denote the assertion that given $F$, $\varepsilon&gt;0$, and a positive integer $k$ then, for $n$ sufficiently large with $A$ as above, $A$ contains an affine $k$-space. The authors show that the affine line conjecture implies the affine space conjecture., Reviewed by J. Spencer</t>
  </si>
  <si>
    <t>C4182</t>
  </si>
  <si>
    <t>A new version has been posted to the wiki., Direct link to the pdf.</t>
  </si>
  <si>
    <t>Gowers_18</t>
  </si>
  <si>
    <t xml:space="preserve">Michael Nielsen and I have written an Opinion Piece for Nature about the Polymath project and related matters. Thanks almost entirely to Ryan O’Donnell, a preprint  at last exists that contains Polymath’s proof of the density Hales-Jewett theorem with all the details. It will be posted on the arXiv very soon and I will update this post when it is. Update: it can be found here. Owing to a misunderstanding, it was posted before I had any input into it, but in any case, the full proof is here, even if the version that is submitted for publication will have some changes.The Notices of the AMS have published five back-to-back reviews of the Princeton Companion to Mathematics. They are by Bryan Birch, Simon Donaldson, Gil Kalai, Richard Kenyon and Angus Macintyre. From Quomodocumque I learned of a new website,  Math Overflow, where you can ask and answer mathematical questions. It seems to be very active, with a lot of users, rating systems for comments and commenters, and the like. So in principle it could be another mechanism for pooling the resources of mathematicians with the help of the internet. For example, if you need a certain statement to be true and do not know whether it is known, then my guess is that you could find out pretty quickly if you post a question there. For more discussion, see  a post over at the Secret Blogging Seminar.												This entry was posted on October 20, 2009 at 2:40 pm and is filed under Mathematics on the internet, News, polymath, polymath1, Princeton Companion To Mathematics.						You can follow any responses to this entry through the RSS 2.0 feed.													You can leave a response, or trackback from your own site.											</t>
  </si>
  <si>
    <t>C4189</t>
  </si>
  <si>
    <t>I just looked at latest version of the DHJ paper, and noticed that the reference given to Behrend’s construction, at the bottom of page 2,
links to his 1938 paper in Casopis pro pestovani….
I doubt that the 1938 paper contains what one usually means by Behrend’s construction. A link to that paper is here
http://dml.cz/dmlcz/122006, Behrend’s construction in the usual sense is in his 1946 paper in the Proceedings of the National Academy of Sciences, a link is here:
http://www.pnas.org/content/32/12/331.citation, Good point, thanks.</t>
  </si>
  <si>
    <t>C4191</t>
  </si>
  <si>
    <t>Good point, thanks.</t>
  </si>
  <si>
    <t>C4192</t>
  </si>
  <si>
    <t>Henry</t>
  </si>
  <si>
    <t>Hallo!
I think the problem is about accessibility. When users have read through an excess of beta material, they lose a great amount of time, perhaps creating a sense of chaos. A solution is to index the sites, and customise a search engine for each index. It is the dogma of Math Harbour, small is beautiful., Before we have the nice Google Wave, perhaps, the CSEs at Mathematics would be useful to you. Just click the right hand corner for unsolved problems. Lectures, proofs and examples can be found in the middle., Happy solving.</t>
  </si>
  <si>
    <t>CTao_41966</t>
  </si>
  <si>
    <t>Tao_12</t>
  </si>
  <si>
    <t>fact check</t>
  </si>
  <si>
    <t>It’s great to see the project worked out so well!, As for Varnavides, it seems the name is Panaylotis L Varnavides, born in 1912, then B.A. in Athens, then PhD at University College in London in 1948, see this excerpt of a British Who’s Who on Google Books (was indeed a bit hard to find).</t>
  </si>
  <si>
    <t>CTao_41967</t>
  </si>
  <si>
    <t>Oops, on second reading it’s Panayiotis L Varnavides (i not l), apologies.</t>
  </si>
  <si>
    <t>CTao_41968</t>
  </si>
  <si>
    <t>This reminds me that I have a bit of writing to do for the second polymath paper.  But it will have to wait until I get back to Sweden.
What is the general status of the second paper now?</t>
  </si>
  <si>
    <t>CTao_41971</t>
  </si>
  <si>
    <t>Thomas: Thanks for the speedy detective work!, Klas: Well, we have a series of drafts at , http://michaelnielsen.org/polymath1/index.php?title=Outline_of_second_paper, the most recent one being dated July 25.  We have a deadline of April to submit it for the forthcoming Szemeredi birthday conference proceedings, so there is plenty of time still to refine it.  You are of course welcome to make any corrections to the source files that you spot… in a month or two I may try to more actively shepherd this project towards completion.</t>
  </si>
  <si>
    <t>CTao_41972</t>
  </si>
  <si>
    <t>Amazing, nice find!</t>
  </si>
  <si>
    <t>CTao_41973</t>
  </si>
  <si>
    <t>By the way, I noticed today that I botched a trivial calculation, and our main theorem is actually very slightly better:  .  Updated, thanks – T.</t>
  </si>
  <si>
    <t xml:space="preserve">
The polymath1 project has just uploaded to the arXiv the paper “A new proof of the density Hales-Jewett theorem“, to be submitted shortly.  Special thanks here go to Ryan O’Donnell for performing the lion’s share of the writing up of the results, and to Tim Gowers for running a highly successful online mathematical experiment.
I’ll state the main result in the first non-trivial case  for simplicity, though the methods extend surprisingly easily to higher  (but with significantly worse bounds).  Let  be the size of the largest subset of the cube  that does not contain any combinatorial line.    The density Hales-Jewett theorem of Furstenberg and Katznelson shows that .  In the course of the Polymath1 project, the explicit values
were established, as well as the asymptotic lower bound
(actually we have a slightly more precise bound than this).  The main result of this paper is then
Theorem. ( version) .
Here  is the inverse tower exponential function; it is the number of times one has to take (natural) logarithms until one drops below 1.  So it does go to infinity, but extremely slowly.  Nevertheless, this is the first explicitly quantitative version of the density Hales-Jewett theorem.
The argument is based on the density increment argument as pioneered by Roth, and also used in later papers of Ajtai-Szemerédi and Shkredov on the corners problem, which was also influential in our current work (though, perhaps paradoxically, the generality of our setting makes our argument simpler than the above arguments, in particular allowing one to avoid use of the Fourier transform, regularity lemma, or Szemerédi’s theorem).   I discuss the argument in the first part of this previous blog post.
I’ll end this post with an open problem.  In our paper, we cite the work of P. L. Varnavides, who was the first to observe the elementary averaging argument that showed that Roth’s theorem (which showed that dense sets of integers contained at least one progression of length three) could be amplified (to show that there was in some sense a “dense” set of arithmetic progressions of length three).  However, despite much effort, we were not able to expand “P.” into the first name.  As one final task of the Polymath1 project, perhaps some readers with skills in detective work could lend a hand in finding out what Varnavides’ first name was? Update, Oct 22: Mystery now solved; see comments.
Share this:PrintEmailMoreTwitterFacebookRedditPinterestLike this:Like Loading... </t>
  </si>
  <si>
    <t>CTao_41988</t>
  </si>
  <si>
    <t>Andreas Varnavides</t>
  </si>
  <si>
    <t>real life</t>
  </si>
  <si>
    <t>he's my uncle</t>
  </si>
  <si>
    <t>Yes his first name was Panayiotis, born in Paphos Cyprus. He was my uncle</t>
  </si>
  <si>
    <t>CTao_42268</t>
  </si>
  <si>
    <t>This is slightly off-topic, but does anyone know of explicit computations of , the maximum size of a subset of  that does not have  terms in AP?, I recall seeing  somewhere, but I can’t find it now.</t>
  </si>
  <si>
    <t>CTao_42295</t>
  </si>
  <si>
    <t>That sounds somewhat large to me, given that the Fourier-analytic upper bounds are quite lossy, and the Behrend examples are also not very strong at this scale, and there are too many combinations for a brute force approach.  Perhaps it was van der Waerden numbers instead?</t>
  </si>
  <si>
    <t>CTao_42302</t>
  </si>
  <si>
    <t>I can look for the van der Warden for 5 colors and length note it is greater than 170 from the table here:, http://en.wikipedia.org/wiki/Van_der_Waerden_number, Then divide by 5 and get a set of 34 points out of the 200 without an arithmetic progression of length 3 so the maximum must be 34 or more.</t>
  </si>
  <si>
    <t>CTao_42307</t>
  </si>
  <si>
    <t>The preprint I found was definitely concerning , and it was reporting the outcome of a large parallel computation.  The number 200 is from my memory, and could well have been “almost 200”., While 200 is too small for the good stuff, some elementary arguments are still powerful. The original 1930s Erdos-Turan paper uses the bound , for example, and the greedy algorithm to compute  (by hand!).</t>
  </si>
  <si>
    <t>CTao_42313</t>
  </si>
  <si>
    <t>You might be thinking of this set of results.
http://www.st.ewi.tudelft.nl/sat/waerden.php, n=200 sounds much larger than anything I can recall having seen so if there really is such a result the methods behind it would be very interesting to see.</t>
  </si>
  <si>
    <t>CTao_42713</t>
  </si>
  <si>
    <t>According to this site (http://www.math.uni.wroc.pl/~jwr/non-ave.htm), Rodolfo Niborski has proved that . The witness is , 1 2 5 7 11 16 18 19 24 26 38 39 42 44 48 53 55 56 61 63 112 127 128 133 135 136 140 146 148 149 151 155 172 173 178 179 181 187 188 192 194, with the optimality coming by exhaustive search.</t>
  </si>
  <si>
    <t>C4635</t>
  </si>
  <si>
    <t>Dan Dutrow</t>
  </si>
  <si>
    <t>I wonder if the collaboration activity could be viewed in multiple ways, catering to how the individual wants to digest the information., For example, integrating something like Google Wave into the mix could provide the threaded discussions necessary to follow down different paths. Meanwhile, the same information could be exported to a blog in serial/linear fashion so thoughts could be viewed chronologically. , Furthermore, integrating chat or micro-blogging tools into the mix would allow for quicker, simpler, contributions. (I noticed that the average length of posts increased beyond what was stated in the “rules.”) That can be done through Google Wave, XMPP (Jabber), or twitter., Another idea would be to display all posts chronologically, but color them by thread, and draw colored lines through the discussion. That would allow the eye to quickly filter through the information – focused on one thread, but collecting inputs from other threads through osmosis., At some point, threads could split and join (analogous to branching and merging of software). The issue there, of course, is that threads won’t join cleanly. Instead, only some aspects of one thread will relate to the other. Thus, it may be of value to share posts between threads. I don’t know of any tools that allow you to do this, besides concurrent versioning systems, like SVN, but that’s not really web-based., If you represent all posts as individual nodes, there must be some kind of network where interconnections could be made. There is value not only in the node, but also the link, because the connection of independent thoughts provides much insight into the problem. However, it might be hard to digest such a diagram in traditional web formats.</t>
  </si>
  <si>
    <t>CTao_43249</t>
  </si>
  <si>
    <t>Tao_13</t>
  </si>
  <si>
    <t>2.  The algebra of circulant matrices of order  is isomorphic to , where  is the cyclic permutation matrix of order .  In this algebra, it’s clear that , so the circulant matrix you’re looking at is invertible.</t>
  </si>
  <si>
    <t>CTao_43251</t>
  </si>
  <si>
    <t>Kevin Costello</t>
  </si>
  <si>
    <t>Another way of approaching (2) is to look at the vectors , where  denotes the  row of  and  equals .  , Each such vector is of the form , so a hypothetical vector in the nullspace would have to have all of its entries equal, which can immediately be rejected by considering the first row.</t>
  </si>
  <si>
    <t>CTao_43254</t>
  </si>
  <si>
    <t>Jitse Niesen</t>
  </si>
  <si>
    <t>Theorem 3 of Daryl Geller, Irwin Kra, Sorin Popescu and Santiago Simanca, “On circulant matrices”, http://www.math.sunysb.edu/~sorin/eprints/circulant.pdf, states that a circulant matrix whose first row is an increasing sequence of nonnegative numbers, is nonsingular.</t>
  </si>
  <si>
    <t xml:space="preserve">
After a hiatus of several months, I’ve made an effort to advance the writing of the second Polymath1 paper, entitled “Density Hales-Jewett and Moser numbers“.  This is in part due to a request from the Szemeredi 60th 70th birthday conference proceedings (which solicited the paper) to move the submission date up from April to February.  (Also, the recent launch of Polymath5 on Tim Gowers blog reminds me that I should get this older project out of the way.)
The current draft of the paper is here, with source files here.  I have been trimming the paper, in particular replacing some of the auxiliary or incomplete material in the paper with references to pages on the polymath wiki instead.  Nevertheless this is still a large paper, at 51 pages.  It is now focused primarily on the computation of the Density Hales-Jewett numbers  and the Moser numbers  for all n up to 6, with the latter requiring a significant amount of computer assistance.
There are a number of minor issues remaining with the paper:
A picture of a Fujimura set for the introduction would be nice.
In the proof of Theorem 1.3 (asymptotic lower bound for DHJ numbers), it is asserted without proof that the circulant matrix with first row 1,2,…,k-1 is nonsingular.  One can prove this claim by computing the Fourier coefficients  for all t, but is there a slicker way to see this (e.g. by citing a reference?).
Reference 15 (which is Komlos’s lower bound on the Moser numbers) is missing a volume number.  The reference is currently given as
J. Komlos, solution to problem P.170 by Leo Moser, Canad. Math.. Bull. vol  ???  (1972), 312-313, 1970.
Finally, the text probably needs to be proofread one or two more times before it is ready to go, hopefully by early February.  There is still also one last opportunity to propose non-trivial restructuring of the paper (in particular, if there are other ways to trim the size of the paper, this may be worth looking into).
Share this:PrintEmailMoreTwitterFacebookRedditPinterestLike this:Like Loading... </t>
  </si>
  <si>
    <t>CTao_43256</t>
  </si>
  <si>
    <t>” This is in part due to a request from the Szemeredi 60th birthday conference proceedings ”
I agree that Endre looks younger than 60, however this conference will celebrate his 70th birthday :), Oops!  Corrected, thanks.  I hope Endre won’t be offended – T.</t>
  </si>
  <si>
    <t>CTao_43259</t>
  </si>
  <si>
    <t>I looked at the Canadian Mathematic bulletin site here:, http://www.cms.math.ca/cmb/, It said that the volume number of 1972 is 15.</t>
  </si>
  <si>
    <t>CTao_43264</t>
  </si>
  <si>
    <t>I have been going through the paper and at page 20 it gives the following url: http://abel.math.umu.se/klasm/Data/HJ/ as a reference. I have tried this address and it gave me a 404 page. So there may be problems with this url.</t>
  </si>
  <si>
    <t>CTao_43267</t>
  </si>
  <si>
    <t>Kristal, as you have written it there is a missing tilde, or  ~,  before klasm in the address. If you add that it works.</t>
  </si>
  <si>
    <t>CTao_43276</t>
  </si>
  <si>
    <t>I looked at it again and I think what happen is that the missing symbol is in the paper but it is missing in the font and so I am getting a space.  So at least my software is missing a font and leaving it out.</t>
  </si>
  <si>
    <t>CTao_43279</t>
  </si>
  <si>
    <t>obryant</t>
  </si>
  <si>
    <t>With a proof this sweet, it would be wrong to omit it., There’s a nice formula for the determinant of the circulant here:
http://mathworld.wolfram.com/CirculantDeterminant.html</t>
  </si>
  <si>
    <t>CTao_43280</t>
  </si>
  <si>
    <t>Theorem 1.3 is not mentioned in the abstract.</t>
  </si>
  <si>
    <t>CTao_43281</t>
  </si>
  <si>
    <t>The comment in Theorem 1.4 stating that the sequence is now in the OEIS should be before the theorem., BTW, the “corrections” I’m posting are just my opinion, so please accept or ignore them as you find appropriate.</t>
  </si>
  <si>
    <t>CTao_43282</t>
  </si>
  <si>
    <t>page 5: change “it gives a lower bound of $c’_{6,3}=344$” to “it gives a lower bound of $c’_{6,3} \geq 344$”</t>
  </si>
  <si>
    <t>CTao_43283</t>
  </si>
  <si>
    <t>Footnote on page 5: change “no all equilateral” to “no equilateral”</t>
  </si>
  <si>
    <t>CTao_43284</t>
  </si>
  <si>
    <t>visual</t>
  </si>
  <si>
    <t>If somebody emails me a good Fujimura set, I can make the picture (I made the other pics in the introduction, so the style would be the same).</t>
  </si>
  <si>
    <t>CTao_43285</t>
  </si>
  <si>
    <t>On page 10, in the proof of Theorem 1.3, in the last line of text, we have “applying (2.1)”, but it is actually using something more general than (2.1). Can fix by changing (2.1), or by changing the reference to “applying the obvious generalization of (2.1) to arbitrary $k$”., Also in this proof, change “simplices $\Delta_{n,k}$” to “simplices in $\Delta_{n,k}$”., Also in this proof, we use the notation $n/k + \vec{s}$ to mean the vector, all of whose components are Floorn/k, plus the vector s. (notation used again two lines later.) Is this standard usage? I recommend changing the period at the end of the definition of B to a comma, and then continuing, “where \vec{c} is the $k-1$ dimensional vector, all of whose entries are $\lfloor n/k \rfloor$.” Two lines later, change “c” to “M\vec{c}$.</t>
  </si>
  <si>
    <t>CTao_43286</t>
  </si>
  <si>
    <t>Is the proof of Theorem 1.3 the only place we use “\vec” to denote elements of ?</t>
  </si>
  <si>
    <t>CTao_43291</t>
  </si>
  <si>
    <t>I think the following article in the polymath wiki has some examples of Fujimura sets http://michaelnielsen.org/polymath1/index.php?title=Fujimura%27s_problem possibly one of them might work.</t>
  </si>
  <si>
    <t>CTao_43298</t>
  </si>
  <si>
    <t>Thanks for all the corrections!  I’ve uploaded a revised version at, Click to access polymath1.pdf, The only outstanding issue now that I know of is the image of the Fujimura set (though of course more proofreading is very welcome).</t>
  </si>
  <si>
    <t>CTao_43313</t>
  </si>
  <si>
    <t>I now see the tilde in the web address. I was looking at volume numbers in the bibliography and they don’t seem to be standardized. Some are boldfaced some are not, some are proceeded by the word volume or vol. So possibly one way could be chosen to write all the volume numbers.</t>
  </si>
  <si>
    <t>CTao_43321</t>
  </si>
  <si>
    <t>The new abstract has “We also some”, which should perhaps be “we also prove some”., The last equation of the abstract should be $2k&gt;2^\ell$.</t>
  </si>
  <si>
    <t>CTao_43336</t>
  </si>
  <si>
    <t>A new version of the paper, incorporating all the latest changes and also some nice new figures by Kevin:, Click to access polymath2.pdf, It’s looking close to ready now…</t>
  </si>
  <si>
    <t>CTao_43341</t>
  </si>
  <si>
    <t>Oops, I forgot to make the bibliography consistent as Kristal suggested.  Here is a version with a better biblio:, Click to access polymath3.pdf</t>
  </si>
  <si>
    <t>CTao_43345</t>
  </si>
  <si>
    <t>Christian</t>
  </si>
  <si>
    <t>Here are some further suggestions on references/bibliography:, 1) On preprints/arxiv preprints:
consistently with arxiv number/link or consistently not.
23 has the number, most others not., 2) On books: with place of publication. (This is an old tradition)., 3) Abbreviation of Journals consistently, according to MathScinet
e.g. Canad. Math. Bull. is abbreviated several entries are not abbreviated., some detailed comments below., 2 arxiv, see above
3 place of publication: Cambridge
7 Bull. not Bull,
13 tilde ~ before sorin missing (same latex problem as before)
14 arxiv see above
20 arxiv see above
25 add hyphen between pages, I think, 332-344,
27 add place of publication: Heidelberg
28 year in brackets</t>
  </si>
  <si>
    <t>CTao_43371</t>
  </si>
  <si>
    <t>I’ve made the changes to the bibliography at, Click to access polymath4.pdf, To ensure that this process terminates, I’ll arbitrarily set Feb 1 as the self-imposed deadline for submission, and then submit to the Szemeredi conference proceedings and to the arXiv.</t>
  </si>
  <si>
    <t>CTao_43403</t>
  </si>
  <si>
    <t>Suggestion for section 4:, After a major part of the section was written, the results had been improved and put in front of the remainder of the section. The remaining part was kept since those constructions still give some insight., In any case the following sentences could be adjusted:, 1) formula 4.2 closer to the beginning of the section.
2) page 22, 2nd paragraph, 2nd sentence (In this section…) is
obsolete now.
3) page 23, last paragraph, comment that this construction gives the
best value C is not true any longer., I am now looking forward to the Szemeredi Festsschrift!, Many thanks to Terry for his great supervision of the project, and to all others who contributed!</t>
  </si>
  <si>
    <t>CTao_43405</t>
  </si>
  <si>
    <t>misha</t>
  </si>
  <si>
    <t>LYM (e.g. on page 6) and LMY (e.g. on page 5) are used interchangeably., m</t>
  </si>
  <si>
    <t>CTao_43406</t>
  </si>
  <si>
    <t>A new version of the draft:, Click to access polymath5.pdf, It includes a second picture of a Fujimura set by Jason Dyer, and incorporates the preceding corrections.</t>
  </si>
  <si>
    <t>CTao_43407</t>
  </si>
  <si>
    <t>I think the following (on the bottom of page 9) is missing a punctuation mark:, … to the following Fujimura set construction It is convenient to write …</t>
  </si>
  <si>
    <t>CTao_43408</t>
  </si>
  <si>
    <t>Sorry, the abstract is referring to LYM inequality, the body to LMY., m</t>
  </si>
  <si>
    <t>CTao_43432</t>
  </si>
  <si>
    <t>One of the participants pointed out to me by email that there is one last reference question which it may be good to resolve before submitting, namely to track down the reference of Fujimura in which he introduces (essentially) the concept of what we call a Fujimura set.  Right now all we have is a web URL,, http://www.puzzles.com/PuzzlePlayground/CoinsAndTriangles/CoinsAndTriangles.htm, but apparently in one of Martin Gardner’s columns “Eccentric Chess and Other Problems”, from 1979, he attributes the puzzle to a “recent book” of Fujimura.  The one germane publication we know of of Fujimura is “the Tokyo puzzles”, but this puzzle does not appear to be in that book.  We’ve had good luck with using the polymath community to settle other reference questions of this sort, so I’m tossing this out here in the hope that it works again…</t>
  </si>
  <si>
    <t>CTao_43433</t>
  </si>
  <si>
    <t>Just as a quick clarification, the article is in the book Mathematical Circus, so the original Scientific American article might be back a year or two., The Tokyo Puzzles was from 1978 so it’s the most likely candidate, but it doesn’t seem to be in there. It is possible I am simply blind, but I checked through quite a few times. I’m guessing (since Gardiner was editor of The Tokyo Puzzles) he learned of the new puzzle simply through side personal correspondence, meaning likely the original book is only available in Japanese., If someone has contact information for Martin Gardiner himself, he might be able to resolve this.</t>
  </si>
  <si>
    <t>CTao_43435</t>
  </si>
  <si>
    <t>The weekand has given me  time to do a bit of proof reading too., On page 2 we have the sentence: “The proof of 2 also used ergodic theory, but the proof in 23 was combinatorial and gave effective bounds for cn;k in the limit n -&gt; 1.”      Should this sentence be in past tense?  It sound a bit strange to me, but english is not my first language., Page 9.  “An integer program2 was run…”  Strictly speaking one doesn’t run an integer program, after all it is a set of linear inequalities and an objective function. Maybe   “An integer program was solved” instead?, Page 9. The same paragraph which contains the previous sentence ends with a “:”   and the next paragraph is just a single line which should probably be merged into the same paragraph., Section 3.   It could possibly be  helpful to divide this section into subsections for difference values of n., Page 19.  Again “An integer program was run”, Page 19. Same paragraph.  Here the reference to the list of optimizers is done as an URL but on  page 9 this was done as ref 17. I think it is better to be consistent and use 17., Reference 17   I wouldn’t mind getting some umlauts to have an ö instead on an o in my name :)  They are even separate letters in the Swedish alphabet.</t>
  </si>
  <si>
    <t>CTao_43445</t>
  </si>
  <si>
    <t>Michael</t>
  </si>
  <si>
    <t>Klas, in that reference, you list values up to n=20, but your link to the actual Fujimura sets only goes up to 10.  Do you still have the Fujimura sets up to 20?</t>
  </si>
  <si>
    <t>CTao_43446</t>
  </si>
  <si>
    <t>Michael,
The files with Fujimura sets which I have posted are only for values of n for which I have all such sets. I can put some partial files with example sets for larger n  there as well, but i might have to generate some of them anew.</t>
  </si>
  <si>
    <t>CTao_43470</t>
  </si>
  <si>
    <t>I think it would be good to have an example of each n, if it is easy to regenerate.</t>
  </si>
  <si>
    <t>C5967</t>
  </si>
  <si>
    <t>Pacha Nambi</t>
  </si>
  <si>
    <t>hope it catches on</t>
  </si>
  <si>
    <t>The polymath idea is excellent. I hope this catches on. I would like to see similar efforts by chemists/biologists etc in which experimentalist work with theoreticians to solve problems. I also would like to see continuous stream of comments after a paper is published. Also, reviewers comments should be posted without revealing their names.</t>
  </si>
  <si>
    <t>Gowers_19</t>
  </si>
  <si>
    <t xml:space="preserve">A quick post to say that earlier today I put a new version of the write-up of Polymath1’s proof of the density Hales-Jewett theorem on the arXiv. Very soon it will be submitted for publication. I will not say more at this stage (since I don’t want the journal to evaluate the paper in the public eye) but will report back when I know whether it has been accepted. Update: it is now submitted.												This entry was posted on February 17, 2010 at 1:14 am and is filed under polymath1.						You can follow any responses to this entry through the RSS 2.0 feed.													You can leave a response, or trackback from your own site.											</t>
  </si>
  <si>
    <t>C6110</t>
  </si>
  <si>
    <t>The first sentence in the abstract is missing the word “monochromatic”., Thanks very much! I’ll change that before I submit the paper.</t>
  </si>
  <si>
    <t>C6114</t>
  </si>
  <si>
    <t>Thanks very much! I’ll change that before I submit the paper.</t>
  </si>
  <si>
    <t>CTao_44327</t>
  </si>
  <si>
    <t>Tao_14</t>
  </si>
  <si>
    <t>I’d love to clear up the Fujimura reference thing, but I suppose it can wait for a dedicated paper., The informal wiki list sounds good to me, but someone who is more affected by the CV issue should weight in.</t>
  </si>
  <si>
    <t>CTao_44330</t>
  </si>
  <si>
    <t>&gt; Incidentally, if we have another successful Polymath project to write up, I
&gt; would now strongly recommend using version control software (such as
&gt; Subversion or git) to organise the writing process, both at the informal notes
&gt; stage and also at the drafting stage.  It is certainly far superior to our
&gt; improvised solution of putting the raw TeX files on a wiki…, That is definitely true, but I would suggest Mercurial rather than Subversion or git, for the following reasons:, – It is distributed, like git, so it has all the same advantages of flexibility over Subversion.
– It is much easier to learn (and better documented) than git because it is simpler.
– Although git has more features, which makes it better in the eyes of many software developers, you don’t really need any of the advanced features for writing a paper in LaTeX.
– I am writing a series of tutorials on how to use Mercurial for LaTeX authoring (as opposed to software development), which will hopefully be easier to follow for those with little or no coding experience., I am not a Mercurial evangelist in general and I would say that git is definitely better for a lot of tasks.  It is just that authoring LaTeX documents with people who are new to VCS is not one of them., For completeness I should mention that if you use Subversion there is a LaTeX package that prints the subversion version number on the document when you latex it (http://www.tug.org/pracjourn/2007-3/scharrer/).  This handy if you have a printout and want to know if it is the most recent version.  There is no equivalent for Mercurial or git at the moment, but I think the advantages of DVCS outweigh the small inconvenience.  , Incidentally, there are several wiki-engines available that use version control systems as a back end, i.e. every time you make a change to the wiki it is really doing a commit to a repository (here is one that uses Mercurial as a backend: http://hatta.sheep.art.pl/ ).  Therefore, you could set up a system where those who don’t want to learn version control can edit via a wiki, but those who want to use their usual LaTeXing setup can checkout the repository and edit locally instead.</t>
  </si>
  <si>
    <t>CTao_44332</t>
  </si>
  <si>
    <t>Great news about the paper., I think one solution to a very long list of participants, which seems to be used in biology, perhaps because they often have such lists of authors, is to specify what contribution was made by each person listed.  It seems like some combination of self-reporting and specification of level of contribution might be fair to all concerned while still remaining practicable.  The implicit suggestions of level of contribution embodied in having a list of participants are made explicit, thus avoiding confusion.  In my admittedly limited experience with papers where author contribution is specified, we eventually developed a few stock phrases, that were reused as they applied, and were granular enough to say what part of the work we were involved with and at what level.  This seemed better than free-form descriptions.</t>
  </si>
  <si>
    <t>some who gets credit</t>
  </si>
  <si>
    <t xml:space="preserve">Ordinarily, I only mention my research papers on this blog when they are first submitted, or if a major update is required.  With the paper arising from the DHJ Polymath “Low Dimensions” project, though, the situation is a little different as the collaboration to produce the paper took place on this blog.
Anyway, the good news is that the paper has been accepted for the Szemerédi birthday conference proceedings.  The referee was positive and recommended only some minor changes (I include the list of changes below the fold).  I have incorporated these changes, and the new version of the paper can be found here.  Within a few days I need to return the paper to the editor, so this is the last chance to propose any further corrections or changes (though at this stage any major changes are unlikely to be feasible).
The editor asked a good question: should we have a list of participants for this project somewhere?  If so, it seems to make more sense to have this list as a link on the wiki, rather than in the paper itself. But making a list opens the can of worms of deciding what level of participation should be the threshold for inclusion in the list – should someone who only contributed, say, one tangential comment to one of the blog posts be listed alongside a substantially more active participant?
One possibility is that of self-reporting; we could set up a page for participants on the wiki and let anyone who felt like they contributed add their name, and rely on the honour code to keep it accurate.    This might be feasible as long as the page is kept unofficial (so, in particular, it will not be used as the formal list of authors for the paper).
A related question is whether to add an explicit link to the timeline for progress on this project and on the sister “New proof” project.  If so, this should also be kept unofficial (there was no formal guidelines as to what was included in the timeline and what was not).
These decisions do not necessarily have to be taken quickly; one can simply point to the wiki in the paper (as is already done in the current version), and update the wiki later if we decide to add these sorts of acknowledgments on that site.
Incidentally, if we have another successful Polymath project to write up, I would now strongly recommend using version control software (such as Subversion or git) to organise the writing process, both at the informal notes stage and also at the drafting stage.  It is certainly far superior to our improvised solution of putting the raw TeX files on a wiki…
In the referee’s opinion the paper is very well written and there were a few typos find only. I would like to ask you and the contributors to check it again (spell check) and send me the tex file.
Thank you and the contributors to write the paper and sending it to this special volume. I have one more question. Do you want to add a list of contributors with affiliation and/or the time-line as an appendix or anything like that?  Please let me know.
================================
1. Page 5. First formula.  “w(k)=” should be “w(k)\in”
2 Page 15. Proof of lemma 3.6   Th proof begins with “Suppose not”, however since the lemma is a negative statement this is confusing. It would be preferable to say “Suppose that A has two parallel 3^4 slices.”
3 Page 25. Last formula. This sum should have “\alpha_i(A)” rather than a_i
==================================
Share this:PrintEmailMoreTwitterFacebookRedditPinterestLike this:Like Loading... </t>
  </si>
  <si>
    <t>CTao_44337</t>
  </si>
  <si>
    <t>I am glad the paper has been accepted!, On the question of participants’ list:
In this project I always felt that there was a rather clear distinction between participants who contributed regularly, or those that made one entry only (and who would probably prefer not to be named as “active participant”)., What about the following idea:
a) producing a list of participants with at least 3 blog entries, where people can opt in or out, if they felt that their one or two entries were relevant or their 7 entries were of a rather non-mathematical nature. Probably that list consists of about 15 people only.
b) And a note like this at the end of the paper.
“About 50 (?) people contributed to the blog discussion on this part of the Polymath project. Of these the following made several contributions: list of names…”, Linking to the timeline is certainly a good idea, even though it only covers the first part of the project.</t>
  </si>
  <si>
    <t>CTao_44353</t>
  </si>
  <si>
    <t>That’s great news!  , Regarding the remaining typos, if needed, I could spend a few hours tomorrow carefully going through each sentence (for instance in section 1.2 there’s “Polymath1, was was focused” which has an extra ‘was’)., As for an author list, yes there has been 6 or 7 key participants which should definitely be listed somewhere and Kareem’s suggestion is useful I think, but here’s a question about the wiki: what matters is that things remain accessible for the next generation of academics in 15 to 50 years time (when PCs, browsers and HTML will be found only in museums). The paper itself is as safe as any other published paper, but is there a plan to make the wiki long-lived?</t>
  </si>
  <si>
    <t>CTao_44356</t>
  </si>
  <si>
    <t>N. Bourbaki</t>
  </si>
  <si>
    <t>Vous les gars devrait le garder propre et simple et non pas la liste des participants partout. Si un jeune chercheur a largement contribué à ce projet, certains participants chevronnés pourraient en faire mention dans leurs lettres de recommandation.</t>
  </si>
  <si>
    <t>CTao_44357</t>
  </si>
  <si>
    <t>I just realised that there is already a page for grant acknowledgements for the “New Proof” and “Low dimensions projects” at, http://michaelnielsen.org/polymath1/index.php?title=%22New_Proof%22_grant_acknowledgments, and, http://michaelnielsen.org/polymath1/index.php?title=%22Low_Dimensions%22_grant_acknowledgments&amp;action=edit&amp;redlink=1, in the endnotes of the Polymath1 page at, http://michaelnielsen.org/polymath1/index.php?title=Polymath1, So I think the simplest thing to do is to add to the grant acknowledgement page some basic contact information and any acknowledgements of support.  For instance, I added a link to my own web page.  The paper already links to the polymath1 page, so I think we’re covered., As for archiving the wiki, I don’t think the conference proceedings will have the technical capability to do so (certainly it would not be possible, nor particularly productive, to include a printout of the entire wiki as an appendix!)  But it certainly makes sense to make a backup of the wiki every so often (I think we already did so once already).</t>
  </si>
  <si>
    <t>CTao_44361</t>
  </si>
  <si>
    <t>backup - archive plans</t>
  </si>
  <si>
    <t>On the wiki: both the actual pages and the backing database are backed up regularly (daily, as I recall) by my host (Dreamhost). Some time back I sent a dump of everything to Ryan O’Donnell., With that said, over the long run I agree that it would be good if a more systematic and more failsafe approach were being used – I’m not exactly an expert on the long-term preservation of wikis.  Unfortunately, I don’t know of any services that I’d really trust to do the job.  If other people do, please let me know!  , The Library of Congress has recently begun archiving academic law blogs; I’m hopeful that they will consider tackling wikis as well.  , I’ve also chatted with some University librarians about the problem of archiving wikis, and they’re well aware that this needs to be happening, but don’t know of any large-scale efforts.  One thing that was mentioned to me, however, is that if anyone has a friendly local librarian at their University, they may be able to archive the wiki.  I’m not at an academic institution, however, and am not in a position to do this.</t>
  </si>
  <si>
    <t>CTao_44362</t>
  </si>
  <si>
    <t>version control</t>
  </si>
  <si>
    <t>On git and version control: I really like git, especially when used in conjunction with github.  The two together are an amazing combination.  But I’m not sure many academics would want to go through the pain of getting them set up.  svn is a lot easier.  I haven’t used mercurial, and don’t know how it compares.</t>
  </si>
  <si>
    <t>CTao_44379</t>
  </si>
  <si>
    <t>Beyond the typo mentionned above, here are the other ones I’ve found (unless mistaken):, p13, lemma 3.4: change “OR is equal”  to  “OR are equal”, p21, middle of the page: the comma starting the line after  might be removed, p22, two lines after (4.2): isn’t a word missing in “takes the form (4.1)” ?, p23, bottom of the page: in the sentence “It should…” change “lower bound gives” to “lower bound to give”, p23, last paragraph: missing ‘e’ in “paramters”, p41, section 5.7, end of third paragraph: space missing in “aremissing” :-), p43, next to last paragraph: change “program yield” to “program yields”, p43, last paragraph: change “with 1 can be as large” to “with 1 to be as large”, p46, in proof of corollary 5.33: change “thirteen family” to “thirteen families”.</t>
  </si>
  <si>
    <t>CTao_44393</t>
  </si>
  <si>
    <t>In the middle paragraph on page 3 there is an “occuring” with only one r, and the same thing in paragrpah four of section 5.3, page 31, This is nitpicking. On page 22 we use “semi-sphere”, but isn’t hemisphere the more common term for one half of a sphere?</t>
  </si>
  <si>
    <t>CTao_44394</t>
  </si>
  <si>
    <t>“Anonymous” at 1:24 was me in case anyone wonders.</t>
  </si>
  <si>
    <t>CTao_44399</t>
  </si>
  <si>
    <t>paper correction</t>
  </si>
  <si>
    <t>Thanks for all the corrections!  The finalised version is at, Click to access polymath1.pdf, and I will replace the arXiv version shortly also., I think from the discussion on listing contributors that the best compromise is to list name, contact information, and any other acknowledgments one wishes to make at, http://michaelnielsen.org/polymath1/index.php?title=%22Low_Dimensions%22_grant_acknowledgments, One nice thing about this project is that it involved participants both within academia and outside of it; it would be nice to illustrate this with the participant list.</t>
  </si>
  <si>
    <t>CTao_44418</t>
  </si>
  <si>
    <t>lesser participants</t>
  </si>
  <si>
    <t>Early in the DHJ polymath, I made a couple epsilon-helpful comments.  I suspect there are a number of other people in a similar position – having participated to a small extent, and spent a lot of energy following along and trying to contribute, but ultimately being an infinitesimal mover.  The humility of a mature math world tells me to leave my name off, but I’m still excited to have been a part of something so cool., Any suggestions for the lesser participants here?  Perhaps a place to put our names without pretending the paper needed us?</t>
  </si>
  <si>
    <t>CTao_44421</t>
  </si>
  <si>
    <t>Fair enough.  A tricky issue, but what I’ve done is added an additional section for “Additional acknowledgments” in which anyone who contributed even the least non-trivial amount can be mentioned (either by themselves, or by others).  For instance, I added your name and that of Michael (who, among other things, hosts the wiki).  The trick now is to encourage the other participants to overcome their shyness and add their names also…</t>
  </si>
  <si>
    <t>CTao_44422</t>
  </si>
  <si>
    <t>I don’t remember how the term “semi-sphere” originated, but in this context it means the portion of a discrete sphere in which the number of 1s is odd (or even).  Geometrically, it doesn’t look all that much like a hemisphere, instead being more like a checkerboard colour class of a sphere, so perhaps it’s for the best that we call it something slightly different.</t>
  </si>
  <si>
    <t>CTao_44426</t>
  </si>
  <si>
    <t>I am glad to hear that the paper has been accepted.  My congratulations to all who worked on it.</t>
  </si>
  <si>
    <t>CTao_44479</t>
  </si>
  <si>
    <t>Darcs is in some ways more advanced than mercurial or git; it has some performance problems (which are getting better) but those are of concern mostly to large software projects with 1000’s of files.  It has a more mathematical approach to version merging, called “patch algebra”.   The website for it is darcs.net and it is written in Haskell, a functional programming language with a highly algebraic flavor.</t>
  </si>
  <si>
    <t>C9003</t>
  </si>
  <si>
    <t>Nick Loughlin</t>
  </si>
  <si>
    <t>HR issues aside, I think this sounds like a promising idea. It sounds as if a paradigm-shift of the notion of “worth” of a mathematician wight be in order for it to work; if it would become the case that this practice is widespread then the HR moguls will have to deal with that themselves., Leave us to do our mathematics!</t>
  </si>
  <si>
    <t>C10678</t>
  </si>
  <si>
    <t>mkatkov</t>
  </si>
  <si>
    <t>1. This reminds open source, but partially. In particular, open source is a large set of problems, where people can find what they like and where they can contribute. Therefore, by probability argument the quality and volume constantly grows. It is of cause, is driven by few people, or teams, with sometimes money devoted for the project. , 2. Wikipedia is a good reference, but this is passive, as the lectures posted on the web. What is missing is the structured system, where one can acquire skills. For example, a set of lectures associated with a set of exercised, where one can solve problem online, with the computer/server/program can evaluate solution (which can be formalized), and figure out the lack of knowledge in particular topic required to understand underlying concept. The next step for the course will be to present/review/test the missing topic. The advantages are – once written it can be used anyone who wants to learn/master certain topic. the task is divided among many professionals, and active people can gain skills with their own pace., 3. This two approaches combined lead, in a sense, to automated open source/wikipedia like knowledge base with skills learning. By the combined approach I mean that new knowledge is now required, in addition to presenting/expressing findings, encoding it in the form that people can acquire as a skill, with wrong understanding being corrected on the way (which is an efficient way to replace publications, ensure public review and refining). That at least speed up the acquisition for people new in the field, and ensure the quality of the knowledge, possible creating a certificate of understanding for particular person., The revision system can be used to credit contributions. People have to be payed by the real contribution to the useful approaches, and particular work done – that will reinforce sharing ideas, at the end you are payed for what is taken. The wrong approaches are useful here in exercise creation/evaluation, and is also valuable. Think here of efficiencies. The downside is that huge cultural shift, especially with funding agencies are required.</t>
  </si>
  <si>
    <t>CTao_50467</t>
  </si>
  <si>
    <t xml:space="preserve">Guys, we forgot to do combinatorial planes ;), There are $(latex 5^n-2*4^n+3^n)/2$ combinatorial planes., Let  be a set that intersects all 2-dimensional combinatorial planes of .  Let  be the size of the smallest such set.  This is  minus the sets we have been considering., Just for the sake of writing this down, we have .  Then  for example .  ,  as there are nine disjoint planes, and the following eleven points cut all planes: , , latex 11123 11132 11233 11312 11331 12121 12211$ ,  , , , , </t>
  </si>
  <si>
    <t>C10796</t>
  </si>
  <si>
    <t>Sam</t>
  </si>
  <si>
    <t>messy work of research</t>
  </si>
  <si>
    <t>This is a fantastic idea. I see the chief advantage being a sort of large assortment of ideas in which none become oppresive because they are presented in the spirit of whatever they’re worth. Mathematics suffers in my view because the publications so often exclude the underlying intuitions. So even if the project fails to advance a contribution, we need more public displays of the sort of struggling the researcher does in order to make something new.</t>
  </si>
  <si>
    <t>C10802</t>
  </si>
  <si>
    <t>उन्मुक्त</t>
  </si>
  <si>
    <t>To me this appears to similar to open software movement. If it is possible there it should be possible here too.</t>
  </si>
  <si>
    <t>C10805</t>
  </si>
  <si>
    <t>that has been revoked</t>
  </si>
  <si>
    <t>also suggested reading</t>
  </si>
  <si>
    <t>The problem about Sperner theorem which is mentioned in the the last paragraph was completely reolved by Imre Leader and Eoin Long, their paper Tilted Sperner families http://front.math.ucdavis.edu/1101.4151 contains also related results and conjectures.</t>
  </si>
  <si>
    <t>C12981</t>
  </si>
  <si>
    <t>Nicholas Locascio</t>
  </si>
  <si>
    <t>playable option</t>
  </si>
  <si>
    <t>created a game of the game</t>
  </si>
  <si>
    <t>Hi everyone. While the Hales-Jewett theorem may be a little beyond my current level of mathematics, I did put something together that I believe the mathematicians that solved this problem would have interest in., I created a fully playable 12 dimensional tic-tac-toe iPhone game.
It is available for free download on the app store., http://itunes.apple.com/us/app/twelvetacto/id457438285?mt=8, My calculation gives 121,804,592 possible solutions for an unaltered playing space via the self-discovered formula:
s(d) = (1/2) * ( (k +2)^d – k^d )
where d = # of dimensions
and k = length of side, I’ve also defined it recursively as:
s(d) = (k+2)*s(d-1)  + k^(d-1), In my game, d = 12 and k = 3., Using the basic framework of the game, I do believe a computer-assisted proof would be possible. I do know that computer proofs are generally considered less elegant in the world of higher mathematics, but if anyone is interested, I would be willing to share my source code and collaborate on such a proof.</t>
  </si>
  <si>
    <t>Gowers_20</t>
  </si>
  <si>
    <t xml:space="preserve">I’m glad to be able to report that “A new proof of the density Hales-Jewett theorem” has recently appeared in Annals of Mathematics. Unfortunately it’s behind a paywall, but you can find an almost final version on the arXiv.I might add that my enthusiasm for this way of working is undimmed. The reason there has been no Polymathematical activity on this blog for quite a while is that I’ve been busy with more conventional projects, but in the not too distant future I’d like to do some more open research. Also, Gil Kalai and I have a plan to try soon to revive the EDP project. I won’t say any more about that now, but it seems a good moment to mention it.												This entry was posted on April 23, 2012 at 9:05 pm and is filed under News, polymath1.						You can follow any responses to this entry through the RSS 2.0 feed.													You can leave a response, or trackback from your own site.											</t>
  </si>
  <si>
    <t>C16913</t>
  </si>
  <si>
    <t>Nilima</t>
  </si>
  <si>
    <t>access to results</t>
  </si>
  <si>
    <t>need for open access</t>
  </si>
  <si>
    <t>Open access publishing is becoming a critical necessity. Harvard’s librarians are signalling the financial unsustainability of the current modes of scholarship:
http://isites.harvard.edu/icb/icb.do?keyword=k77982&amp;tabgroupid=icb.tabgroup143448</t>
  </si>
  <si>
    <t>C16917</t>
  </si>
  <si>
    <t>Works such as these, represent the dawning of a new way of doing math like the other big science branch like LHC in physic. Thanks for your efforts I will try to go throught the paper to understand this results</t>
  </si>
  <si>
    <t>C16920</t>
  </si>
  <si>
    <t>alsablo</t>
  </si>
  <si>
    <t>Brilliant, thank you, for saying and for doing what is necessary.</t>
  </si>
  <si>
    <t>C16922</t>
  </si>
  <si>
    <t>coreybrady</t>
  </si>
  <si>
    <t>Congratulations!  , Regarding future Polymath activity — I am very interested in participating, along with my daughter who is a budding mathematician.  However, because I am no longer professionally focused on mathematics as a researcher, I would need to put in a good bit of time to get prepared for a polymath burst.  The same would probably be true of my daughter and, I suspect, many others.  , I know that there has been some reflection on how to widen participation in massively collaborative mathematics — Do you have any advice on how to prepare-to-be-useful?  , I feel it would be worth quite a bit of effort to have the experience of making a true contribution to a Polymath project and participating in a new, collective way of doing mathematics.  I imagine many people would feel similarly., Thanks for any thoughts on the subject…, Since the EDP is a reboot of a previous Polymath, you can read quite a bit of detail on the wiki., If you for some reason need a “popular” article to show around about the EDP project, I wrote one an ACM magazine., Thanks – that’s very helpful, particularly if the next Polymath project is in fact reviving the EDP project.</t>
  </si>
  <si>
    <t>C16929</t>
  </si>
  <si>
    <t>next project</t>
  </si>
  <si>
    <t>Since the EDP is a reboot of a previous Polymath, you can read quite a bit of detail on the wiki., If you for some reason need a “popular” article to show around about the EDP project, I wrote one an ACM magazine.</t>
  </si>
  <si>
    <t>C16930</t>
  </si>
  <si>
    <t>Thanks – that’s very helpful, particularly if the next Polymath project is in fact reviving the EDP project.</t>
  </si>
  <si>
    <t>C23048</t>
  </si>
  <si>
    <t>Kuhan Muniam</t>
  </si>
  <si>
    <t>Please make a wiki where we can write equations easily without knowing Latex (like the Word 2010 interface) and collaborate with others  and have flexible privacy settings.</t>
  </si>
  <si>
    <t>C31880</t>
  </si>
  <si>
    <t>Umar</t>
  </si>
  <si>
    <t>It feels paradoxical that people collaborated online to do it and then,,,  it ends up behind a paywall., It’s available free on the arXiv if you’re interested in reading it.</t>
  </si>
  <si>
    <t>C31881</t>
  </si>
  <si>
    <t>It’s available free on the arXiv if you’re interested in reading it.</t>
  </si>
  <si>
    <t>word count</t>
  </si>
  <si>
    <t>word count values only</t>
  </si>
  <si>
    <t>post_order</t>
  </si>
  <si>
    <t>Code Type</t>
  </si>
  <si>
    <t>Category</t>
  </si>
  <si>
    <t>Code</t>
  </si>
  <si>
    <t>Note</t>
  </si>
  <si>
    <t>Example</t>
  </si>
  <si>
    <t>Move</t>
  </si>
  <si>
    <t>309. Pair removal in Kneser graphs., Can someone help me with this dumb question?, Suppose are the family of sets not including the last element . Then and have density about within . (We’re thinking , here, right?) It seems that the fraction of Kneser graph edges which are in is about , which is “negligible”. So we should be able to delete any small constant fraction of vertices from and make it an intersecting family. But is of the Kneser graph , and doesn’t the largest intersecting family inside such a Kneser graph have density only around ?</t>
  </si>
  <si>
    <t>(UNLESS answer has an 'aha' or 'huh' moment)</t>
  </si>
  <si>
    <t>both in the same post</t>
  </si>
  <si>
    <t>589. Dimensions, I agree with Terry, in the sense that I don’t think that deducing squares from 3D corners makes the problem fundamentally easier (just ask Michael Lacey …), and that either problem would have to involve quadratic methods or 3-uniform hypergraphs or something of equivalent difficulty., Nevertheless, it does seem that the 3D corners problem is the natural way to solve the 2D squares problem, so one can still ask whether it is more natural to find a low-dimensional subspace with high diameter rather than a high-dimensional subspace with low diameter. Here I think there are two possible answers., Suppose, for simplicity, that we are thinking about a high-dimensional version of Sperner’s theorem (but I think what I say generalizes easily to DHJ(k)). That is, we would like not just one wildcard set but several. For further simplicity let’s suppose that all we want is two wildcard sets. Then one proof is to use averaging arguments of the kind I was outlining in 581. This is fairly easy. Another proof is to establish DHJ(4) and observe that if you write the numbers 0 to 3 in binary then a combinatorial line in when written out gives you a 2-dimensional combinatorial subspace in ., The obvious reaction to this is that the second proof is much harder. However, it also gives a much stronger result, because the two wildcard sets have the same cardinality. Furthermore, the stronger result can be seen to be more useful: if you look at unions of slices, then the first result gives you a quadruple , which it is easy to get from Cauchy-Schwarz, whereas the second gives you an arithmetic progression . , These simple observations raise obvious questions, which I think are close to the kinds of things Jozsef is wondering about. For example, it doesn’t seem to be possible to deduce Szemerédi’s theorem for progressions of length 4 from the existence of a 2D subspace with equal-sized wildcard sets, so does that mean that the true difficulty of that problem is roughly comparable to that of DHJ(3)? In particular, does it either imply or follow from DHJ(3)? I find this quite an interesting question (though questions often seem interesting when you haven’t yet thought about them).</t>
  </si>
  <si>
    <t>incl. reporting code run</t>
  </si>
  <si>
    <t>300. One of the main reasons for this comment is to establish the numbering. Comments on Terry’s post will be numbered 200-299 (with a convention that from now on if a post receives 100 comments then it must be summarized and restarted), comments on this post will be 300-399, and comments on the obstructions-to-uniformity post, when it is written, will be 400-499., To get the ball rolling for this post, I’d like to write out Jozsef’s proof of pair removal in full detail, mainly for my own benefit so that I understand it properly, but also because if, as I hope, a major subproject for this thread will be to see if we can generalize Jozsef’s argument, it will be convenient to have that argument here for easy referral., The first thing to note is that the result Jozsef proves is not quite as strong as the pair-removal lemma we originally asked for, because what he shows is not that you can remove a small number of sets and end up with no disjoint pairs, but rather that you can remove a small number of sets and end up with removing almost all the disjoint pairs you started with. This kind of weakening of a removal lemma is good enough for many applications. For instance, if we applied it to the corners problem we would find that we could remove a small number of edges and get rid of almost all the degenerate triangles, which is just as much of a contradiction as the usual one. (In fact, even if we could show that we could get rid of one percent of the degenerate triangles we would have a contradiction.) , I’ll get on to the actual proof in the next comment.</t>
  </si>
  <si>
    <t>reporting work done elsewhere by hand</t>
  </si>
  <si>
    <t>doing the work in the post</t>
  </si>
  <si>
    <t>Dear Kristal: Thanks for this. It may help to first compute the Pareto-minimal counterexamples (i.e. the (a,b,c,d) which are larger than those in Michael’s list, but end up in Michael’s list after removing one from any of a,b,c,d) and to eliminate each of them. From the n=2 inequalities (and using the planes xy1, xy2, and xxx, averaged over symmetries) we have a number of linear constraints, , which should be helpful in eliminating many of these; these inequalities, by the way, together with the trivial inequality , are given as Y3 in the maple computations on the Wiki., One should also be able to get one or two more inequalities by using the skew planes xxy as per Michael’s method, but I haven’t computed what they are. Anyway, it may be a good idea to do this first, before doing the labor-intensive program of eliminating each of the possible counterexamples by hand.</t>
  </si>
  <si>
    <t>Contd. Well, I would change a few typos if I could, but it is OK. , We are going to use the “permutation trick” of Lubell. For any of the n! permutations we say that it separates the disjoint pair A,B if no element of B precedes any element of A. Any of the n! permutations can separate at most pairs (edges) from . Indeed, consider the set A which ends first, it would be separated from at least D+1 sets if there were separated pairs. Or, the rightmost set B (starting last in the permutation) would be separated from at least D+1 sets, which would mean that D was not the largest degree in . The number of permutations separating two elements is . Collecting the two sides of this double counting we have Using the initial bound on D, our final inequality is . Conclusion: If the previous inequality fails, then there are less than N/C vertices in $G_N$ which are covering most of the edges.</t>
  </si>
  <si>
    <t>Grr… there is a bug in the code somewhere; (8,32,0,0,0) ought to be Pareto-optimal, but is not present in the lists. I’ll try to track down the source of the problem…</t>
  </si>
  <si>
    <t>incl. presenting &amp; spreadsheet/wiki updates</t>
  </si>
  <si>
    <t>Terry, I’ll be happy to supply some computing power if more is needed, and the program can be run on the machines I have available, which are mostly linux.</t>
  </si>
  <si>
    <t>supersedes "check understanding" codes</t>
  </si>
  <si>
    <t>310. Pair removal in Kneser graphs., Ryan, all I can say is that I can’t see a flaw in your reasoning. If it’s correct, then it shows something rather interesting. I couldn’t get Jozsef’s argument to work unless I assumed that degrees were very small rather than just small, and your example suggests that it’s actually false when you merely assume that the degrees are a negligible fraction of the maximum possible. In your example, the degree of a vertex in is still large, even if it’s proportionately small, so there’s still some hope that Jozsef’s argument is correct and adaptable to DHJ., Now I must stare at the argument that I produced in 308 and try to work out what’s going on.</t>
  </si>
  <si>
    <t>incl. "let's suppose" as well as explicit thought process reflection</t>
  </si>
  <si>
    <t>418. Answer to 416: My thought process was simple: First the analogue of Tim’s conjecture for Sperner is false (if one thinks of Sperner as DHJ(2,1), then it is not true that obstructions come from DHJ(2,0) because there is no DHJ(2,0)), and hence the conjecture should be false. Second, one needs some example where coordinates are somehow linked together. Third, if we try to impose a condition on number of pairs 12, then the only condition I really know how to impose is a modular condition. It fails to give a counterexample since if one element of the combinatorial line has some number of these, it tells us next to nothing about the number of 12’s in other elements of the combinatorial line because the number of 12’s decreases by a lot when we change wildcard from 2 to 3. Well, then I thought about compensating for this huge change by forming some linear combination. My first construction was to count number of 12, 23, and 31 and add them weighted with third roots of unity. Finally, I simplified the construction., Comment regarding to 417: If we take any known obstruction to the uniformity of density and take a union with a random set of density wouldn’t we obtain an example Gil seeks?</t>
  </si>
  <si>
    <t>project-related congratulations incl. here</t>
  </si>
  <si>
    <t>1017. Varnavides-DHJ(k)., In 1010.1, Tim wrote “What I’m not doing is fixing almost all coordinates and taking M small wildcard sets, or something like that. Instead, I’m randomly choosing the sizes of the M wildcard sets (which I allow to add up to 1, so there are in fact no fixed coordinates at all) and then uniformly at random choosing a line from the resulting subspace.”, Tim, I think I get it now; as usual I was misinterpreting the word “subspace” and was thinking you were doing what you said you weren’t doing 🙂 I agree now that the sketch looks relatively solid. Let me see if I can fill in some “leaves”, as you say., Great — I’m off for a couple of hours and won’t be able to do much more today, if anything.</t>
  </si>
  <si>
    <t>Let me briefly try to defend my choice of problem. I wanted to choose a genuine research problem in my own area of mathematics, rather than something with a completely elementary statement or, say, a recreational problem, just to show that I mean this as a serious attempt to do real mathematics and not just an amusing way of looking at things I don’t really care about. This means that in order to have a reasonable chance of making a substantial contribution, you probably have to be a fairly experienced combinatorialist. In particular, familiarity with Szemerédi’s regularity lemma is essential. So I’m not expecting a collaboration between thousands of people, but I can think of far more than three people who are suitably qualified in the above way.Other criteria were that I didn’t want to choose a famous unsolved problem, or a problem where I had no idea whatever where to start. For a first attempt, it seemed a better idea to choose a problem that I’d love to solve, about which I already have some ideas, but in which I don’t (yet) have a significant emotional investment.Does the problem split naturally into subtasks? That is, is it parallelizable? I’m actually not completely sure that that’s what I’m aiming for. A massively parallelizable project would be something more like the classification of finite simple groups, where one or two people directed the project and parcelled out lots of different tasks to lots of different people, who go off and work individually. But I’m interested in the question of whether it is possible for lots of people to solve one single problem rather than lots of people to solve one problem each. However, my contention would be that any reasonably complex solution to a problem is somewhat parallelizable and becomes increasingly so as one thinks about it: when one solves a problem, one doesn’t first try to guess what Lemma 1.1 might be, but instead one tries to think of relevant mathematical statements that one has a chance of proving. And often when one gets stuck on one of these, one isn’t stuck on the main problem because there were still several unexplored avenues. If lots of people were working on a problem, then all these avenues could be explored at once — but they would have to be created first. With this seemingly narrow project — to try to decide whether one particular approach can be made to work for one (interesting) special case of a theorem that has already been proved by different methods — there are already a few different things to think about. For example, there is the question of whether the graph has any useful properties that can be exploited, whether one can give it a useful and natural system of edge weights that makes it easier to handle, what one would actually want of a graph in order for a sparse regularity argument to be feasible, what sparse regularity statements there actually are out there, whether the averaging trick could somehow allow one to operate in a dense part of , despite the objection in comment CC, whether there is some false statement that would need to be true for the approach to work, and so on.I have two other ideas for projects of this kind if this one turns out to not to work very well, but I’ll keep those to myself for the time being. This entry was posted on February 1, 2009 at 1:44 pm and is filed under polymath1. You can follow any responses to this entry through the RSS 2.0 feed. You can leave a response, or trackback from your own site.</t>
  </si>
  <si>
    <t>incl. overall evaluation of project</t>
  </si>
  <si>
    <t>In this post I want to discuss some general issues that arise naturally in the light of how the polymath experiment has gone so far. First, let me say that for me personally this has been one of the most exciting six weeks of my mathematical life. That is partly because it is always exciting to solve a problem, but a much more important reason is the way this problem was solved, with people chipping in with their thoughts, provoking other people to have other thoughts (sometimes almost accidentally, and sometimes more logically), and ideas gradually emerging as a result. Incidentally, many of these ideas are still to be properly explored: at some point the main collaboration will probably be declared to be over (though I suppose in theory it could just go on and on, since its seems almost impossible to clear up every interesting question that emerges) and then I hope that the comments will be a useful resource for anybody who wants to find some interesting open problems. The sheer speed at which all this happened contributed to the excitement. In my own case it led to my becoming fairly obsessed with the project and working on it to the exclusion of almost everything else (apart, obviously, from things I absolutely had to do). But how does what happened compare with my initial fantasy about what might happen? Looked at from that point of view, it was more successful in some ways and less in others. On the plus side, the mathematical result of the project has far exceeded what I thought would be possible in a mere six weeks. I deliberately set a rather modest aim: to explore just one approach to DHJ(3). In retrospect, this seems not to have been the right decision, though it may have been quite good as a starting point, since in the end we moved off into other directions that were more fruitful (not that I completely rule out a proof along the lines first envisaged, especially given some of the tools that we have now developed). Anyhow, these initial restrictions were quietly abandoned, and it looks as though we have proved a stronger result than seemed remotely feasible then. (More precisely, if we had managed to get my initial suggestion to work, it would probably have been unpleasant, though not impossible, to generalize.)Also on the plus side, the project has been genuinely collaborative, and has led, to a remarkable extent, to the kind of efficiency gains that I was hoping for. To give one example, Randall McCutcheon made some very useful comments, but they were in the language of ergodic theory, which I understand only in a very limited way. But Terence Tao is a master at translating concepts back and forth between combinatorics and ergodic theory, so I was able to benefit from Randall’s contributions indirectly. But something I found more striking than the opportunity for specialization of this kind was how often I found myself having thoughts that I would not have had without some chance remark of another contributor. I think it is mainly this that sped up the process so much.I could go on, but from the point of view of discussion I am more interested in the way that the project fell short of my expectations, and there is one way that stands out. There seemed to be such a lot of interest in the whole idea that I thought that there would be dozens of contributors, but instead the number settled down to a handful, all of whom I knew personally. (Actually, Randall, I know of you so well that I feel as though I know you but I can’t quite remember whether we have met — hope to do so soon.)This raises two questions. (&lt;rant&gt; By the way, it doesn’t beg any questions at all. &lt;/rant&gt;) Why did it happen like this, and does it matter?I would be very interested to hear from anyone who thought that they might like to contribute but ended up not doing so. I have spoken to one or two people like that, so I know of at least one reason, which I suspect may be the most important: it’s that the number of comments grew so rapidly that merely keeping up with the discussion involved a substantial commitment that not many people were in a position to make. I definitely intend to start another polymath project, but next time I think we may have to have some policy such as writing up all useful insights on the corresponding wiki before we allow ourselves a new comment thread, so that anybody who wants to join the discussion can read about the progress in a condensed and organized form. Or perhaps we should just artificially slow ourselves down. Or perhaps it will just naturally be slower second time round.Another possible reason is that the problem I chose lent itself more naturally to a smaller collaboration, since in order to be well placed to think about the density Hales-Jewett theorem it was a huge help to be familiar with, and to have thought hard about, other related results. So the pool of potential collaborators was not as large as it might have been (though it was still substantially larger than the number of people who did contribute). The next problem I have in mind is less like that: it should be possible to contribute with virtually no prior knowledge.A third possible reason is that there are a lot of experts out there who could in principle have contributed but who just aren’t part of the blogosphere in any serious way. Amongst them are probably several people who would not in any case feel comfortable about airing their thoughts so publicly.Does it matter? In a way no: this smaller collaboration has worked very well, and, as several people have commented, it has provided, for possibly the first time ever (though I may well be wrong about this), the first fully documented account of how a serious research problem was solved, complete with false starts, dead ends etc. It may be that the open nature of the collaboration was in the end more important than its size. I can even imagine solo polymath-type projects, where somebody thinks online just to interest anyone who might be interested.Another thing I have found good about the project is that it has made it possible to work hard without having the sensation of working hard. There are some people who have brains that they seem to be able to split into three or four parts that can work independently, one part solving problems, another digesting the literature, another blogging, another giving lecture courses. My own brain works in series rather than in parallel, but now that I have found a way of simultaneously blogging and carrying out research I can do two things at the same time by identifying them.However, there is still a part of me that would like to see whether a much bigger collaboration might be possible. I think a lesson of this one is that a big collaboration would need an extra level of organization, so that it was possible to work on part of the project without keeping track of the whole of it. But finding a good way of doing that would be quite a challenge: when we tried to split this discussion into separate threads, it didn’t really work, except for the thriving thread on DHJ numbers on Terry’s blog, which worked because it was a more or less disjoint enterprise from the one here.There are some other questions that need discussing, such as the best way to write results up, what appropriate conventions should be for referring to work here, and so on. Comments on these and other practical questions are also welcomed. This entry was posted on March 10, 2009 at 10:42 pm and is filed under polymath1. You can follow any responses to this entry through the RSS 2.0 feed. You can leave a response, or trackback from your own site.</t>
  </si>
  <si>
    <t>867. Density increment, I’m going to give a sort of commentary on 863 (which I reproduce here) as a first step towards either making it more precise or discovering a problem with it., 1. This is a way that one could choose a random point . You choose a random disjoint pair and some random small wildcard sets . You assign values to the wildcards, fill with 1s, with 2s and put 3s everywhere else. That gives you your point, and it’s more or less uniformly distributed., I don’t foresee any problems with this step. It would use the uniform measure on and exploit the fact that slices near all have roughly the same size. The size of the wildcard sets would be some large constant that depended on the density of ., 2. Now let’s condition on and the assignment of their values. (I’ll call this a random sequence fragment.) If the probability that given the random sequence fragment is ever more than (plus a tiny tiny amount) then we’ve got a density increase on a 12-set in a subspace, and can iterate., Here is a more precise formulation of what I mean, taking into account comment 863.1. Let me establish my terminology. A sequence fragment is a set and a function from to An extension of a sequence fragment is a sequence such that the restriction of to is If is any subset of , I shall write for the set of all extensions of that belong to , which can be naturally identified with a subset of , The precise statement of Step 2 is now this. If we can ever find a sequence fragment such that is a bit bigger than then we can restrict the coordinates in to and iterate. Or at least, we can do that as long as isn’t too small., One thing that makes me slightly anxious is the fact that the densities of the sets may vary quite widely. But it occurs to me here that we may be able to do some kind of regularization by passing to a sequence fragment that maximizes this density and observing that the relative density of must also be preserved or we would have found a density increment somewhere along the line. I’m pretty convinced this can be done if it’s needed, so I think for now I won’t worry about this problem too much (which makes me much more confident about the double counting arguments later on). , I have to go so will continue this later.</t>
  </si>
  <si>
    <t>623. Oh, that’s an interesting idea. The artificial nature of the transformations used in the Furstenberg-Katznelson argument bothered me a bit, and this would be a much more natural way to do it. I don’t quite see how to set it up so that everything is completely reversible (i.e. the relevant maps are invertible), so that entropy is neither created nor destroyed, but I can imagine that it is possible., I’ve read a little further into the paper (an interesting experiment, reading a paper collaboratively a small fragment at a time). With the above revisionist notation, we now have a sequence of probability spaces and invertible measure-preserving maps for all words w, obeying a semigroup law. The claim is now that for every set of positive measure, that there exists a combinatorial line in some cube for some n such that the triple intersection of , , and has positive measure (or equivalently, that the random set contains the line with positive probability). , In Paper #1, a somewhat weaker result is proven, namely there exists a line , such that the three pairwise intersections of , , and have positive measure (thus the random set will contain any two of the points on this line with positive probability). The notes in #2 finish the job to get all three points on the line. This weaker statement is already not obvious to me combinatorially – it’s some sort of triple version of the DHJ(2.5) statement we discussed back around 130 or so. (I think it is asserting the existence of a positive r for any dense with r wildcards such that for each ij=01,12,20, there exists a combinatorial line which intersects A in the i and j position.) I think I’ll ask it at the 500 thread to see if anyone can come up with a combinatorial proof.</t>
  </si>
  <si>
    <t>(Writing as a mathematician turned (mainly open source) software developer.), There is by now a substantial body of literature dealing with open source software development from a social sciences viewpoint. This might help answer some of the questions about how and why it works and what motivates people to take part. (I do not have any specific guide to or bibliography of this literature to recommend. Although Eric Raymond’s essays are certainly worth reading as one viewpoint on things.), Then again, the literature is likely to give several different answers to some questions; different open source projects can be very different in how their development communities operate, so you can’t necessarily read general conclusions from a study of or experience in one community. And just as the communities differ, so too do the individual participants and how they participate. Some do make small local changes without a global picture, some make more wide-ranging changes or refactor code after subsequent changes have made it clearer how things should be structured; some projects have more scope for the local changes and others have greater need of the refactoring. Some discuss and agree on designs for more complicated changes before bringing them into effect. Some provide community leadership, official or otherwise. Some may focus on documentation, or on triage of bug reports. Some prefer to contribute pieces to larger longstanding projects and choose projects to contribute to accordingly; others prefer creating something new on their own and found new projects. (Sourceforge is littered with any number of duplicative and largely defunct projects from people who made their own instead of contributing to someone else’s project to do something similar.) It’s likely massively collaborative mathematical research also has room for the different styles of projects and contributors., Studies have, for example, considered such areas as: the economics of open source software; how developers interact in open source development; the demographics of open source development (linking into a previous question regarding women contributing to Polymath, at least one study found that open source developers were 98-99% male compared to 70-80% in traditional software development, and there is a whole bibliography concerning that subject); motivations of open source developers; the extent to which the development is done by developers who are or are not paid to do it. (And where any such area is studied statistically, different results may and do arise depending on whether you count by number of developers, number of separate contributions or amount of code contributed.), One day social scientists may be looking at Polymath collaborations in similar ways.</t>
  </si>
  <si>
    <t>It may also be better to work with transverse slices rather than parallel ones. For instance, suppose we assume that 11****, 1*1***, and *11*** are all (6,12,18,4,0); by symmetry we can reduce to this situation in the 355-point case by the pigeonhole principle, and one can almost reduce to this situation in the 354-point case (because a triangle-free graph cannot have more than half of the edges, by Turan’s theorem). These 16-point slices intersect each other in 8-point subspaces, and so there should be a lot of compatibility conditions between the xyzw types of these three slices in order for them to fit together properly. Furthermore, the lines between these three slices then put constraints on several other parts of the cube . So this may be another way to proceed.</t>
  </si>
  <si>
    <t>505. Uniformity norms:, The ergodic proof of DHJ reduces it to an IP recurrence theorem. Now, for an IP system setup, we can easily define analogs of the (ergodic) uniformity norms. So, let be a measure preserving IP system; ranges over finite subsets of the naturals. Put . Now let be the projection onto the factor that is asymptotically invariant under ; we can write if we like. Now put . (This should look awfully familiar.) Presumably, if is small, where is the balanced version of the characteristic function of a set, then the set should have, asymptotically, the right number of arithmetic progressions of length 3 whose difference comes from some relevant IP set (or something like that). On the other hand, if is big, must correlate with….well, let’s just say if is big then correlates with a rigid function, that much is easy. At any rate I think the above may be on the right track. I may try to translate from ergodic theory to a more recognizable form, but right now a baby is waking up behind me…., However, I will say this much…there is no conventional averaging in any proof of any ergodic IP recurrence theorem (IP limits serve that purpose in this context). Also, there are extremely strong analogies between the uniformity norms on and the uniformity norms in ergodic theory (actually…to me it’s not really an analogy; these are exactly the same norms). Although no norms are defined in ergodic IP theory, there could be…what does a norm stand in for? To an ergodic theorist, the dth uniformity norm is a stand-in for d iterations of van der Corput. In the IP case, we do in fact use d iterations of a version of van der Corput. If the correlation holds to form, the above norms may well be the ones to be looking at.</t>
  </si>
  <si>
    <t>@laurens: nice 🙂, i have been a school teacher for some time and i can say maths tuition in schools kills (as compared to http://www.lulu.com/content/5511660), the best way to test what you guys are talking about is do it with kids and see what happens… set out problems and open source the solutions, could produce interesting results 😉</t>
  </si>
  <si>
    <t>I will give only a rather brief summary here, together with links to some comments that expand on what I say.If we take our lead from known proofs of Roth’s theorem and the corners theorem, then we can discern several possible approaches (each one attempting to imitate one of these known proofs).1. Szemerédi’s original proof. Szemerédi proved a proof of a one-dimensional theorem. I do not know whether his proof has been modified to deal with the multidimensional case (this was not done by Szemerédi, but might perhaps be known to Terry, who recently digested and rewrote Szemerédi’s proof). So it is not clear whether one can base an entire argument for DHJ on this argument, but it could well contain ideas that would be useful for DHJ. For a sketch of Szemerédi’s proof, see this post of Terry’s, and in particular his discussion of question V. He also has links to comments that expand on what he says.Ajtai and Szemerédi found a clever proof of the corners theorem that used Szemerédi’s theorem as a lemma. This gives us a direction to explore that we have hardly touched on. Very roughly, to prove the corners theorem you first use an averaging argument to find a dense diagonal (that is, subset of the form that contains many points of your set ). For any two such points and you know that the point does not lie in (if is corner free), which gives you some kind of non-quasirandomness. (The Cartesian semi-product arguments discussed in the 400s thread are very similar to this observation.) Indeed, it allows you to find a large Cartesian product in which is a bit too dense. In order to exploit this, Ajtai and Szemerédi used Szemerédi’s theorem to find long arithmetic progressions and of the same common difference such that has a density increment in . (I may have misremembered, but I think this must have been roughly what they did.) So we could think about what the analogue would be in the DHJ setting. Presumably it would be some kind of multidimensional Sperner statement of sufficient depth to imply Szemerédi’s theorem. A naive suggestion would be that in a dense subset of you can find a large-dimensional combinatorial subspace in which all the variable sets have the same size. If you apply this to a union of layers, then you find an arithmetic progression of layer-cardinalities. But this feels rather artificial, so here’s a question we could think about.Question 1. Can anyone think what the right common generalization of Szemerédi’s theorem and Sperner’s theorem ought to be? (Sperner’s theorem itself would correspond to the case of progressions of length 2.)Density-increment strategies.The idea here is to prove the result by means of the following two steps.1. If does not contain a combinatorial line, then it correlates with a set with some kind of atypical structure that we can describe.2. Every set with that kind of structure can be partitioned into (or almost evenly covered by) a collection of combinatorial subspaces with dimension tending to infinity as tends to infinity.One then finishes the argument as follows. If contains no combinatorial line, then find such that is a bit denser in than it is in . Cover with subspaces. By averaging we find that the density of is a bit too large in one of these subspaces. But now we are back where we started with a denser set so we can repeat. The iteration must eventually terminate (since we cannot have a density greater than 1) so if the initial was large enough then we must have had a combinatorial line.One can also imagine splitting 1 up further as follows.1a. If contains no combinatorial line, then contains too many of some other simple configuration.1b. Any set that contains too many of those configurations must correlate with a structured set.This is certainly how the argument goes in some of the proofs of related results.Triangle removal.This was the initial proposal, and we have not been concentrating on it recently, so I will simply refer the reader to the original post, and add the remark that if we manage to obtain a complete and global description of obstructions to uniformity, then regularity and triangle removal could be an alternative way of using this information to prove the theorem. And in the case of corners, this is a somewhat simpler thing to do.Ergodic-inspired methods.For a proposal to base a proof on at least some of the ideas that come out of the proof of Furstenberg and Katznelson, see Terry’s comment 439, as well as the first few comments after it. Another helpful comment of Terry’s is his comment 460, which again is responded to by other comments. Terry has also begun an online reading seminar on the Furstenberg-Katznelson proof, using not just the original paper of Furstenberg and Katznelson but also a more recent paper of Randall McCutcheon that explains how to finish off the Furstenberg-Katznelson argument.Suggestion. I have tried to do a bit of further summary in my first couple of comments. It would be good if others did the same, with the aim that anyone who reads this should be able to get a reasonable idea of what is going on without having to read too much of the earlier discussion.Remark. There is now a wiki associated with this whole enterprise. It is in the very early stages of development but has some useful things on it already. This entry was posted on February 13, 2009 at 8:27 am and is filed under polymath1. You can follow any responses to this entry through the RSS 2.0 feed. You can leave a response, or trackback from your own site.</t>
  </si>
  <si>
    <t>e.g., Joszef's new baby; also Erdos number discussions</t>
  </si>
  <si>
    <t>Form</t>
  </si>
  <si>
    <t>905. Genetic Algorithm Details, ** Lookup Table **, I created a lookup table for each c_n on which I ran the genetic algorithm. This speeds up checking if a chromosome is line-free tremendously, making this tractable. (Any ideas about efficient ways to do this will have a very large effect on the speed of the algorithm)., ** Encoding Solutions **, Chromosome structure: I code the solutions as a list of ones and zeros of length 3^n. The elements are ordered in this way 1…11, 1…12, 1…13, 1…21 and so on. A 0 in position 1 means element 1…11 is not in the set, otherwise it is., ** Making a new generation **, Selection: Any solutions below the mean of the population are completely ignored. The rest are selected with a probablity related to their score., Crossover operator: I pick a random number, m between 2 and (3^n) – 1 and I make a new chromosome with the first m elements of a one chromosome and the last (3^n) – m elements of another chromosome., Mutation operator: I pick a few points at random and flip them., I check any new chromosomes to make sure they are valid. I do this by going through the chromosome elements in a random order (visiting each one) and removing points that conflict with other points. , ** Population size **, I use elitism. (I keep the best 5 or sometimes 10 between generations.), Population size: 60, I make more children than I can use (somewhere between 60-80) making the algorithm somewhat Malthusian. I take the best of the children and use them to replace the rest of the population. , ** Non-standard addition **, An extremely effective trick has been to use a greedy algoritm on the list of all solutions to:, 1. pick a small but fixed number of points in each chromosome and flip them if they improve the score., 2. run the greedy algorithm on the whole chromosome, going through all positions in a random order, and flipping any that make an improvement., I vary the number of times I use 1 versus 2 in order to control the computational costs of this step., I have found that without this step the algorithm is dramatically less good., ** Adaptive Elements **, The mutation rate is adaptive. I keep statistics on whether there are any repetitions in the chromosomes I generated and if there are, I increase the mutation rate until they disappear. Thus the mutation rate is just high enough to make sure a maximum number of novel solutions are being explored. If I have increased the rate twice in a row then I double the increment size and if I decrease the rate twice in the row then I half the increment size. (This allows quick changes in the rate if necessary.), I also keep statistics on the probability that crossover and the probability that mutaton improve the score. I randomly choose one or the other in proportion to their effectiveness in the last generation., ** Cataloging solutions **, I set a criteria for when I think the genetic algorithm is stuck (200 generations with no change in the best performer). If there is no improvement then I restart the algorithm and I store the best solution., ** Final comments **, For n less than 8, this works very quickly. For n=5, a quick look at a few examples shows 150 is attained within 40 generations. This gets faster after the program has attained the solution once because a better mutation rate than my default guess is found.</t>
  </si>
  <si>
    <t>mathematical proof</t>
  </si>
  <si>
    <t>can have sub-forms or specific games (not sure here) for the type of proof, like "varnavides-style proof"</t>
  </si>
  <si>
    <t>Here is a proof that (3,b,c,d,e) follows from (0,b,c,d,e)., * If all b points are present, then no c points are present, so (1111),(1133),(1313) can be added.</t>
  </si>
  <si>
    <t>wiki page</t>
  </si>
  <si>
    <t>formal paper</t>
  </si>
  <si>
    <t>computer code</t>
  </si>
  <si>
    <t>maybe at some future point add a flag for whether it is continuing a monologue ... see 1023 for an example</t>
  </si>
  <si>
    <t>see also CTao_39494 which is part 1 of 3 where she is sketching a partial proof</t>
  </si>
  <si>
    <t>maybe replace the working the problem/monologue continued code with a flag for continuation</t>
  </si>
  <si>
    <t>post_url</t>
  </si>
  <si>
    <t>Numeric Code for Graphing</t>
  </si>
  <si>
    <t>post_title</t>
  </si>
  <si>
    <t>https://gowers.wordpress.com/2009/01/27/is-massively-collaborative-mathematics-possible/</t>
  </si>
  <si>
    <t>Is massively collaborative mathematics possible?</t>
  </si>
  <si>
    <t>https://gowers.wordpress.com/2009/01/30/background-to-a-polymath-project/</t>
  </si>
  <si>
    <t>Background to a Polymath project</t>
  </si>
  <si>
    <t>https://gowers.wordpress.com/2009/02/01/questions-of-procedure/</t>
  </si>
  <si>
    <t>Questions of procedure</t>
  </si>
  <si>
    <t>https://gowers.wordpress.com/2009/02/01/a-combinatorial-approach-to-density-hales-jewett/</t>
  </si>
  <si>
    <t>A combinatorial approach to density Hales-Jewett</t>
  </si>
  <si>
    <t>https://gowers.wordpress.com/2009/02/01/why-this-particular-problem/</t>
  </si>
  <si>
    <t>Why this particular problem?</t>
  </si>
  <si>
    <t>https://terrytao.wordpress.com/2009/02/01/a-massively-collaborative-mathematical-project/</t>
  </si>
  <si>
    <t>A massively collaborative mathematical project</t>
  </si>
  <si>
    <t>https://gowers.wordpress.com/2009/02/04/quick-question/</t>
  </si>
  <si>
    <t>Quick question</t>
  </si>
  <si>
    <t>https://terrytao.wordpress.com/2009/02/05/upper-and-lower-bounds-for-the-density-hales-jewett-problem/</t>
  </si>
  <si>
    <t>Upper and lower bounds for the density Hales-Jewett problem</t>
  </si>
  <si>
    <t>https://gowers.wordpress.com/2009/02/06/dhj-the-triangle-removal-approach/</t>
  </si>
  <si>
    <t>DHJ — the triangle-removal approach</t>
  </si>
  <si>
    <t>https://gowers.wordpress.com/2009/02/08/dhj-quasirandomness-and-obstructions-to-uniformity/</t>
  </si>
  <si>
    <t>DHJ — quasirandomness and obstructions to uniformity</t>
  </si>
  <si>
    <t>https://terrytao.wordpress.com/2009/02/11/a-reading-seminar-on-density-hales-jewett/</t>
  </si>
  <si>
    <t>A reading seminar on density Hales-Jewett</t>
  </si>
  <si>
    <t>https://gowers.wordpress.com/2009/02/13/dhj-possible-proof-strategies/</t>
  </si>
  <si>
    <t>DHJ — possible proof strategies</t>
  </si>
  <si>
    <t>https://terrytao.wordpress.com/2009/02/13/bounds-for-the-first-few-density-hales-jewett-numbers-and-related-quantities/</t>
  </si>
  <si>
    <t>Bounds for the first few density Hales-Jewett numbers, and related quantities</t>
  </si>
  <si>
    <t>https://gowers.wordpress.com/2009/02/21/to-thread-or-not-to-thread/</t>
  </si>
  <si>
    <t>To thread or not to thread</t>
  </si>
  <si>
    <t>https://gowers.wordpress.com/2009/02/23/brief-review-of-polymath1/</t>
  </si>
  <si>
    <t>Brief review of polymath1</t>
  </si>
  <si>
    <t>https://gowers.wordpress.com/2009/03/02/dhj3-851-899/</t>
  </si>
  <si>
    <t>DHJ(3): 851-899</t>
  </si>
  <si>
    <t>https://terrytao.wordpress.com/2009/03/04/dhj3-900-999-density-hales-jewett-type-numbers/</t>
  </si>
  <si>
    <t>DHJ(3): 900-999 (Density Hales-Jewett type numbers)</t>
  </si>
  <si>
    <t>https://gowers.wordpress.com/2009/03/10/problem-solved-probably/</t>
  </si>
  <si>
    <t>Problem solved (probably)</t>
  </si>
  <si>
    <t>https://gowers.wordpress.com/2009/03/10/polymath1-and-open-collaborative-mathematics/</t>
  </si>
  <si>
    <t>Polymath1 and open collaborative mathematics</t>
  </si>
  <si>
    <t>https://terrytao.wordpress.com/2009/03/14/dhj3-1100-1199-density-hales-jewett-type-numbers/</t>
  </si>
  <si>
    <t>DHJ(3): 1100-1199 (Density Hales-Jewett type numbers)</t>
  </si>
  <si>
    <t>https://gowers.wordpress.com/2009/03/16/dhj3-and-related-results-1050-1099/</t>
  </si>
  <si>
    <t>DHJ(3) and related results: 1050-1099</t>
  </si>
  <si>
    <t>https://gowers.wordpress.com/2009/03/24/can-polymath-be-scaled-up/</t>
  </si>
  <si>
    <t>Can Polymath be scaled up?</t>
  </si>
  <si>
    <t>https://terrytao.wordpress.com/2009/03/30/dhjk-1200-1299-density-hales-jewett-type-numbers/</t>
  </si>
  <si>
    <t>DHJ(k): 1200-1299 (Density Hales-Jewett type numbers)</t>
  </si>
  <si>
    <t>https://terrytao.wordpress.com/2009/04/02/polymath1-and-three-new-proofs-of-the-density-hales-jewett-theorem/</t>
  </si>
  <si>
    <t>Polymath1 and three new proofs of the density Hales-Jewett theorem</t>
  </si>
  <si>
    <t>https://terrytao.wordpress.com/2009/05/22/dhj-writing-the-second-paper/</t>
  </si>
  <si>
    <t>DHJ: Writing the second paper</t>
  </si>
  <si>
    <t>https://terrytao.wordpress.com/2009/06/14/dhj-still-writing-the-second-paper/</t>
  </si>
  <si>
    <t>DHJ: Still writing the second paper</t>
  </si>
  <si>
    <t>https://gowers.wordpress.com/2009/06/25/dhj-write-up-and-other-matters/</t>
  </si>
  <si>
    <t>https://terrytao.wordpress.com/2009/07/09/dhj-writing-the-second-paper-iii/</t>
  </si>
  <si>
    <t>DHJ: Writing the second paper III.</t>
  </si>
  <si>
    <t>https://gowers.wordpress.com/2009/10/20/miscellaneous-matters/</t>
  </si>
  <si>
    <t>Miscellaneous matters</t>
  </si>
  <si>
    <t>https://terrytao.wordpress.com/2009/10/22/a-new-proof-of-the-density-hales-jewett-theorem/</t>
  </si>
  <si>
    <t>A new proof of the density Hales-Jewett theorem</t>
  </si>
  <si>
    <t>https://terrytao.wordpress.com/2010/01/15/density-hales-jewett-and-moser-numbers-nearing-the-final-draft/</t>
  </si>
  <si>
    <t>“Density Hales-Jewett and Moser numbers” – nearing the final draft</t>
  </si>
  <si>
    <t>https://gowers.wordpress.com/2010/02/17/dhj-latest/</t>
  </si>
  <si>
    <t>DHJ latest</t>
  </si>
  <si>
    <t>https://gowers.wordpress.com/2012/04/23/polymath-paper-published/</t>
  </si>
  <si>
    <t>Polymath paper published</t>
  </si>
  <si>
    <t>https://terrytao.wordpress.com/2010/04/22/dhj-polymath-paper-accepted/</t>
  </si>
  <si>
    <t>DHJ Polymath paper accepted</t>
  </si>
  <si>
    <t>move_name</t>
  </si>
  <si>
    <t>CTao_40006</t>
  </si>
  <si>
    <t>Frank</t>
  </si>
  <si>
    <t>how to 'create' a new theory</t>
  </si>
  <si>
    <t>Dr. Tao,, cud u plz say something about how to ‘create’ a new theory? I find it is sad when I have to follow other’s step, and make small modifications.
Thank you., Frank</t>
  </si>
  <si>
    <t>The post, A combinatorial approach to density Hales-Jewett, is about one specific idea for coming up with a new proof for the density Hales-Jewett theorem in the case of an alphabet of size 3. (That is, one is looking for a combinatorial line in a dense subset of .) In brief, the idea is to imitate a well-known proof that uses the so-called triangle-removal lemma to prove that a dense subset of  contains three points of the form ,  and . Such configurations are sometimes called corners, and we have been referring to the theorem that a dense subset of  contains a corner as the corners theorem.The purpose of this post is to summarize those parts of the ensuing discussion that are most directly related to this initial proposal. Two other posts, one hosted by Terence Tao on his blog, and the other here, take up alternative approaches that emerged during the discussion. (Terry’s one is about more combinatorial approaches, and the one here will be about obstructions to uniformity and density-increment strategies.) I would be very happy to add to this summary if anyone thinks there are important omissions (which there could well be — I have written it fast and from my own perspective). If you think there are, then either comment about it or send me an email.Two suggestions, made by Terry in comment number 4 (the second originating with his student Le Thai Hoang), led to two of the main threads of the discussion relating to the triangle-removal approach. One was that since Sperner’s theorem is the density Hales-Jewett theorem for alphabets of size 2, and since there is no obvious way of generalizing the existing proofs of Sperner’s theorem to obtain the density Hales-Jewett theorem, then it would make sense to look for other proofs of Sperner’s theorem. The other was that the existing methods of tackling density theorems tend to prove not just that you get one configuration of a desired type but a positive proportion of the number of configurations in the whole set. One can usually obtain a seemingly stronger result of this type by an easy averaging argument (a prototype of which was proved by Varnavides in the 1950s), but in the case of the density Hales-Jewett theorem the stronger statement is false: one can easily come up with dense subsets of  with far fewer than  combinatorial lines (the number that you get in  itself).The Varnavides thread.This led to a search for a suitable Varnavides-like statement, and that search seems to have been successful — though we have not checked this carefully. (See comments 61-64 and 66.)The basic idea is to restrict attention to the set  of all sequences  such that the numbers of 1s, 2s and 3s in  are all within  of , where  is a large integer that is much smaller than . An easy averaging argument shows that if you can prove that a dense subset of  contains a combinatorial line, then you have the density Hales-Jewett theorem. (It seems that one can take  to be anything from a very large constant that depends on the density only, to an integer that is a small multiple of .) The reason this helps is that it avoids the problem one has in  that the points in a random combinatorial line are very atypical: with high probability they contain about  of one value and about  of the other two values.This seems to have cleared up the Varnavides problem, so it is something to hold in reserve and use if we get to the stage where we have a definite approach to try out on the problem. For now, one can either just pretend that the Varnavides problem doesn’t exist and think about , or one can simply bear in mind that one is thinking about sequences with roughly equal numbers of 1s, 2s and 3s and combinatorial lines with small variable sets, or sets of wildcards as some of us are calling them.The Sperner thread.Some definite progress has been made on trying to find alternative proofs of Sperner’s theorem. One approach was initiated in comments 21 and 22. The idea here was to try to find a statement that would have the same relationship to Sperner’s theorem as the hoped-for (but not yet even precisely formulated) triangle-removal lemma had to density Hales-Jewett. An argument was given in comments 21 and 22 that the statement, if it existed, should have the following form.Let  and  be collections of subsets of  such that there are very few pairs  with ,  and . Then it is possible to remove a small number of sets from  and  and end up with no such pairs.We have been calling statements like this pair-removal lemmas, even though we have not yet proved any useful ones. A statement like this implies a weak form of Sperner’s theorem as follows. Suppose you have a dense set system  that contains no pair of distinct sets  with . Then let $\mathcal{B}$ consist of all complements of sets in . If we can find  and  with , then . Since , this is a contradiction unless . Therefore, the number of pairs  with ,  and  is very small. The pair-removal statement then implies that one can remove small subsets from  and  in order to end up with no such pairs. But that contradicts the fact that  is dense and for every  we have the pair .After some difficulty in formulating a precise pair-removal lemma that wasn’t either trivial or false, we have arrived at the following test problem. (It’s not actually the pair-removal lemma we’re going to want, but it is cleaner, looks both true and non-trivial, and seems to involve all the right difficulties.)Tentative conjecture. Let , where  tends slowly to infinity with . Let  and  be subsets of  such that the number of pairs  with ,  and  is . Then one can remove  sets from each of  and  and end up with no such pairs.Some promising suggestions have been made for how to go about proving this conjecture. Jozsef (in comment 124) has drawn attention to a theorem of Bollobás that implies that if each  is disjoint from precisely one , then  and  must both be small. And Ryan (in comments 82, 145, 150 and 152) has drawn attention to existing papers on very closely related subjects. Very recently (at the time of writing it is in the last two or three hours) Jozsef has given us what appears to be a proof of a pair-removal lemma. Assuming there aren’t any irritating surprises, such as it turning out not to be quite the statement we really want, the obvious thing to do here seems to be to play around with Jozsef’s argument and see whether it can be generalized from 01-sequences to 012-sequences.A very quick word about what to expect of such a generalization. It would be “completing the square”, where vertex 00 is the trivial pair-removal lemma, vertex 01 is the pair-removal lemma in Kneser graphs, vertex 10 is the normal triangle-removal lemma (as described in the background-information post), and we are looking for vertex 11. Since getting from 00 to 10 is by no means a triviality, getting from 10 to 11 is unlikely to be a triviality either. But now we are in a stronger position than we were initially, because to get to 11 there are two potential routes. If we are really lucky, then we’ve got all the ingredients we need and just have to decide how to mix them together.Other approaches to Sperner.The above approach to re-proving Sperner has a certain naturalness to it, at least in the context of the main problem, but it is not the only one to have been discussed. If generalizing it runs into difficulties, then we have other ideas to explore that have definitely not yet been explored as far as they could have. They begin with Ryan’s comment 57 (in which he was responding to a related comment of Boris). This introduces the idea of what Boris calls “pushing shadows around”, which is apparently what Sperner himself did.Other ideas that are still to be explored.If we are going to follow the triangle-removal proof of the corners theorem quite closely, then at some point we will need to find an analogue of Szemerédi’s regularity lemma for subgraphs of the graph where you join two sets if they are disjoint. There are some obvious problems with doing this (discussed in the initial post in comment V, and comments EE to LL), and a very speculative suggestion for how a proof might look in comment 110. There would also be a need for a counting lemma: an offer to search for such a lemma in a systematic way has not yet been taken up. Remark added 7/2/09. It’s important to understand that this post is how the situation seemed to be when it was written yesterday. If you read the comments you will see that some of the assertions that looked plausible (such as the precise form of the tentative conjecture) have now been discovered to be wrong.] This entry was posted on February 6, 2009 at 10:03 am and is filed under polymath1. You can follow any responses to this entry through the RSS 2.0 feed. You can leave a response, or trackback from your own site. ]</t>
  </si>
  <si>
    <t>prior_post</t>
  </si>
  <si>
    <t>prior_player</t>
  </si>
  <si>
    <t>Terence Tao; gowers</t>
  </si>
  <si>
    <t>Nathanial Thurston, Michel Balazard</t>
  </si>
  <si>
    <t>Gil, Jozsef</t>
  </si>
  <si>
    <t>Terence Tao; jozsef; Tao*3</t>
  </si>
  <si>
    <t>C1756;     C1742</t>
  </si>
  <si>
    <t>also Boris question?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</si>
</sst>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font>
      <sz val="11"/>
      <color theme="1"/>
      <name val="Calibri"/>
      <scheme val="minor"/>
    </font>
    <font>
      <sz val="10"/>
      <color theme="1"/>
      <name val="Arial"/>
    </font>
    <font>
      <sz val="10"/>
      <color rgb="FF1F1F1F"/>
      <name val="Arial"/>
    </font>
    <font>
      <sz val="11"/>
      <color theme="1"/>
      <name val="Calibri"/>
      <scheme val="minor"/>
    </font>
    <font>
      <sz val="11"/>
      <color rgb="FF000000"/>
      <name val="Calibri"/>
      <scheme val="minor"/>
    </font>
    <font>
      <sz val="11"/>
      <color theme="1"/>
      <name val="Calibri"/>
    </font>
    <font>
      <sz val="9"/>
      <color rgb="FF1F1F1F"/>
      <name val="&quot;Google Sans&quot;"/>
    </font>
    <font>
      <sz val="11"/>
      <color rgb="FF000000"/>
      <name val="Calibri"/>
    </font>
    <font>
      <sz val="11"/>
      <color rgb="FF000000"/>
      <name val="Docs-Calibri"/>
    </font>
    <font>
      <b/>
      <sz val="11"/>
      <color theme="1"/>
      <name val="Calibri"/>
    </font>
    <font>
      <u/>
      <sz val="11"/>
      <color theme="10"/>
      <name val="Calibri"/>
    </font>
    <font>
      <sz val="10"/>
      <color rgb="FF000000"/>
      <name val="Arial"/>
      <family val="2"/>
    </font>
    <font>
      <sz val="10"/>
      <color rgb="FF1F1F1F"/>
      <name val="Arial"/>
      <family val="2"/>
    </font>
    <font>
      <b/>
      <sz val="10"/>
      <color rgb="FF000000"/>
      <name val="Arial"/>
      <family val="2"/>
    </font>
    <font>
      <b/>
      <sz val="11"/>
      <color theme="1"/>
      <name val="Calibri"/>
      <family val="2"/>
      <scheme val="minor"/>
    </font>
  </fonts>
  <fills count="6">
    <fill>
      <patternFill patternType="none"/>
    </fill>
    <fill>
      <patternFill patternType="gray125"/>
    </fill>
    <fill>
      <patternFill patternType="solid">
        <fgColor rgb="FFFFFFFF"/>
        <bgColor rgb="FFFFFFFF"/>
      </patternFill>
    </fill>
    <fill>
      <patternFill patternType="solid">
        <fgColor rgb="FFFFFF00"/>
        <bgColor rgb="FFFFFF00"/>
      </patternFill>
    </fill>
    <fill>
      <patternFill patternType="solid">
        <fgColor rgb="FFFFFF00"/>
        <bgColor indexed="64"/>
      </patternFill>
    </fill>
    <fill>
      <patternFill patternType="solid">
        <fgColor rgb="FFFFFF00"/>
        <bgColor rgb="FFFFFFFF"/>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32">
    <xf numFmtId="0" fontId="0" fillId="0" borderId="0" xfId="0"/>
    <xf numFmtId="0" fontId="1" fillId="0" borderId="0" xfId="0" applyFont="1"/>
    <xf numFmtId="0" fontId="1" fillId="0" borderId="0" xfId="0" applyFont="1" applyAlignment="1">
      <alignment wrapText="1"/>
    </xf>
    <xf numFmtId="0" fontId="2" fillId="2" borderId="0" xfId="0" applyFont="1" applyFill="1"/>
    <xf numFmtId="22" fontId="1" fillId="0" borderId="0" xfId="0" applyNumberFormat="1" applyFont="1"/>
    <xf numFmtId="0" fontId="3" fillId="0" borderId="0" xfId="0" applyFont="1"/>
    <xf numFmtId="0" fontId="4" fillId="0" borderId="0" xfId="0" applyFont="1"/>
    <xf numFmtId="0" fontId="5" fillId="0" borderId="0" xfId="0" applyFont="1"/>
    <xf numFmtId="0" fontId="1" fillId="0" borderId="0" xfId="0" applyFont="1" applyAlignment="1">
      <alignment vertical="top" wrapText="1"/>
    </xf>
    <xf numFmtId="3" fontId="1" fillId="0" borderId="0" xfId="0" applyNumberFormat="1" applyFont="1"/>
    <xf numFmtId="0" fontId="1" fillId="3" borderId="0" xfId="0" applyFont="1" applyFill="1" applyAlignment="1">
      <alignment wrapText="1"/>
    </xf>
    <xf numFmtId="0" fontId="6" fillId="0" borderId="0" xfId="0" applyFont="1"/>
    <xf numFmtId="0" fontId="6" fillId="2" borderId="0" xfId="0" applyFont="1" applyFill="1"/>
    <xf numFmtId="0" fontId="5" fillId="0" borderId="0" xfId="0" applyFont="1" applyAlignment="1">
      <alignment horizontal="left" vertical="top"/>
    </xf>
    <xf numFmtId="0" fontId="7" fillId="2" borderId="0" xfId="0" applyFont="1" applyFill="1" applyAlignment="1">
      <alignment horizontal="left"/>
    </xf>
    <xf numFmtId="0" fontId="8" fillId="2" borderId="0" xfId="0" applyFont="1" applyFill="1" applyAlignment="1">
      <alignment horizontal="left"/>
    </xf>
    <xf numFmtId="0" fontId="9" fillId="0" borderId="1" xfId="0" applyFont="1" applyBorder="1" applyAlignment="1">
      <alignment horizontal="center" vertical="top"/>
    </xf>
    <xf numFmtId="0" fontId="10" fillId="0" borderId="0" xfId="0" applyFont="1"/>
    <xf numFmtId="22" fontId="5" fillId="0" borderId="0" xfId="0" applyNumberFormat="1" applyFont="1"/>
    <xf numFmtId="0" fontId="11" fillId="0" borderId="0" xfId="0" applyFont="1"/>
    <xf numFmtId="0" fontId="11" fillId="0" borderId="0" xfId="0" applyFont="1" applyAlignment="1">
      <alignment wrapText="1"/>
    </xf>
    <xf numFmtId="0" fontId="12" fillId="2" borderId="0" xfId="0" applyFont="1" applyFill="1"/>
    <xf numFmtId="22" fontId="11" fillId="0" borderId="0" xfId="0" applyNumberFormat="1" applyFont="1"/>
    <xf numFmtId="3" fontId="11" fillId="0" borderId="0" xfId="0" applyNumberFormat="1" applyFont="1"/>
    <xf numFmtId="0" fontId="13" fillId="0" borderId="0" xfId="0" applyFont="1"/>
    <xf numFmtId="0" fontId="13" fillId="0" borderId="0" xfId="0" applyFont="1" applyAlignment="1">
      <alignment wrapText="1"/>
    </xf>
    <xf numFmtId="0" fontId="14" fillId="0" borderId="0" xfId="0" applyFont="1"/>
    <xf numFmtId="0" fontId="11" fillId="4" borderId="0" xfId="0" applyFont="1" applyFill="1"/>
    <xf numFmtId="22" fontId="11" fillId="4" borderId="0" xfId="0" applyNumberFormat="1" applyFont="1" applyFill="1"/>
    <xf numFmtId="0" fontId="0" fillId="4" borderId="0" xfId="0" applyFill="1"/>
    <xf numFmtId="0" fontId="11" fillId="4" borderId="0" xfId="0" applyFont="1" applyFill="1" applyAlignment="1">
      <alignment wrapText="1"/>
    </xf>
    <xf numFmtId="0" fontId="12" fillId="5"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7.xml.rels><?xml version="1.0" encoding="UTF-8" standalone="yes"?>
<Relationships xmlns="http://schemas.openxmlformats.org/package/2006/relationships"><Relationship Id="rId13" Type="http://schemas.openxmlformats.org/officeDocument/2006/relationships/hyperlink" Target="https://terrytao.wordpress.com/2009/02/13/bounds-for-the-first-few-density-hales-jewett-numbers-and-related-quantities/" TargetMode="External"/><Relationship Id="rId18" Type="http://schemas.openxmlformats.org/officeDocument/2006/relationships/hyperlink" Target="https://gowers.wordpress.com/2009/03/10/problem-solved-probably/" TargetMode="External"/><Relationship Id="rId26" Type="http://schemas.openxmlformats.org/officeDocument/2006/relationships/hyperlink" Target="https://terrytao.wordpress.com/2009/06/14/dhj-still-writing-the-second-paper/" TargetMode="External"/><Relationship Id="rId3" Type="http://schemas.openxmlformats.org/officeDocument/2006/relationships/hyperlink" Target="https://gowers.wordpress.com/2009/02/01/questions-of-procedure/" TargetMode="External"/><Relationship Id="rId21" Type="http://schemas.openxmlformats.org/officeDocument/2006/relationships/hyperlink" Target="https://gowers.wordpress.com/2009/03/16/dhj3-and-related-results-1050-1099/" TargetMode="External"/><Relationship Id="rId34" Type="http://schemas.openxmlformats.org/officeDocument/2006/relationships/hyperlink" Target="https://terrytao.wordpress.com/2010/04/22/dhj-polymath-paper-accepted/" TargetMode="External"/><Relationship Id="rId7" Type="http://schemas.openxmlformats.org/officeDocument/2006/relationships/hyperlink" Target="https://gowers.wordpress.com/2009/02/04/quick-question/" TargetMode="External"/><Relationship Id="rId12" Type="http://schemas.openxmlformats.org/officeDocument/2006/relationships/hyperlink" Target="https://gowers.wordpress.com/2009/02/13/dhj-possible-proof-strategies/" TargetMode="External"/><Relationship Id="rId17" Type="http://schemas.openxmlformats.org/officeDocument/2006/relationships/hyperlink" Target="https://terrytao.wordpress.com/2009/03/04/dhj3-900-999-density-hales-jewett-type-numbers/" TargetMode="External"/><Relationship Id="rId25" Type="http://schemas.openxmlformats.org/officeDocument/2006/relationships/hyperlink" Target="https://terrytao.wordpress.com/2009/05/22/dhj-writing-the-second-paper/" TargetMode="External"/><Relationship Id="rId33" Type="http://schemas.openxmlformats.org/officeDocument/2006/relationships/hyperlink" Target="https://gowers.wordpress.com/2012/04/23/polymath-paper-published/" TargetMode="External"/><Relationship Id="rId2" Type="http://schemas.openxmlformats.org/officeDocument/2006/relationships/hyperlink" Target="https://gowers.wordpress.com/2009/01/30/background-to-a-polymath-project/" TargetMode="External"/><Relationship Id="rId16" Type="http://schemas.openxmlformats.org/officeDocument/2006/relationships/hyperlink" Target="https://gowers.wordpress.com/2009/03/02/dhj3-851-899/" TargetMode="External"/><Relationship Id="rId20" Type="http://schemas.openxmlformats.org/officeDocument/2006/relationships/hyperlink" Target="https://terrytao.wordpress.com/2009/03/14/dhj3-1100-1199-density-hales-jewett-type-numbers/" TargetMode="External"/><Relationship Id="rId29" Type="http://schemas.openxmlformats.org/officeDocument/2006/relationships/hyperlink" Target="https://gowers.wordpress.com/2009/10/20/miscellaneous-matters/" TargetMode="External"/><Relationship Id="rId1" Type="http://schemas.openxmlformats.org/officeDocument/2006/relationships/hyperlink" Target="https://gowers.wordpress.com/2009/01/27/is-massively-collaborative-mathematics-possible/" TargetMode="External"/><Relationship Id="rId6" Type="http://schemas.openxmlformats.org/officeDocument/2006/relationships/hyperlink" Target="https://terrytao.wordpress.com/2009/02/01/a-massively-collaborative-mathematical-project/" TargetMode="External"/><Relationship Id="rId11" Type="http://schemas.openxmlformats.org/officeDocument/2006/relationships/hyperlink" Target="https://terrytao.wordpress.com/2009/02/11/a-reading-seminar-on-density-hales-jewett/" TargetMode="External"/><Relationship Id="rId24" Type="http://schemas.openxmlformats.org/officeDocument/2006/relationships/hyperlink" Target="https://terrytao.wordpress.com/2009/04/02/polymath1-and-three-new-proofs-of-the-density-hales-jewett-theorem/" TargetMode="External"/><Relationship Id="rId32" Type="http://schemas.openxmlformats.org/officeDocument/2006/relationships/hyperlink" Target="https://gowers.wordpress.com/2010/02/17/dhj-latest/" TargetMode="External"/><Relationship Id="rId5" Type="http://schemas.openxmlformats.org/officeDocument/2006/relationships/hyperlink" Target="https://gowers.wordpress.com/2009/02/01/why-this-particular-problem/" TargetMode="External"/><Relationship Id="rId15" Type="http://schemas.openxmlformats.org/officeDocument/2006/relationships/hyperlink" Target="https://gowers.wordpress.com/2009/02/23/brief-review-of-polymath1/" TargetMode="External"/><Relationship Id="rId23" Type="http://schemas.openxmlformats.org/officeDocument/2006/relationships/hyperlink" Target="https://terrytao.wordpress.com/2009/03/30/dhjk-1200-1299-density-hales-jewett-type-numbers/" TargetMode="External"/><Relationship Id="rId28" Type="http://schemas.openxmlformats.org/officeDocument/2006/relationships/hyperlink" Target="https://terrytao.wordpress.com/2009/07/09/dhj-writing-the-second-paper-iii/" TargetMode="External"/><Relationship Id="rId10" Type="http://schemas.openxmlformats.org/officeDocument/2006/relationships/hyperlink" Target="https://gowers.wordpress.com/2009/02/08/dhj-quasirandomness-and-obstructions-to-uniformity/" TargetMode="External"/><Relationship Id="rId19" Type="http://schemas.openxmlformats.org/officeDocument/2006/relationships/hyperlink" Target="https://gowers.wordpress.com/2009/03/10/polymath1-and-open-collaborative-mathematics/" TargetMode="External"/><Relationship Id="rId31" Type="http://schemas.openxmlformats.org/officeDocument/2006/relationships/hyperlink" Target="https://terrytao.wordpress.com/2010/01/15/density-hales-jewett-and-moser-numbers-nearing-the-final-draft/" TargetMode="External"/><Relationship Id="rId4" Type="http://schemas.openxmlformats.org/officeDocument/2006/relationships/hyperlink" Target="https://gowers.wordpress.com/2009/02/01/a-combinatorial-approach-to-density-hales-jewett/" TargetMode="External"/><Relationship Id="rId9" Type="http://schemas.openxmlformats.org/officeDocument/2006/relationships/hyperlink" Target="https://gowers.wordpress.com/2009/02/06/dhj-the-triangle-removal-approach/" TargetMode="External"/><Relationship Id="rId14" Type="http://schemas.openxmlformats.org/officeDocument/2006/relationships/hyperlink" Target="https://gowers.wordpress.com/2009/02/21/to-thread-or-not-to-thread/" TargetMode="External"/><Relationship Id="rId22" Type="http://schemas.openxmlformats.org/officeDocument/2006/relationships/hyperlink" Target="https://gowers.wordpress.com/2009/03/24/can-polymath-be-scaled-up/" TargetMode="External"/><Relationship Id="rId27" Type="http://schemas.openxmlformats.org/officeDocument/2006/relationships/hyperlink" Target="https://gowers.wordpress.com/2009/06/25/dhj-write-up-and-other-matters/" TargetMode="External"/><Relationship Id="rId30" Type="http://schemas.openxmlformats.org/officeDocument/2006/relationships/hyperlink" Target="https://terrytao.wordpress.com/2009/10/22/a-new-proof-of-the-density-hales-jewett-theorem/" TargetMode="External"/><Relationship Id="rId8" Type="http://schemas.openxmlformats.org/officeDocument/2006/relationships/hyperlink" Target="https://terrytao.wordpress.com/2009/02/05/upper-and-lower-bounds-for-the-density-hales-jewett-proble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2129"/>
  <sheetViews>
    <sheetView workbookViewId="0"/>
  </sheetViews>
  <sheetFormatPr baseColWidth="10" defaultColWidth="14.5" defaultRowHeight="15" customHeight="1"/>
  <cols>
    <col min="1" max="1" width="13.83203125" customWidth="1"/>
    <col min="2" max="2" width="11.5" customWidth="1"/>
    <col min="3" max="3" width="10.6640625" customWidth="1"/>
    <col min="4" max="4" width="18.5" customWidth="1"/>
    <col min="5" max="5" width="20.33203125" customWidth="1"/>
    <col min="6" max="6" width="34.5" customWidth="1"/>
    <col min="7" max="7" width="19" customWidth="1"/>
    <col min="8" max="8" width="25.83203125" customWidth="1"/>
    <col min="9" max="9" width="17.5" customWidth="1"/>
    <col min="10" max="10" width="23.5" customWidth="1"/>
    <col min="11" max="11" width="48.1640625" customWidth="1"/>
    <col min="12" max="12" width="81.1640625" customWidth="1"/>
  </cols>
  <sheetData>
    <row r="1" spans="1:26" ht="33.75" customHeight="1">
      <c r="A1" s="1" t="s">
        <v>0</v>
      </c>
      <c r="B1" s="1" t="s">
        <v>1</v>
      </c>
      <c r="C1" s="1" t="s">
        <v>2</v>
      </c>
      <c r="D1" s="1" t="s">
        <v>3</v>
      </c>
      <c r="E1" s="1" t="s">
        <v>4</v>
      </c>
      <c r="F1" s="1" t="s">
        <v>5</v>
      </c>
      <c r="G1" s="1" t="s">
        <v>6</v>
      </c>
      <c r="H1" s="1" t="s">
        <v>7</v>
      </c>
      <c r="I1" s="1" t="s">
        <v>8</v>
      </c>
      <c r="J1" s="1" t="s">
        <v>9</v>
      </c>
      <c r="K1" s="1" t="s">
        <v>10</v>
      </c>
      <c r="L1" s="2" t="s">
        <v>11</v>
      </c>
      <c r="M1" s="1"/>
      <c r="N1" s="1"/>
      <c r="O1" s="1"/>
      <c r="P1" s="1"/>
      <c r="Q1" s="1"/>
      <c r="R1" s="1"/>
      <c r="S1" s="1"/>
      <c r="T1" s="1"/>
      <c r="U1" s="1"/>
      <c r="V1" s="1"/>
      <c r="W1" s="1"/>
      <c r="X1" s="1"/>
      <c r="Y1" s="1"/>
      <c r="Z1" s="1"/>
    </row>
    <row r="2" spans="1:26" ht="33.75" customHeight="1">
      <c r="A2" s="1">
        <v>0</v>
      </c>
      <c r="B2" s="1" t="s">
        <v>12</v>
      </c>
      <c r="C2" s="3" t="s">
        <v>13</v>
      </c>
      <c r="D2" s="4">
        <v>39840.65824074074</v>
      </c>
      <c r="E2" s="1" t="s">
        <v>14</v>
      </c>
      <c r="F2" s="1"/>
      <c r="G2" s="5" t="s">
        <v>15</v>
      </c>
      <c r="H2" s="5" t="s">
        <v>16</v>
      </c>
      <c r="I2" s="1" t="s">
        <v>17</v>
      </c>
      <c r="J2" s="1"/>
      <c r="K2" s="1" t="s">
        <v>18</v>
      </c>
      <c r="L2" s="2" t="s">
        <v>19</v>
      </c>
      <c r="M2" s="1"/>
      <c r="N2" s="1"/>
      <c r="O2" s="1"/>
      <c r="P2" s="1"/>
      <c r="Q2" s="1"/>
      <c r="R2" s="1"/>
      <c r="S2" s="1"/>
      <c r="T2" s="1"/>
      <c r="U2" s="1"/>
      <c r="V2" s="1"/>
      <c r="W2" s="1"/>
      <c r="X2" s="1"/>
      <c r="Y2" s="1"/>
      <c r="Z2" s="1"/>
    </row>
    <row r="3" spans="1:26" ht="33.75" customHeight="1">
      <c r="A3" s="1">
        <v>20</v>
      </c>
      <c r="B3" s="1" t="s">
        <v>20</v>
      </c>
      <c r="C3" s="3" t="s">
        <v>13</v>
      </c>
      <c r="D3" s="4">
        <v>39840.722222222219</v>
      </c>
      <c r="E3" s="1" t="s">
        <v>21</v>
      </c>
      <c r="F3" s="1"/>
      <c r="G3" s="5" t="s">
        <v>15</v>
      </c>
      <c r="H3" s="5" t="s">
        <v>22</v>
      </c>
      <c r="I3" s="1" t="s">
        <v>23</v>
      </c>
      <c r="J3" s="1"/>
      <c r="K3" s="1"/>
      <c r="L3" s="2" t="s">
        <v>24</v>
      </c>
      <c r="M3" s="1"/>
      <c r="N3" s="1"/>
      <c r="O3" s="1"/>
      <c r="P3" s="1"/>
      <c r="Q3" s="1"/>
      <c r="R3" s="1"/>
      <c r="S3" s="1"/>
      <c r="T3" s="1"/>
      <c r="U3" s="1"/>
      <c r="V3" s="1"/>
      <c r="W3" s="1"/>
      <c r="X3" s="1"/>
      <c r="Y3" s="1"/>
      <c r="Z3" s="1"/>
    </row>
    <row r="4" spans="1:26" ht="33.75" customHeight="1">
      <c r="A4" s="1">
        <v>21</v>
      </c>
      <c r="B4" s="1" t="s">
        <v>25</v>
      </c>
      <c r="C4" s="3" t="s">
        <v>13</v>
      </c>
      <c r="D4" s="4">
        <v>39840.734027777777</v>
      </c>
      <c r="E4" s="1" t="s">
        <v>14</v>
      </c>
      <c r="F4" s="1"/>
      <c r="G4" s="5" t="s">
        <v>26</v>
      </c>
      <c r="H4" s="5" t="s">
        <v>27</v>
      </c>
      <c r="I4" s="1" t="s">
        <v>28</v>
      </c>
      <c r="J4" s="1" t="s">
        <v>29</v>
      </c>
      <c r="K4" s="1"/>
      <c r="L4" s="2" t="s">
        <v>30</v>
      </c>
      <c r="M4" s="1"/>
      <c r="N4" s="1"/>
      <c r="O4" s="1"/>
      <c r="P4" s="1"/>
      <c r="Q4" s="1"/>
      <c r="R4" s="1"/>
      <c r="S4" s="1"/>
      <c r="T4" s="1"/>
      <c r="U4" s="1"/>
      <c r="V4" s="1"/>
      <c r="W4" s="1"/>
      <c r="X4" s="1"/>
      <c r="Y4" s="1"/>
      <c r="Z4" s="1"/>
    </row>
    <row r="5" spans="1:26" ht="33.75" customHeight="1">
      <c r="A5" s="1">
        <v>22</v>
      </c>
      <c r="B5" s="1" t="s">
        <v>31</v>
      </c>
      <c r="C5" s="3" t="s">
        <v>13</v>
      </c>
      <c r="D5" s="4">
        <v>39840.777777777781</v>
      </c>
      <c r="E5" s="1" t="s">
        <v>32</v>
      </c>
      <c r="F5" s="1"/>
      <c r="G5" s="5" t="s">
        <v>33</v>
      </c>
      <c r="H5" s="5" t="s">
        <v>34</v>
      </c>
      <c r="I5" s="1" t="s">
        <v>35</v>
      </c>
      <c r="J5" s="1"/>
      <c r="K5" s="1"/>
      <c r="L5" s="2" t="s">
        <v>36</v>
      </c>
      <c r="M5" s="1"/>
      <c r="N5" s="1"/>
      <c r="O5" s="1"/>
      <c r="P5" s="1"/>
      <c r="Q5" s="1"/>
      <c r="R5" s="1"/>
      <c r="S5" s="1"/>
      <c r="T5" s="1"/>
      <c r="U5" s="1"/>
      <c r="V5" s="1"/>
      <c r="W5" s="1"/>
      <c r="X5" s="1"/>
      <c r="Y5" s="1"/>
      <c r="Z5" s="1"/>
    </row>
    <row r="6" spans="1:26" ht="33.75" customHeight="1">
      <c r="A6" s="1">
        <v>23</v>
      </c>
      <c r="B6" s="1" t="s">
        <v>37</v>
      </c>
      <c r="C6" s="3" t="s">
        <v>13</v>
      </c>
      <c r="D6" s="4">
        <v>39840.779861111114</v>
      </c>
      <c r="E6" s="1" t="s">
        <v>38</v>
      </c>
      <c r="F6" s="1"/>
      <c r="G6" s="5" t="s">
        <v>39</v>
      </c>
      <c r="H6" s="5" t="s">
        <v>40</v>
      </c>
      <c r="I6" s="1" t="s">
        <v>41</v>
      </c>
      <c r="J6" s="1"/>
      <c r="K6" s="1" t="s">
        <v>42</v>
      </c>
      <c r="L6" s="2" t="s">
        <v>43</v>
      </c>
      <c r="M6" s="1"/>
      <c r="N6" s="1"/>
      <c r="O6" s="1"/>
      <c r="P6" s="1"/>
      <c r="Q6" s="1"/>
      <c r="R6" s="1"/>
      <c r="S6" s="1"/>
      <c r="T6" s="1"/>
      <c r="U6" s="1"/>
      <c r="V6" s="1"/>
      <c r="W6" s="1"/>
      <c r="X6" s="1"/>
      <c r="Y6" s="1"/>
      <c r="Z6" s="1"/>
    </row>
    <row r="7" spans="1:26" ht="33.75" customHeight="1">
      <c r="A7" s="1">
        <v>24</v>
      </c>
      <c r="B7" s="1" t="s">
        <v>44</v>
      </c>
      <c r="C7" s="3" t="s">
        <v>13</v>
      </c>
      <c r="D7" s="4">
        <v>39840.786805555559</v>
      </c>
      <c r="E7" s="1" t="s">
        <v>45</v>
      </c>
      <c r="F7" s="1"/>
      <c r="G7" s="5" t="s">
        <v>15</v>
      </c>
      <c r="H7" s="5" t="s">
        <v>22</v>
      </c>
      <c r="I7" s="1" t="s">
        <v>46</v>
      </c>
      <c r="J7" s="1"/>
      <c r="K7" s="1"/>
      <c r="L7" s="2" t="s">
        <v>47</v>
      </c>
      <c r="M7" s="1"/>
      <c r="N7" s="1"/>
      <c r="O7" s="1"/>
      <c r="P7" s="1"/>
      <c r="Q7" s="1"/>
      <c r="R7" s="1"/>
      <c r="S7" s="1"/>
      <c r="T7" s="1"/>
      <c r="U7" s="1"/>
      <c r="V7" s="1"/>
      <c r="W7" s="1"/>
      <c r="X7" s="1"/>
      <c r="Y7" s="1"/>
      <c r="Z7" s="1"/>
    </row>
    <row r="8" spans="1:26" ht="33.75" customHeight="1">
      <c r="A8" s="1">
        <v>25</v>
      </c>
      <c r="B8" s="1" t="s">
        <v>48</v>
      </c>
      <c r="C8" s="3" t="s">
        <v>13</v>
      </c>
      <c r="D8" s="4">
        <v>39840.85</v>
      </c>
      <c r="E8" s="1" t="s">
        <v>49</v>
      </c>
      <c r="F8" s="1"/>
      <c r="G8" s="1" t="s">
        <v>15</v>
      </c>
      <c r="H8" s="1" t="s">
        <v>50</v>
      </c>
      <c r="I8" s="1" t="s">
        <v>51</v>
      </c>
      <c r="J8" s="1"/>
      <c r="K8" s="1"/>
      <c r="L8" s="2" t="s">
        <v>52</v>
      </c>
      <c r="M8" s="1"/>
      <c r="N8" s="1"/>
      <c r="O8" s="1"/>
      <c r="P8" s="1"/>
      <c r="Q8" s="1"/>
      <c r="R8" s="1"/>
      <c r="S8" s="1"/>
      <c r="T8" s="1"/>
      <c r="U8" s="1"/>
      <c r="V8" s="1"/>
      <c r="W8" s="1"/>
      <c r="X8" s="1"/>
      <c r="Y8" s="1"/>
      <c r="Z8" s="1"/>
    </row>
    <row r="9" spans="1:26" ht="33.75" customHeight="1">
      <c r="A9" s="1">
        <v>27</v>
      </c>
      <c r="B9" s="1" t="s">
        <v>53</v>
      </c>
      <c r="C9" s="3" t="s">
        <v>13</v>
      </c>
      <c r="D9" s="4">
        <v>39841.03402777778</v>
      </c>
      <c r="E9" s="1" t="s">
        <v>54</v>
      </c>
      <c r="F9" s="1"/>
      <c r="G9" s="5" t="s">
        <v>15</v>
      </c>
      <c r="H9" s="5" t="s">
        <v>55</v>
      </c>
      <c r="I9" s="1" t="s">
        <v>56</v>
      </c>
      <c r="J9" s="1"/>
      <c r="K9" s="1"/>
      <c r="L9" s="2" t="s">
        <v>57</v>
      </c>
      <c r="M9" s="1"/>
      <c r="N9" s="1"/>
      <c r="O9" s="1"/>
      <c r="P9" s="1"/>
      <c r="Q9" s="1"/>
      <c r="R9" s="1"/>
      <c r="S9" s="1"/>
      <c r="T9" s="1"/>
      <c r="U9" s="1"/>
      <c r="V9" s="1"/>
      <c r="W9" s="1"/>
      <c r="X9" s="1"/>
      <c r="Y9" s="1"/>
      <c r="Z9" s="1"/>
    </row>
    <row r="10" spans="1:26" ht="33.75" customHeight="1">
      <c r="A10" s="1">
        <v>28</v>
      </c>
      <c r="B10" s="1" t="s">
        <v>58</v>
      </c>
      <c r="C10" s="3" t="s">
        <v>13</v>
      </c>
      <c r="D10" s="4">
        <v>39841.186805555553</v>
      </c>
      <c r="E10" s="1" t="s">
        <v>59</v>
      </c>
      <c r="F10" s="1"/>
      <c r="G10" s="5" t="s">
        <v>15</v>
      </c>
      <c r="H10" s="5" t="s">
        <v>55</v>
      </c>
      <c r="I10" s="1" t="s">
        <v>56</v>
      </c>
      <c r="J10" s="1"/>
      <c r="K10" s="1" t="s">
        <v>60</v>
      </c>
      <c r="L10" s="2" t="s">
        <v>61</v>
      </c>
      <c r="M10" s="1"/>
      <c r="N10" s="1"/>
      <c r="O10" s="1"/>
      <c r="P10" s="1"/>
      <c r="Q10" s="1"/>
      <c r="R10" s="1"/>
      <c r="S10" s="1"/>
      <c r="T10" s="1"/>
      <c r="U10" s="1"/>
      <c r="V10" s="1"/>
      <c r="W10" s="1"/>
      <c r="X10" s="1"/>
      <c r="Y10" s="1"/>
      <c r="Z10" s="1"/>
    </row>
    <row r="11" spans="1:26" ht="33.75" customHeight="1">
      <c r="A11" s="1">
        <v>31</v>
      </c>
      <c r="B11" s="1" t="s">
        <v>62</v>
      </c>
      <c r="C11" s="3" t="s">
        <v>13</v>
      </c>
      <c r="D11" s="4">
        <v>39841.53125</v>
      </c>
      <c r="E11" s="1" t="s">
        <v>63</v>
      </c>
      <c r="F11" s="1"/>
      <c r="G11" s="5" t="s">
        <v>64</v>
      </c>
      <c r="H11" s="5" t="s">
        <v>65</v>
      </c>
      <c r="I11" s="1" t="s">
        <v>35</v>
      </c>
      <c r="J11" s="1" t="s">
        <v>66</v>
      </c>
      <c r="K11" s="1" t="s">
        <v>67</v>
      </c>
      <c r="L11" s="2" t="s">
        <v>68</v>
      </c>
      <c r="M11" s="1"/>
      <c r="N11" s="1"/>
      <c r="O11" s="1"/>
      <c r="P11" s="1"/>
      <c r="Q11" s="1"/>
      <c r="R11" s="1"/>
      <c r="S11" s="1"/>
      <c r="T11" s="1"/>
      <c r="U11" s="1"/>
      <c r="V11" s="1"/>
      <c r="W11" s="1"/>
      <c r="X11" s="1"/>
      <c r="Y11" s="1"/>
      <c r="Z11" s="1"/>
    </row>
    <row r="12" spans="1:26" ht="33.75" customHeight="1">
      <c r="A12" s="1">
        <v>32</v>
      </c>
      <c r="B12" s="1" t="s">
        <v>69</v>
      </c>
      <c r="C12" s="3" t="s">
        <v>13</v>
      </c>
      <c r="D12" s="4">
        <v>39841.593055555553</v>
      </c>
      <c r="E12" s="1" t="s">
        <v>70</v>
      </c>
      <c r="F12" s="1"/>
      <c r="G12" s="1" t="s">
        <v>15</v>
      </c>
      <c r="H12" s="1" t="s">
        <v>50</v>
      </c>
      <c r="I12" s="1" t="s">
        <v>71</v>
      </c>
      <c r="J12" s="1"/>
      <c r="K12" s="1" t="s">
        <v>72</v>
      </c>
      <c r="L12" s="2" t="s">
        <v>73</v>
      </c>
      <c r="M12" s="1"/>
      <c r="N12" s="1"/>
      <c r="O12" s="1"/>
      <c r="P12" s="1"/>
      <c r="Q12" s="1"/>
      <c r="R12" s="1"/>
      <c r="S12" s="1"/>
      <c r="T12" s="1"/>
      <c r="U12" s="1"/>
      <c r="V12" s="1"/>
      <c r="W12" s="1"/>
      <c r="X12" s="1"/>
      <c r="Y12" s="1"/>
      <c r="Z12" s="1"/>
    </row>
    <row r="13" spans="1:26" ht="33.75" customHeight="1">
      <c r="A13" s="1">
        <v>33</v>
      </c>
      <c r="B13" s="1" t="s">
        <v>74</v>
      </c>
      <c r="C13" s="3" t="s">
        <v>13</v>
      </c>
      <c r="D13" s="4">
        <v>39841.607638888891</v>
      </c>
      <c r="E13" s="1" t="s">
        <v>21</v>
      </c>
      <c r="F13" s="1"/>
      <c r="G13" s="1" t="s">
        <v>15</v>
      </c>
      <c r="H13" s="1" t="s">
        <v>50</v>
      </c>
      <c r="I13" s="1" t="s">
        <v>75</v>
      </c>
      <c r="J13" s="1"/>
      <c r="K13" s="1"/>
      <c r="L13" s="2" t="s">
        <v>76</v>
      </c>
      <c r="M13" s="1"/>
      <c r="N13" s="1"/>
      <c r="O13" s="1"/>
      <c r="P13" s="1"/>
      <c r="Q13" s="1"/>
      <c r="R13" s="1"/>
      <c r="S13" s="1"/>
      <c r="T13" s="1"/>
      <c r="U13" s="1"/>
      <c r="V13" s="1"/>
      <c r="W13" s="1"/>
      <c r="X13" s="1"/>
      <c r="Y13" s="1"/>
      <c r="Z13" s="1"/>
    </row>
    <row r="14" spans="1:26" ht="33.75" customHeight="1">
      <c r="A14" s="1">
        <v>34</v>
      </c>
      <c r="B14" s="1" t="s">
        <v>77</v>
      </c>
      <c r="C14" s="3" t="s">
        <v>13</v>
      </c>
      <c r="D14" s="4">
        <v>39841.757638888892</v>
      </c>
      <c r="E14" s="1" t="s">
        <v>54</v>
      </c>
      <c r="F14" s="1"/>
      <c r="G14" s="6" t="s">
        <v>78</v>
      </c>
      <c r="H14" s="5" t="s">
        <v>79</v>
      </c>
      <c r="I14" s="1" t="s">
        <v>80</v>
      </c>
      <c r="J14" s="1"/>
      <c r="K14" s="1" t="s">
        <v>81</v>
      </c>
      <c r="L14" s="2" t="s">
        <v>82</v>
      </c>
      <c r="M14" s="1"/>
      <c r="N14" s="1"/>
      <c r="O14" s="1"/>
      <c r="P14" s="1"/>
      <c r="Q14" s="1"/>
      <c r="R14" s="1"/>
      <c r="S14" s="1"/>
      <c r="T14" s="1"/>
      <c r="U14" s="1"/>
      <c r="V14" s="1"/>
      <c r="W14" s="1"/>
      <c r="X14" s="1"/>
      <c r="Y14" s="1"/>
      <c r="Z14" s="1"/>
    </row>
    <row r="15" spans="1:26" ht="33.75" customHeight="1">
      <c r="A15" s="1">
        <v>35</v>
      </c>
      <c r="B15" s="1" t="s">
        <v>83</v>
      </c>
      <c r="C15" s="3" t="s">
        <v>13</v>
      </c>
      <c r="D15" s="4">
        <v>39841.765277777777</v>
      </c>
      <c r="E15" s="1" t="s">
        <v>84</v>
      </c>
      <c r="F15" s="1"/>
      <c r="G15" s="5" t="s">
        <v>15</v>
      </c>
      <c r="H15" s="5" t="s">
        <v>16</v>
      </c>
      <c r="I15" s="1" t="s">
        <v>56</v>
      </c>
      <c r="J15" s="1"/>
      <c r="K15" s="1" t="s">
        <v>85</v>
      </c>
      <c r="L15" s="2" t="s">
        <v>86</v>
      </c>
      <c r="M15" s="1"/>
      <c r="N15" s="1"/>
      <c r="O15" s="1"/>
      <c r="P15" s="1"/>
      <c r="Q15" s="1"/>
      <c r="R15" s="1"/>
      <c r="S15" s="1"/>
      <c r="T15" s="1"/>
      <c r="U15" s="1"/>
      <c r="V15" s="1"/>
      <c r="W15" s="1"/>
      <c r="X15" s="1"/>
      <c r="Y15" s="1"/>
      <c r="Z15" s="1"/>
    </row>
    <row r="16" spans="1:26" ht="33.75" customHeight="1">
      <c r="A16" s="1">
        <v>36</v>
      </c>
      <c r="B16" s="1" t="s">
        <v>87</v>
      </c>
      <c r="C16" s="3" t="s">
        <v>13</v>
      </c>
      <c r="D16" s="4">
        <v>39841.981249999997</v>
      </c>
      <c r="E16" s="1" t="s">
        <v>14</v>
      </c>
      <c r="F16" s="1"/>
      <c r="G16" s="6" t="s">
        <v>78</v>
      </c>
      <c r="H16" s="5" t="s">
        <v>88</v>
      </c>
      <c r="I16" s="1" t="s">
        <v>89</v>
      </c>
      <c r="J16" s="1"/>
      <c r="K16" s="1" t="s">
        <v>90</v>
      </c>
      <c r="L16" s="2" t="s">
        <v>91</v>
      </c>
      <c r="M16" s="1"/>
      <c r="N16" s="1"/>
      <c r="O16" s="1"/>
      <c r="P16" s="1"/>
      <c r="Q16" s="1"/>
      <c r="R16" s="1"/>
      <c r="S16" s="1"/>
      <c r="T16" s="1"/>
      <c r="U16" s="1"/>
      <c r="V16" s="1"/>
      <c r="W16" s="1"/>
      <c r="X16" s="1"/>
      <c r="Y16" s="1"/>
      <c r="Z16" s="1"/>
    </row>
    <row r="17" spans="1:26" ht="33.75" customHeight="1">
      <c r="A17" s="1">
        <v>37</v>
      </c>
      <c r="B17" s="1" t="s">
        <v>92</v>
      </c>
      <c r="C17" s="3" t="s">
        <v>13</v>
      </c>
      <c r="D17" s="4">
        <v>39842.952777777777</v>
      </c>
      <c r="E17" s="1" t="s">
        <v>93</v>
      </c>
      <c r="F17" s="1"/>
      <c r="G17" s="5" t="s">
        <v>33</v>
      </c>
      <c r="H17" s="5" t="s">
        <v>34</v>
      </c>
      <c r="I17" s="1" t="s">
        <v>35</v>
      </c>
      <c r="J17" s="1"/>
      <c r="K17" s="1" t="s">
        <v>94</v>
      </c>
      <c r="L17" s="2" t="s">
        <v>95</v>
      </c>
      <c r="M17" s="1"/>
      <c r="N17" s="1"/>
      <c r="O17" s="1"/>
      <c r="P17" s="1"/>
      <c r="Q17" s="1"/>
      <c r="R17" s="1"/>
      <c r="S17" s="1"/>
      <c r="T17" s="1"/>
      <c r="U17" s="1"/>
      <c r="V17" s="1"/>
      <c r="W17" s="1"/>
      <c r="X17" s="1"/>
      <c r="Y17" s="1"/>
      <c r="Z17" s="1"/>
    </row>
    <row r="18" spans="1:26" ht="33.75" customHeight="1">
      <c r="A18" s="1">
        <v>1</v>
      </c>
      <c r="B18" s="1" t="s">
        <v>12</v>
      </c>
      <c r="C18" s="1" t="s">
        <v>96</v>
      </c>
      <c r="D18" s="4">
        <v>39843.452187499999</v>
      </c>
      <c r="E18" s="1" t="s">
        <v>14</v>
      </c>
      <c r="F18" s="1"/>
      <c r="G18" s="5" t="s">
        <v>15</v>
      </c>
      <c r="H18" s="5" t="s">
        <v>16</v>
      </c>
      <c r="I18" s="1" t="s">
        <v>97</v>
      </c>
      <c r="J18" s="1" t="s">
        <v>98</v>
      </c>
      <c r="K18" s="1"/>
      <c r="L18" s="2" t="s">
        <v>99</v>
      </c>
      <c r="M18" s="1"/>
      <c r="N18" s="1"/>
      <c r="O18" s="1"/>
      <c r="P18" s="1"/>
      <c r="Q18" s="1"/>
      <c r="R18" s="1"/>
      <c r="S18" s="1"/>
      <c r="T18" s="1"/>
      <c r="U18" s="1"/>
      <c r="V18" s="1"/>
      <c r="W18" s="1"/>
      <c r="X18" s="1"/>
      <c r="Y18" s="1"/>
      <c r="Z18" s="1"/>
    </row>
    <row r="19" spans="1:26" ht="33.75" customHeight="1">
      <c r="A19" s="1">
        <v>40</v>
      </c>
      <c r="B19" s="1" t="s">
        <v>100</v>
      </c>
      <c r="C19" s="3" t="s">
        <v>13</v>
      </c>
      <c r="D19" s="4">
        <v>39843.599999999999</v>
      </c>
      <c r="E19" s="1" t="s">
        <v>101</v>
      </c>
      <c r="F19" s="1"/>
      <c r="G19" s="5" t="s">
        <v>15</v>
      </c>
      <c r="H19" s="5" t="s">
        <v>50</v>
      </c>
      <c r="I19" s="1" t="s">
        <v>102</v>
      </c>
      <c r="J19" s="1"/>
      <c r="K19" s="1" t="s">
        <v>103</v>
      </c>
      <c r="L19" s="2" t="s">
        <v>104</v>
      </c>
      <c r="M19" s="1"/>
      <c r="N19" s="1"/>
      <c r="O19" s="1"/>
      <c r="P19" s="1"/>
      <c r="Q19" s="1"/>
      <c r="R19" s="1"/>
      <c r="S19" s="1"/>
      <c r="T19" s="1"/>
      <c r="U19" s="1"/>
      <c r="V19" s="1"/>
      <c r="W19" s="1"/>
      <c r="X19" s="1"/>
      <c r="Y19" s="1"/>
      <c r="Z19" s="1"/>
    </row>
    <row r="20" spans="1:26" ht="33.75" customHeight="1">
      <c r="A20" s="1">
        <v>41</v>
      </c>
      <c r="B20" s="1" t="s">
        <v>105</v>
      </c>
      <c r="C20" s="3" t="s">
        <v>13</v>
      </c>
      <c r="D20" s="4">
        <v>39843.663194444445</v>
      </c>
      <c r="E20" s="1" t="s">
        <v>101</v>
      </c>
      <c r="F20" s="1"/>
      <c r="G20" s="5" t="s">
        <v>15</v>
      </c>
      <c r="H20" s="5" t="s">
        <v>50</v>
      </c>
      <c r="I20" s="1" t="s">
        <v>106</v>
      </c>
      <c r="J20" s="1"/>
      <c r="K20" s="1" t="s">
        <v>107</v>
      </c>
      <c r="L20" s="2" t="s">
        <v>108</v>
      </c>
      <c r="M20" s="1"/>
      <c r="N20" s="1"/>
      <c r="O20" s="1"/>
      <c r="P20" s="1"/>
      <c r="Q20" s="1"/>
      <c r="R20" s="1"/>
      <c r="S20" s="1"/>
      <c r="T20" s="1"/>
      <c r="U20" s="1"/>
      <c r="V20" s="1"/>
      <c r="W20" s="1"/>
      <c r="X20" s="1"/>
      <c r="Y20" s="1"/>
      <c r="Z20" s="1"/>
    </row>
    <row r="21" spans="1:26" ht="33.75" customHeight="1">
      <c r="A21" s="1">
        <v>43</v>
      </c>
      <c r="B21" s="1" t="s">
        <v>109</v>
      </c>
      <c r="C21" s="3" t="s">
        <v>13</v>
      </c>
      <c r="D21" s="4">
        <v>39843.6875</v>
      </c>
      <c r="E21" s="1" t="s">
        <v>110</v>
      </c>
      <c r="F21" s="1" t="s">
        <v>21</v>
      </c>
      <c r="G21" s="5" t="s">
        <v>15</v>
      </c>
      <c r="H21" s="5" t="s">
        <v>22</v>
      </c>
      <c r="I21" s="1" t="s">
        <v>111</v>
      </c>
      <c r="J21" s="1"/>
      <c r="K21" s="1"/>
      <c r="L21" s="2" t="s">
        <v>112</v>
      </c>
      <c r="M21" s="1"/>
      <c r="N21" s="1"/>
      <c r="O21" s="1"/>
      <c r="P21" s="1"/>
      <c r="Q21" s="1"/>
      <c r="R21" s="1"/>
      <c r="S21" s="1"/>
      <c r="T21" s="1"/>
      <c r="U21" s="1"/>
      <c r="V21" s="1"/>
      <c r="W21" s="1"/>
      <c r="X21" s="1"/>
      <c r="Y21" s="1"/>
      <c r="Z21" s="1"/>
    </row>
    <row r="22" spans="1:26" ht="33.75" customHeight="1">
      <c r="A22" s="1">
        <v>44</v>
      </c>
      <c r="B22" s="1" t="s">
        <v>113</v>
      </c>
      <c r="C22" s="3" t="s">
        <v>13</v>
      </c>
      <c r="D22" s="4">
        <v>39843.697222222225</v>
      </c>
      <c r="E22" s="1" t="s">
        <v>21</v>
      </c>
      <c r="F22" s="1" t="s">
        <v>105</v>
      </c>
      <c r="G22" s="5" t="s">
        <v>15</v>
      </c>
      <c r="H22" s="5" t="s">
        <v>50</v>
      </c>
      <c r="I22" s="1" t="s">
        <v>114</v>
      </c>
      <c r="J22" s="1"/>
      <c r="K22" s="1" t="s">
        <v>115</v>
      </c>
      <c r="L22" s="2" t="s">
        <v>116</v>
      </c>
      <c r="M22" s="1"/>
      <c r="N22" s="1"/>
      <c r="O22" s="1"/>
      <c r="P22" s="1"/>
      <c r="Q22" s="1"/>
      <c r="R22" s="1"/>
      <c r="S22" s="1"/>
      <c r="T22" s="1"/>
      <c r="U22" s="1"/>
      <c r="V22" s="1"/>
      <c r="W22" s="1"/>
      <c r="X22" s="1"/>
      <c r="Y22" s="1"/>
      <c r="Z22" s="1"/>
    </row>
    <row r="23" spans="1:26" ht="33.75" customHeight="1">
      <c r="A23" s="1">
        <v>262</v>
      </c>
      <c r="B23" s="1" t="s">
        <v>117</v>
      </c>
      <c r="C23" s="1" t="s">
        <v>96</v>
      </c>
      <c r="D23" s="4">
        <v>39843.716666666667</v>
      </c>
      <c r="E23" s="1" t="s">
        <v>54</v>
      </c>
      <c r="F23" s="1"/>
      <c r="G23" s="5" t="s">
        <v>64</v>
      </c>
      <c r="H23" s="5" t="s">
        <v>65</v>
      </c>
      <c r="I23" s="1" t="s">
        <v>35</v>
      </c>
      <c r="J23" s="1"/>
      <c r="K23" s="1" t="s">
        <v>118</v>
      </c>
      <c r="L23" s="2" t="s">
        <v>119</v>
      </c>
      <c r="M23" s="1"/>
      <c r="N23" s="1"/>
      <c r="O23" s="1"/>
      <c r="P23" s="1"/>
      <c r="Q23" s="1"/>
      <c r="R23" s="1"/>
      <c r="S23" s="1"/>
      <c r="T23" s="1"/>
      <c r="U23" s="1"/>
      <c r="V23" s="1"/>
      <c r="W23" s="1"/>
      <c r="X23" s="1"/>
      <c r="Y23" s="1"/>
      <c r="Z23" s="1"/>
    </row>
    <row r="24" spans="1:26" ht="33.75" customHeight="1">
      <c r="A24" s="1">
        <v>45</v>
      </c>
      <c r="B24" s="1" t="s">
        <v>120</v>
      </c>
      <c r="C24" s="3" t="s">
        <v>13</v>
      </c>
      <c r="D24" s="4">
        <v>39843.749305555553</v>
      </c>
      <c r="E24" s="1" t="s">
        <v>121</v>
      </c>
      <c r="F24" s="1"/>
      <c r="G24" s="5" t="s">
        <v>33</v>
      </c>
      <c r="H24" s="5" t="s">
        <v>34</v>
      </c>
      <c r="I24" s="1" t="s">
        <v>35</v>
      </c>
      <c r="J24" s="1"/>
      <c r="K24" s="1" t="s">
        <v>122</v>
      </c>
      <c r="L24" s="2" t="s">
        <v>123</v>
      </c>
      <c r="M24" s="1"/>
      <c r="N24" s="1"/>
      <c r="O24" s="1"/>
      <c r="P24" s="1"/>
      <c r="Q24" s="1"/>
      <c r="R24" s="1"/>
      <c r="S24" s="1"/>
      <c r="T24" s="1"/>
      <c r="U24" s="1"/>
      <c r="V24" s="1"/>
      <c r="W24" s="1"/>
      <c r="X24" s="1"/>
      <c r="Y24" s="1"/>
      <c r="Z24" s="1"/>
    </row>
    <row r="25" spans="1:26" ht="33.75" customHeight="1">
      <c r="A25" s="1">
        <v>263</v>
      </c>
      <c r="B25" s="1" t="s">
        <v>124</v>
      </c>
      <c r="C25" s="1" t="s">
        <v>96</v>
      </c>
      <c r="D25" s="4">
        <v>39843.768750000003</v>
      </c>
      <c r="E25" s="1" t="s">
        <v>14</v>
      </c>
      <c r="F25" s="1" t="s">
        <v>117</v>
      </c>
      <c r="G25" s="6" t="s">
        <v>78</v>
      </c>
      <c r="H25" s="5" t="s">
        <v>79</v>
      </c>
      <c r="I25" s="1" t="s">
        <v>125</v>
      </c>
      <c r="J25" s="1"/>
      <c r="K25" s="1" t="s">
        <v>126</v>
      </c>
      <c r="L25" s="2" t="s">
        <v>127</v>
      </c>
      <c r="M25" s="1"/>
      <c r="N25" s="1"/>
      <c r="O25" s="1"/>
      <c r="P25" s="1"/>
      <c r="Q25" s="1"/>
      <c r="R25" s="1"/>
      <c r="S25" s="1"/>
      <c r="T25" s="1"/>
      <c r="U25" s="1"/>
      <c r="V25" s="1"/>
      <c r="W25" s="1"/>
      <c r="X25" s="1"/>
      <c r="Y25" s="1"/>
      <c r="Z25" s="1"/>
    </row>
    <row r="26" spans="1:26" ht="33.75" customHeight="1">
      <c r="A26" s="1">
        <v>264</v>
      </c>
      <c r="B26" s="1" t="s">
        <v>128</v>
      </c>
      <c r="C26" s="1" t="s">
        <v>96</v>
      </c>
      <c r="D26" s="4">
        <v>39843.797222222223</v>
      </c>
      <c r="E26" s="1" t="s">
        <v>110</v>
      </c>
      <c r="F26" s="1" t="s">
        <v>129</v>
      </c>
      <c r="G26" s="5" t="s">
        <v>33</v>
      </c>
      <c r="H26" s="5" t="s">
        <v>34</v>
      </c>
      <c r="I26" s="1" t="s">
        <v>35</v>
      </c>
      <c r="J26" s="1"/>
      <c r="K26" s="1" t="s">
        <v>130</v>
      </c>
      <c r="L26" s="2" t="s">
        <v>131</v>
      </c>
      <c r="M26" s="1"/>
      <c r="N26" s="1"/>
      <c r="O26" s="1"/>
      <c r="P26" s="1"/>
      <c r="Q26" s="1"/>
      <c r="R26" s="1"/>
      <c r="S26" s="1"/>
      <c r="T26" s="1"/>
      <c r="U26" s="1"/>
      <c r="V26" s="1"/>
      <c r="W26" s="1"/>
      <c r="X26" s="1"/>
      <c r="Y26" s="1"/>
      <c r="Z26" s="1"/>
    </row>
    <row r="27" spans="1:26" ht="33.75" customHeight="1">
      <c r="A27" s="1">
        <v>265</v>
      </c>
      <c r="B27" s="1" t="s">
        <v>132</v>
      </c>
      <c r="C27" s="1" t="s">
        <v>96</v>
      </c>
      <c r="D27" s="4">
        <v>39844.310416666667</v>
      </c>
      <c r="E27" s="1" t="s">
        <v>84</v>
      </c>
      <c r="F27" s="1"/>
      <c r="G27" s="5" t="s">
        <v>26</v>
      </c>
      <c r="H27" s="5" t="s">
        <v>133</v>
      </c>
      <c r="I27" s="1" t="s">
        <v>28</v>
      </c>
      <c r="J27" s="1" t="s">
        <v>134</v>
      </c>
      <c r="K27" s="1"/>
      <c r="L27" s="2" t="s">
        <v>135</v>
      </c>
      <c r="M27" s="1"/>
      <c r="N27" s="1"/>
      <c r="O27" s="1"/>
      <c r="P27" s="1"/>
      <c r="Q27" s="1"/>
      <c r="R27" s="1"/>
      <c r="S27" s="1"/>
      <c r="T27" s="1"/>
      <c r="U27" s="1"/>
      <c r="V27" s="1"/>
      <c r="W27" s="1"/>
      <c r="X27" s="1"/>
      <c r="Y27" s="1"/>
      <c r="Z27" s="1"/>
    </row>
    <row r="28" spans="1:26" ht="33.75" customHeight="1">
      <c r="A28" s="1">
        <v>266</v>
      </c>
      <c r="B28" s="1" t="s">
        <v>136</v>
      </c>
      <c r="C28" s="1" t="s">
        <v>96</v>
      </c>
      <c r="D28" s="4">
        <v>39844.345138888886</v>
      </c>
      <c r="E28" s="1" t="s">
        <v>14</v>
      </c>
      <c r="F28" s="1" t="s">
        <v>132</v>
      </c>
      <c r="G28" s="5" t="s">
        <v>26</v>
      </c>
      <c r="H28" s="5" t="s">
        <v>27</v>
      </c>
      <c r="I28" s="1" t="s">
        <v>28</v>
      </c>
      <c r="J28" s="1" t="s">
        <v>29</v>
      </c>
      <c r="K28" s="1" t="s">
        <v>137</v>
      </c>
      <c r="L28" s="2" t="s">
        <v>138</v>
      </c>
      <c r="M28" s="1"/>
      <c r="N28" s="1"/>
      <c r="O28" s="1"/>
      <c r="P28" s="1"/>
      <c r="Q28" s="1"/>
      <c r="R28" s="1"/>
      <c r="S28" s="1"/>
      <c r="T28" s="1"/>
      <c r="U28" s="1"/>
      <c r="V28" s="1"/>
      <c r="W28" s="1"/>
      <c r="X28" s="1"/>
      <c r="Y28" s="1"/>
      <c r="Z28" s="1"/>
    </row>
    <row r="29" spans="1:26" ht="33.75" customHeight="1">
      <c r="A29" s="1">
        <v>46</v>
      </c>
      <c r="B29" s="1" t="s">
        <v>139</v>
      </c>
      <c r="C29" s="3" t="s">
        <v>13</v>
      </c>
      <c r="D29" s="4">
        <v>39844.586805555555</v>
      </c>
      <c r="E29" s="1" t="s">
        <v>101</v>
      </c>
      <c r="F29" s="1"/>
      <c r="G29" s="5" t="s">
        <v>15</v>
      </c>
      <c r="H29" s="5" t="s">
        <v>140</v>
      </c>
      <c r="I29" s="1" t="s">
        <v>35</v>
      </c>
      <c r="J29" s="1"/>
      <c r="K29" s="1" t="s">
        <v>141</v>
      </c>
      <c r="L29" s="2" t="s">
        <v>142</v>
      </c>
      <c r="M29" s="1"/>
      <c r="N29" s="1"/>
      <c r="O29" s="1"/>
      <c r="P29" s="1"/>
      <c r="Q29" s="1"/>
      <c r="R29" s="1"/>
      <c r="S29" s="1"/>
      <c r="T29" s="1"/>
      <c r="U29" s="1"/>
      <c r="V29" s="1"/>
      <c r="W29" s="1"/>
      <c r="X29" s="1"/>
      <c r="Y29" s="1"/>
      <c r="Z29" s="1"/>
    </row>
    <row r="30" spans="1:26" ht="33.75" customHeight="1">
      <c r="A30" s="1">
        <v>47</v>
      </c>
      <c r="B30" s="1" t="s">
        <v>143</v>
      </c>
      <c r="C30" s="3" t="s">
        <v>13</v>
      </c>
      <c r="D30" s="4">
        <v>39844.589583333334</v>
      </c>
      <c r="E30" s="1" t="s">
        <v>144</v>
      </c>
      <c r="F30" s="1"/>
      <c r="G30" s="7" t="s">
        <v>15</v>
      </c>
      <c r="H30" s="5" t="s">
        <v>55</v>
      </c>
      <c r="I30" s="1" t="s">
        <v>145</v>
      </c>
      <c r="J30" s="1"/>
      <c r="K30" s="1" t="s">
        <v>146</v>
      </c>
      <c r="L30" s="2" t="s">
        <v>147</v>
      </c>
      <c r="M30" s="1"/>
      <c r="N30" s="1"/>
      <c r="O30" s="1"/>
      <c r="P30" s="1"/>
      <c r="Q30" s="1"/>
      <c r="R30" s="1"/>
      <c r="S30" s="1"/>
      <c r="T30" s="1"/>
      <c r="U30" s="1"/>
      <c r="V30" s="1"/>
      <c r="W30" s="1"/>
      <c r="X30" s="1"/>
      <c r="Y30" s="1"/>
      <c r="Z30" s="1"/>
    </row>
    <row r="31" spans="1:26" ht="33.75" customHeight="1">
      <c r="A31" s="1">
        <v>48</v>
      </c>
      <c r="B31" s="1" t="s">
        <v>148</v>
      </c>
      <c r="C31" s="3" t="s">
        <v>13</v>
      </c>
      <c r="D31" s="4">
        <v>39844.681250000001</v>
      </c>
      <c r="E31" s="1" t="s">
        <v>14</v>
      </c>
      <c r="F31" s="1" t="s">
        <v>149</v>
      </c>
      <c r="G31" s="5" t="s">
        <v>15</v>
      </c>
      <c r="H31" s="5" t="s">
        <v>150</v>
      </c>
      <c r="I31" s="1" t="s">
        <v>151</v>
      </c>
      <c r="J31" s="1"/>
      <c r="K31" s="1"/>
      <c r="L31" s="2" t="s">
        <v>152</v>
      </c>
      <c r="M31" s="1"/>
      <c r="N31" s="1"/>
      <c r="O31" s="1"/>
      <c r="P31" s="1"/>
      <c r="Q31" s="1"/>
      <c r="R31" s="1"/>
      <c r="S31" s="1"/>
      <c r="T31" s="1"/>
      <c r="U31" s="1"/>
      <c r="V31" s="1"/>
      <c r="W31" s="1"/>
      <c r="X31" s="1"/>
      <c r="Y31" s="1"/>
      <c r="Z31" s="1"/>
    </row>
    <row r="32" spans="1:26" ht="33.75" customHeight="1">
      <c r="A32" s="1">
        <v>49</v>
      </c>
      <c r="B32" s="1" t="s">
        <v>153</v>
      </c>
      <c r="C32" s="3" t="s">
        <v>13</v>
      </c>
      <c r="D32" s="4">
        <v>39844.712500000001</v>
      </c>
      <c r="E32" s="1" t="s">
        <v>154</v>
      </c>
      <c r="F32" s="1"/>
      <c r="G32" s="1" t="s">
        <v>64</v>
      </c>
      <c r="H32" s="1" t="s">
        <v>65</v>
      </c>
      <c r="I32" s="1" t="s">
        <v>35</v>
      </c>
      <c r="J32" s="1"/>
      <c r="K32" s="1"/>
      <c r="L32" s="2" t="s">
        <v>155</v>
      </c>
      <c r="M32" s="1"/>
      <c r="N32" s="1"/>
      <c r="O32" s="1"/>
      <c r="P32" s="1"/>
      <c r="Q32" s="1"/>
      <c r="R32" s="1"/>
      <c r="S32" s="1"/>
      <c r="T32" s="1"/>
      <c r="U32" s="1"/>
      <c r="V32" s="1"/>
      <c r="W32" s="1"/>
      <c r="X32" s="1"/>
      <c r="Y32" s="1"/>
      <c r="Z32" s="1"/>
    </row>
    <row r="33" spans="1:26" ht="33.75" customHeight="1">
      <c r="A33" s="1">
        <v>2</v>
      </c>
      <c r="B33" s="1" t="s">
        <v>12</v>
      </c>
      <c r="C33" s="1" t="s">
        <v>156</v>
      </c>
      <c r="D33" s="4">
        <v>39845.528981481482</v>
      </c>
      <c r="E33" s="1" t="s">
        <v>14</v>
      </c>
      <c r="F33" s="1"/>
      <c r="G33" s="5" t="s">
        <v>15</v>
      </c>
      <c r="H33" s="5" t="s">
        <v>16</v>
      </c>
      <c r="I33" s="1" t="s">
        <v>35</v>
      </c>
      <c r="J33" s="1" t="s">
        <v>157</v>
      </c>
      <c r="K33" s="1" t="s">
        <v>158</v>
      </c>
      <c r="L33" s="2" t="s">
        <v>159</v>
      </c>
      <c r="M33" s="1"/>
      <c r="N33" s="1"/>
      <c r="O33" s="1"/>
      <c r="P33" s="1"/>
      <c r="Q33" s="1"/>
      <c r="R33" s="1"/>
      <c r="S33" s="1"/>
      <c r="T33" s="1"/>
      <c r="U33" s="1"/>
      <c r="V33" s="1"/>
      <c r="W33" s="1"/>
      <c r="X33" s="1"/>
      <c r="Y33" s="1"/>
      <c r="Z33" s="1"/>
    </row>
    <row r="34" spans="1:26" ht="33.75" customHeight="1">
      <c r="A34" s="1">
        <v>3</v>
      </c>
      <c r="B34" s="1" t="s">
        <v>12</v>
      </c>
      <c r="C34" s="1" t="s">
        <v>160</v>
      </c>
      <c r="D34" s="4">
        <v>39845.530092592591</v>
      </c>
      <c r="E34" s="1" t="s">
        <v>14</v>
      </c>
      <c r="F34" s="1"/>
      <c r="G34" s="5" t="s">
        <v>15</v>
      </c>
      <c r="H34" s="5" t="s">
        <v>16</v>
      </c>
      <c r="I34" s="1" t="s">
        <v>35</v>
      </c>
      <c r="J34" s="1"/>
      <c r="K34" s="1"/>
      <c r="L34" s="2" t="s">
        <v>161</v>
      </c>
      <c r="M34" s="1"/>
      <c r="N34" s="1"/>
      <c r="O34" s="1"/>
      <c r="P34" s="1"/>
      <c r="Q34" s="1"/>
      <c r="R34" s="1"/>
      <c r="S34" s="1"/>
      <c r="T34" s="1"/>
      <c r="U34" s="1"/>
      <c r="V34" s="1"/>
      <c r="W34" s="1"/>
      <c r="X34" s="1"/>
      <c r="Y34" s="1"/>
      <c r="Z34" s="1"/>
    </row>
    <row r="35" spans="1:26" ht="33.75" customHeight="1">
      <c r="A35" s="1">
        <v>4</v>
      </c>
      <c r="B35" s="1" t="s">
        <v>12</v>
      </c>
      <c r="C35" s="1" t="s">
        <v>162</v>
      </c>
      <c r="D35" s="4">
        <v>39845.530590277776</v>
      </c>
      <c r="E35" s="1" t="s">
        <v>14</v>
      </c>
      <c r="F35" s="1"/>
      <c r="G35" s="5" t="s">
        <v>15</v>
      </c>
      <c r="H35" s="5" t="s">
        <v>16</v>
      </c>
      <c r="I35" s="1" t="s">
        <v>97</v>
      </c>
      <c r="J35" s="1"/>
      <c r="K35" s="1" t="s">
        <v>163</v>
      </c>
      <c r="L35" s="2" t="s">
        <v>164</v>
      </c>
      <c r="M35" s="1"/>
      <c r="N35" s="1"/>
      <c r="O35" s="1"/>
      <c r="P35" s="1"/>
      <c r="Q35" s="1"/>
      <c r="R35" s="1"/>
      <c r="S35" s="1"/>
      <c r="T35" s="1"/>
      <c r="U35" s="1"/>
      <c r="V35" s="1"/>
      <c r="W35" s="1"/>
      <c r="X35" s="1"/>
      <c r="Y35" s="1"/>
      <c r="Z35" s="1"/>
    </row>
    <row r="36" spans="1:26" ht="33.75" customHeight="1">
      <c r="A36" s="1">
        <v>50</v>
      </c>
      <c r="B36" s="1" t="s">
        <v>165</v>
      </c>
      <c r="C36" s="3" t="s">
        <v>13</v>
      </c>
      <c r="D36" s="4">
        <v>39845.607638888891</v>
      </c>
      <c r="E36" s="1" t="s">
        <v>101</v>
      </c>
      <c r="F36" s="1"/>
      <c r="G36" s="1" t="s">
        <v>15</v>
      </c>
      <c r="H36" s="1" t="s">
        <v>50</v>
      </c>
      <c r="I36" s="1" t="s">
        <v>166</v>
      </c>
      <c r="J36" s="1" t="s">
        <v>167</v>
      </c>
      <c r="K36" s="1" t="s">
        <v>168</v>
      </c>
      <c r="L36" s="2" t="s">
        <v>169</v>
      </c>
      <c r="M36" s="1"/>
      <c r="N36" s="1"/>
      <c r="O36" s="1"/>
      <c r="P36" s="1"/>
      <c r="Q36" s="1"/>
      <c r="R36" s="1"/>
      <c r="S36" s="1"/>
      <c r="T36" s="1"/>
      <c r="U36" s="1"/>
      <c r="V36" s="1"/>
      <c r="W36" s="1"/>
      <c r="X36" s="1"/>
      <c r="Y36" s="1"/>
      <c r="Z36" s="1"/>
    </row>
    <row r="37" spans="1:26" ht="33.75" customHeight="1">
      <c r="A37" s="1">
        <v>52</v>
      </c>
      <c r="B37" s="1" t="s">
        <v>170</v>
      </c>
      <c r="C37" s="3" t="s">
        <v>13</v>
      </c>
      <c r="D37" s="4">
        <v>39845.740972222222</v>
      </c>
      <c r="E37" s="1" t="s">
        <v>171</v>
      </c>
      <c r="F37" s="1"/>
      <c r="G37" s="5" t="s">
        <v>26</v>
      </c>
      <c r="H37" s="5" t="s">
        <v>133</v>
      </c>
      <c r="I37" s="1" t="s">
        <v>28</v>
      </c>
      <c r="J37" s="1" t="s">
        <v>134</v>
      </c>
      <c r="K37" s="1" t="s">
        <v>172</v>
      </c>
      <c r="L37" s="2" t="s">
        <v>173</v>
      </c>
      <c r="M37" s="1"/>
      <c r="N37" s="1"/>
      <c r="O37" s="1"/>
      <c r="P37" s="1"/>
      <c r="Q37" s="1"/>
      <c r="R37" s="1"/>
      <c r="S37" s="1"/>
      <c r="T37" s="1"/>
      <c r="U37" s="1"/>
      <c r="V37" s="1"/>
      <c r="W37" s="1"/>
      <c r="X37" s="1"/>
      <c r="Y37" s="1"/>
      <c r="Z37" s="1"/>
    </row>
    <row r="38" spans="1:26" ht="33.75" customHeight="1">
      <c r="A38" s="1">
        <v>1563</v>
      </c>
      <c r="B38" s="1" t="s">
        <v>12</v>
      </c>
      <c r="C38" s="1" t="s">
        <v>174</v>
      </c>
      <c r="D38" s="4">
        <v>39845.799675925926</v>
      </c>
      <c r="E38" s="1" t="s">
        <v>175</v>
      </c>
      <c r="F38" s="1"/>
      <c r="G38" s="5" t="s">
        <v>15</v>
      </c>
      <c r="H38" s="5" t="s">
        <v>16</v>
      </c>
      <c r="I38" s="1" t="s">
        <v>35</v>
      </c>
      <c r="J38" s="1" t="s">
        <v>157</v>
      </c>
      <c r="K38" s="1"/>
      <c r="L38" s="8" t="s">
        <v>176</v>
      </c>
      <c r="M38" s="1"/>
      <c r="N38" s="1"/>
      <c r="O38" s="1"/>
      <c r="P38" s="1"/>
      <c r="Q38" s="1"/>
      <c r="R38" s="1"/>
      <c r="S38" s="1"/>
      <c r="T38" s="1"/>
      <c r="U38" s="1"/>
      <c r="V38" s="1"/>
      <c r="W38" s="1"/>
      <c r="X38" s="1"/>
      <c r="Y38" s="1"/>
      <c r="Z38" s="1"/>
    </row>
    <row r="39" spans="1:26" ht="33.75" customHeight="1">
      <c r="A39" s="1">
        <v>281</v>
      </c>
      <c r="B39" s="1" t="s">
        <v>177</v>
      </c>
      <c r="C39" s="1" t="s">
        <v>156</v>
      </c>
      <c r="D39" s="4">
        <v>39845.837500000001</v>
      </c>
      <c r="E39" s="1" t="s">
        <v>178</v>
      </c>
      <c r="F39" s="1"/>
      <c r="G39" s="5" t="s">
        <v>64</v>
      </c>
      <c r="H39" s="5" t="s">
        <v>179</v>
      </c>
      <c r="I39" s="1" t="s">
        <v>179</v>
      </c>
      <c r="J39" s="1"/>
      <c r="K39" s="1"/>
      <c r="L39" s="2" t="s">
        <v>180</v>
      </c>
      <c r="M39" s="1"/>
      <c r="N39" s="1"/>
      <c r="O39" s="1"/>
      <c r="P39" s="1"/>
      <c r="Q39" s="1"/>
      <c r="R39" s="1"/>
      <c r="S39" s="1"/>
      <c r="T39" s="1"/>
      <c r="U39" s="1"/>
      <c r="V39" s="1"/>
      <c r="W39" s="1"/>
      <c r="X39" s="1"/>
      <c r="Y39" s="1"/>
      <c r="Z39" s="1"/>
    </row>
    <row r="40" spans="1:26" ht="33.75" customHeight="1">
      <c r="A40" s="1">
        <v>282</v>
      </c>
      <c r="B40" s="1" t="s">
        <v>181</v>
      </c>
      <c r="C40" s="1" t="s">
        <v>156</v>
      </c>
      <c r="D40" s="4">
        <v>39845.839583333334</v>
      </c>
      <c r="E40" s="1" t="s">
        <v>178</v>
      </c>
      <c r="F40" s="1"/>
      <c r="G40" s="5" t="s">
        <v>64</v>
      </c>
      <c r="H40" s="5" t="s">
        <v>179</v>
      </c>
      <c r="I40" s="1" t="s">
        <v>179</v>
      </c>
      <c r="J40" s="1"/>
      <c r="K40" s="1" t="s">
        <v>182</v>
      </c>
      <c r="L40" s="2" t="s">
        <v>183</v>
      </c>
      <c r="M40" s="1"/>
      <c r="N40" s="1"/>
      <c r="O40" s="1"/>
      <c r="P40" s="1"/>
      <c r="Q40" s="1"/>
      <c r="R40" s="1"/>
      <c r="S40" s="1"/>
      <c r="T40" s="1"/>
      <c r="U40" s="1"/>
      <c r="V40" s="1"/>
      <c r="W40" s="1"/>
      <c r="X40" s="1"/>
      <c r="Y40" s="1"/>
      <c r="Z40" s="1"/>
    </row>
    <row r="41" spans="1:26" ht="33.75" customHeight="1">
      <c r="A41" s="1">
        <v>54</v>
      </c>
      <c r="B41" s="1" t="s">
        <v>184</v>
      </c>
      <c r="C41" s="3" t="s">
        <v>13</v>
      </c>
      <c r="D41" s="4">
        <v>39845.852083333331</v>
      </c>
      <c r="E41" s="1" t="s">
        <v>54</v>
      </c>
      <c r="F41" s="1" t="s">
        <v>170</v>
      </c>
      <c r="G41" s="5" t="s">
        <v>15</v>
      </c>
      <c r="H41" s="5" t="s">
        <v>150</v>
      </c>
      <c r="I41" s="1" t="s">
        <v>185</v>
      </c>
      <c r="J41" s="1"/>
      <c r="K41" s="1" t="s">
        <v>186</v>
      </c>
      <c r="L41" s="2" t="s">
        <v>187</v>
      </c>
      <c r="M41" s="1"/>
      <c r="N41" s="1"/>
      <c r="O41" s="1"/>
      <c r="P41" s="1"/>
      <c r="Q41" s="1"/>
      <c r="R41" s="1"/>
      <c r="S41" s="1"/>
      <c r="T41" s="1"/>
      <c r="U41" s="1"/>
      <c r="V41" s="1"/>
      <c r="W41" s="1"/>
      <c r="X41" s="1"/>
      <c r="Y41" s="1"/>
      <c r="Z41" s="1"/>
    </row>
    <row r="42" spans="1:26" ht="33.75" customHeight="1">
      <c r="A42" s="1">
        <v>312</v>
      </c>
      <c r="B42" s="1" t="s">
        <v>188</v>
      </c>
      <c r="C42" s="1" t="s">
        <v>160</v>
      </c>
      <c r="D42" s="4">
        <v>39845.874305555553</v>
      </c>
      <c r="E42" s="1" t="s">
        <v>14</v>
      </c>
      <c r="F42" s="1"/>
      <c r="G42" s="5" t="s">
        <v>26</v>
      </c>
      <c r="H42" s="5" t="s">
        <v>133</v>
      </c>
      <c r="I42" s="1" t="s">
        <v>28</v>
      </c>
      <c r="J42" s="1" t="s">
        <v>134</v>
      </c>
      <c r="K42" s="1" t="s">
        <v>189</v>
      </c>
      <c r="L42" s="2" t="s">
        <v>190</v>
      </c>
      <c r="M42" s="1"/>
      <c r="N42" s="1"/>
      <c r="O42" s="1"/>
      <c r="P42" s="1"/>
      <c r="Q42" s="1"/>
      <c r="R42" s="1"/>
      <c r="S42" s="1"/>
      <c r="T42" s="1"/>
      <c r="U42" s="1"/>
      <c r="V42" s="1"/>
      <c r="W42" s="1"/>
      <c r="X42" s="1"/>
      <c r="Y42" s="1"/>
      <c r="Z42" s="1"/>
    </row>
    <row r="43" spans="1:26" ht="33.75" customHeight="1">
      <c r="A43" s="1">
        <v>283</v>
      </c>
      <c r="B43" s="1" t="s">
        <v>191</v>
      </c>
      <c r="C43" s="1" t="s">
        <v>156</v>
      </c>
      <c r="D43" s="4">
        <v>39845.875</v>
      </c>
      <c r="E43" s="1" t="s">
        <v>192</v>
      </c>
      <c r="F43" s="1"/>
      <c r="G43" s="5" t="s">
        <v>15</v>
      </c>
      <c r="H43" s="5" t="s">
        <v>22</v>
      </c>
      <c r="I43" s="1" t="s">
        <v>23</v>
      </c>
      <c r="J43" s="1"/>
      <c r="K43" s="1" t="s">
        <v>193</v>
      </c>
      <c r="L43" s="2" t="s">
        <v>194</v>
      </c>
      <c r="M43" s="1"/>
      <c r="N43" s="1"/>
      <c r="O43" s="1"/>
      <c r="P43" s="1"/>
      <c r="Q43" s="1"/>
      <c r="R43" s="1"/>
      <c r="S43" s="1"/>
      <c r="T43" s="1"/>
      <c r="U43" s="1"/>
      <c r="V43" s="1"/>
      <c r="W43" s="1"/>
      <c r="X43" s="1"/>
      <c r="Y43" s="1"/>
      <c r="Z43" s="1"/>
    </row>
    <row r="44" spans="1:26" ht="33.75" customHeight="1">
      <c r="A44" s="1">
        <v>313</v>
      </c>
      <c r="B44" s="1" t="s">
        <v>195</v>
      </c>
      <c r="C44" s="1" t="s">
        <v>160</v>
      </c>
      <c r="D44" s="4">
        <v>39845.880555555559</v>
      </c>
      <c r="E44" s="1" t="s">
        <v>196</v>
      </c>
      <c r="F44" s="1"/>
      <c r="G44" s="6" t="s">
        <v>78</v>
      </c>
      <c r="H44" s="5" t="s">
        <v>197</v>
      </c>
      <c r="I44" s="1" t="s">
        <v>198</v>
      </c>
      <c r="J44" s="1"/>
      <c r="K44" s="1" t="s">
        <v>199</v>
      </c>
      <c r="L44" s="2" t="s">
        <v>200</v>
      </c>
      <c r="M44" s="1"/>
      <c r="N44" s="1"/>
      <c r="O44" s="1"/>
      <c r="P44" s="1"/>
      <c r="Q44" s="1"/>
      <c r="R44" s="1"/>
      <c r="S44" s="1"/>
      <c r="T44" s="1"/>
      <c r="U44" s="1"/>
      <c r="V44" s="1"/>
      <c r="W44" s="1"/>
      <c r="X44" s="1"/>
      <c r="Y44" s="1"/>
      <c r="Z44" s="1"/>
    </row>
    <row r="45" spans="1:26" ht="33.75" customHeight="1">
      <c r="A45" s="1">
        <v>314</v>
      </c>
      <c r="B45" s="1" t="s">
        <v>201</v>
      </c>
      <c r="C45" s="1" t="s">
        <v>160</v>
      </c>
      <c r="D45" s="4">
        <v>39845.890972222223</v>
      </c>
      <c r="E45" s="1" t="s">
        <v>84</v>
      </c>
      <c r="F45" s="1"/>
      <c r="G45" s="6" t="s">
        <v>78</v>
      </c>
      <c r="H45" s="5" t="s">
        <v>197</v>
      </c>
      <c r="I45" s="1" t="s">
        <v>198</v>
      </c>
      <c r="J45" s="1"/>
      <c r="K45" s="1" t="s">
        <v>202</v>
      </c>
      <c r="L45" s="2" t="s">
        <v>203</v>
      </c>
      <c r="M45" s="1"/>
      <c r="N45" s="1"/>
      <c r="O45" s="1"/>
      <c r="P45" s="1"/>
      <c r="Q45" s="1"/>
      <c r="R45" s="1"/>
      <c r="S45" s="1"/>
      <c r="T45" s="1"/>
      <c r="U45" s="1"/>
      <c r="V45" s="1"/>
      <c r="W45" s="1"/>
      <c r="X45" s="1"/>
      <c r="Y45" s="1"/>
      <c r="Z45" s="1"/>
    </row>
    <row r="46" spans="1:26" ht="33.75" customHeight="1">
      <c r="A46" s="1">
        <v>315</v>
      </c>
      <c r="B46" s="1" t="s">
        <v>204</v>
      </c>
      <c r="C46" s="1" t="s">
        <v>160</v>
      </c>
      <c r="D46" s="4">
        <v>39845.893055555556</v>
      </c>
      <c r="E46" s="1" t="s">
        <v>54</v>
      </c>
      <c r="F46" s="1"/>
      <c r="G46" s="6" t="s">
        <v>78</v>
      </c>
      <c r="H46" s="5" t="s">
        <v>79</v>
      </c>
      <c r="I46" s="1" t="s">
        <v>205</v>
      </c>
      <c r="J46" s="1"/>
      <c r="K46" s="1" t="s">
        <v>206</v>
      </c>
      <c r="L46" s="2" t="s">
        <v>207</v>
      </c>
      <c r="M46" s="1"/>
      <c r="N46" s="1"/>
      <c r="O46" s="1"/>
      <c r="P46" s="1"/>
      <c r="Q46" s="1"/>
      <c r="R46" s="1"/>
      <c r="S46" s="1"/>
      <c r="T46" s="1"/>
      <c r="U46" s="1"/>
      <c r="V46" s="1"/>
      <c r="W46" s="1"/>
      <c r="X46" s="1"/>
      <c r="Y46" s="1"/>
      <c r="Z46" s="1"/>
    </row>
    <row r="47" spans="1:26" ht="33.75" customHeight="1">
      <c r="A47" s="1">
        <v>316</v>
      </c>
      <c r="B47" s="1" t="s">
        <v>208</v>
      </c>
      <c r="C47" s="1" t="s">
        <v>160</v>
      </c>
      <c r="D47" s="4">
        <v>39845.895833333336</v>
      </c>
      <c r="E47" s="1" t="s">
        <v>54</v>
      </c>
      <c r="F47" s="1"/>
      <c r="G47" s="5" t="s">
        <v>33</v>
      </c>
      <c r="H47" s="5" t="s">
        <v>34</v>
      </c>
      <c r="I47" s="1" t="s">
        <v>35</v>
      </c>
      <c r="J47" s="1"/>
      <c r="K47" s="1" t="s">
        <v>209</v>
      </c>
      <c r="L47" s="2" t="s">
        <v>210</v>
      </c>
      <c r="M47" s="1"/>
      <c r="N47" s="1"/>
      <c r="O47" s="1"/>
      <c r="P47" s="1"/>
      <c r="Q47" s="1"/>
      <c r="R47" s="1"/>
      <c r="S47" s="1"/>
      <c r="T47" s="1"/>
      <c r="U47" s="1"/>
      <c r="V47" s="1"/>
      <c r="W47" s="1"/>
      <c r="X47" s="1"/>
      <c r="Y47" s="1"/>
      <c r="Z47" s="1"/>
    </row>
    <row r="48" spans="1:26" ht="33.75" customHeight="1">
      <c r="A48" s="1">
        <v>317</v>
      </c>
      <c r="B48" s="1" t="s">
        <v>211</v>
      </c>
      <c r="C48" s="1" t="s">
        <v>160</v>
      </c>
      <c r="D48" s="4">
        <v>39845.927777777775</v>
      </c>
      <c r="E48" s="1" t="s">
        <v>212</v>
      </c>
      <c r="F48" s="1"/>
      <c r="G48" s="5" t="s">
        <v>15</v>
      </c>
      <c r="H48" s="5" t="s">
        <v>16</v>
      </c>
      <c r="I48" s="1" t="s">
        <v>213</v>
      </c>
      <c r="J48" s="1" t="s">
        <v>214</v>
      </c>
      <c r="K48" s="1" t="s">
        <v>215</v>
      </c>
      <c r="L48" s="2" t="s">
        <v>216</v>
      </c>
      <c r="M48" s="1"/>
      <c r="N48" s="1"/>
      <c r="O48" s="1"/>
      <c r="P48" s="1"/>
      <c r="Q48" s="1"/>
      <c r="R48" s="1"/>
      <c r="S48" s="1"/>
      <c r="T48" s="1"/>
      <c r="U48" s="1"/>
      <c r="V48" s="1"/>
      <c r="W48" s="1"/>
      <c r="X48" s="1"/>
      <c r="Y48" s="1"/>
      <c r="Z48" s="1"/>
    </row>
    <row r="49" spans="1:26" ht="33.75" customHeight="1">
      <c r="A49" s="1">
        <v>318</v>
      </c>
      <c r="B49" s="1" t="s">
        <v>217</v>
      </c>
      <c r="C49" s="1" t="s">
        <v>160</v>
      </c>
      <c r="D49" s="4">
        <v>39846.059027777781</v>
      </c>
      <c r="E49" s="1" t="s">
        <v>14</v>
      </c>
      <c r="F49" s="1" t="s">
        <v>195</v>
      </c>
      <c r="G49" s="5" t="s">
        <v>64</v>
      </c>
      <c r="H49" s="5" t="s">
        <v>218</v>
      </c>
      <c r="I49" s="1" t="s">
        <v>219</v>
      </c>
      <c r="J49" s="1"/>
      <c r="K49" s="1" t="s">
        <v>220</v>
      </c>
      <c r="L49" s="2" t="s">
        <v>221</v>
      </c>
      <c r="M49" s="1"/>
      <c r="N49" s="1"/>
      <c r="O49" s="1"/>
      <c r="P49" s="1"/>
      <c r="Q49" s="1"/>
      <c r="R49" s="1"/>
      <c r="S49" s="1"/>
      <c r="T49" s="1"/>
      <c r="U49" s="1"/>
      <c r="V49" s="1"/>
      <c r="W49" s="1"/>
      <c r="X49" s="1"/>
      <c r="Y49" s="1"/>
      <c r="Z49" s="1"/>
    </row>
    <row r="50" spans="1:26" ht="33.75" customHeight="1">
      <c r="A50" s="1">
        <v>319</v>
      </c>
      <c r="B50" s="1" t="s">
        <v>222</v>
      </c>
      <c r="C50" s="1" t="s">
        <v>160</v>
      </c>
      <c r="D50" s="4">
        <v>39846.063194444447</v>
      </c>
      <c r="E50" s="1" t="s">
        <v>54</v>
      </c>
      <c r="F50" s="1"/>
      <c r="G50" s="6" t="s">
        <v>78</v>
      </c>
      <c r="H50" s="5" t="s">
        <v>223</v>
      </c>
      <c r="I50" s="1" t="s">
        <v>64</v>
      </c>
      <c r="J50" s="1" t="s">
        <v>224</v>
      </c>
      <c r="K50" s="1" t="s">
        <v>225</v>
      </c>
      <c r="L50" s="2" t="s">
        <v>226</v>
      </c>
      <c r="M50" s="1"/>
      <c r="N50" s="1"/>
      <c r="O50" s="1"/>
      <c r="P50" s="1"/>
      <c r="Q50" s="1"/>
      <c r="R50" s="1"/>
      <c r="S50" s="1"/>
      <c r="T50" s="1"/>
      <c r="U50" s="1"/>
      <c r="V50" s="1"/>
      <c r="W50" s="1"/>
      <c r="X50" s="1"/>
      <c r="Y50" s="1"/>
      <c r="Z50" s="1"/>
    </row>
    <row r="51" spans="1:26" ht="33.75" customHeight="1">
      <c r="A51" s="1">
        <v>320</v>
      </c>
      <c r="B51" s="1" t="s">
        <v>227</v>
      </c>
      <c r="C51" s="1" t="s">
        <v>160</v>
      </c>
      <c r="D51" s="4">
        <v>39846.066666666666</v>
      </c>
      <c r="E51" s="1" t="s">
        <v>14</v>
      </c>
      <c r="F51" s="1" t="s">
        <v>204</v>
      </c>
      <c r="G51" s="6" t="s">
        <v>78</v>
      </c>
      <c r="H51" s="5" t="s">
        <v>79</v>
      </c>
      <c r="I51" s="1" t="s">
        <v>228</v>
      </c>
      <c r="J51" s="1"/>
      <c r="K51" s="1"/>
      <c r="L51" s="2" t="s">
        <v>229</v>
      </c>
      <c r="M51" s="1"/>
      <c r="N51" s="1"/>
      <c r="O51" s="1"/>
      <c r="P51" s="1"/>
      <c r="Q51" s="1"/>
      <c r="R51" s="1"/>
      <c r="S51" s="1"/>
      <c r="T51" s="1"/>
      <c r="U51" s="1"/>
      <c r="V51" s="1"/>
      <c r="W51" s="1"/>
      <c r="X51" s="1"/>
      <c r="Y51" s="1"/>
      <c r="Z51" s="1"/>
    </row>
    <row r="52" spans="1:26" ht="33.75" customHeight="1">
      <c r="A52" s="1">
        <v>321</v>
      </c>
      <c r="B52" s="1" t="s">
        <v>230</v>
      </c>
      <c r="C52" s="1" t="s">
        <v>160</v>
      </c>
      <c r="D52" s="4">
        <v>39846.072916666664</v>
      </c>
      <c r="E52" s="1" t="s">
        <v>14</v>
      </c>
      <c r="F52" s="1"/>
      <c r="G52" s="5" t="s">
        <v>15</v>
      </c>
      <c r="H52" s="5" t="s">
        <v>16</v>
      </c>
      <c r="I52" s="1" t="s">
        <v>231</v>
      </c>
      <c r="J52" s="1"/>
      <c r="K52" s="1" t="s">
        <v>232</v>
      </c>
      <c r="L52" s="2" t="s">
        <v>233</v>
      </c>
      <c r="M52" s="1"/>
      <c r="N52" s="1"/>
      <c r="O52" s="1"/>
      <c r="P52" s="1"/>
      <c r="Q52" s="1"/>
      <c r="R52" s="1"/>
      <c r="S52" s="1"/>
      <c r="T52" s="1"/>
      <c r="U52" s="1"/>
      <c r="V52" s="1"/>
      <c r="W52" s="1"/>
      <c r="X52" s="1"/>
      <c r="Y52" s="1"/>
      <c r="Z52" s="1"/>
    </row>
    <row r="53" spans="1:26" ht="33.75" customHeight="1">
      <c r="A53" s="1">
        <v>285</v>
      </c>
      <c r="B53" s="1" t="s">
        <v>234</v>
      </c>
      <c r="C53" s="1" t="s">
        <v>156</v>
      </c>
      <c r="D53" s="4">
        <v>39846.079861111109</v>
      </c>
      <c r="E53" s="1" t="s">
        <v>14</v>
      </c>
      <c r="F53" s="1" t="s">
        <v>191</v>
      </c>
      <c r="G53" s="5" t="s">
        <v>26</v>
      </c>
      <c r="H53" s="5" t="s">
        <v>133</v>
      </c>
      <c r="I53" s="1" t="s">
        <v>28</v>
      </c>
      <c r="J53" s="1" t="s">
        <v>134</v>
      </c>
      <c r="K53" s="1" t="s">
        <v>235</v>
      </c>
      <c r="L53" s="2" t="s">
        <v>236</v>
      </c>
      <c r="M53" s="1"/>
      <c r="N53" s="1"/>
      <c r="O53" s="1"/>
      <c r="P53" s="1"/>
      <c r="Q53" s="1"/>
      <c r="R53" s="1"/>
      <c r="S53" s="1"/>
      <c r="T53" s="1"/>
      <c r="U53" s="1"/>
      <c r="V53" s="1"/>
      <c r="W53" s="1"/>
      <c r="X53" s="1"/>
      <c r="Y53" s="1"/>
      <c r="Z53" s="1"/>
    </row>
    <row r="54" spans="1:26" ht="33.75" customHeight="1">
      <c r="A54" s="1">
        <v>322</v>
      </c>
      <c r="B54" s="1" t="s">
        <v>237</v>
      </c>
      <c r="C54" s="1" t="s">
        <v>160</v>
      </c>
      <c r="D54" s="4">
        <v>39846.095138888886</v>
      </c>
      <c r="E54" s="1" t="s">
        <v>84</v>
      </c>
      <c r="F54" s="1"/>
      <c r="G54" s="5" t="s">
        <v>26</v>
      </c>
      <c r="H54" s="5" t="s">
        <v>133</v>
      </c>
      <c r="I54" s="1" t="s">
        <v>238</v>
      </c>
      <c r="J54" s="1"/>
      <c r="K54" s="1"/>
      <c r="L54" s="2" t="s">
        <v>239</v>
      </c>
      <c r="M54" s="1"/>
      <c r="N54" s="1"/>
      <c r="O54" s="1"/>
      <c r="P54" s="1"/>
      <c r="Q54" s="1"/>
      <c r="R54" s="1"/>
      <c r="S54" s="1"/>
      <c r="T54" s="1"/>
      <c r="U54" s="1"/>
      <c r="V54" s="1"/>
      <c r="W54" s="1"/>
      <c r="X54" s="1"/>
      <c r="Y54" s="1"/>
      <c r="Z54" s="1"/>
    </row>
    <row r="55" spans="1:26" ht="33.75" customHeight="1">
      <c r="A55" s="1">
        <v>323</v>
      </c>
      <c r="B55" s="1" t="s">
        <v>240</v>
      </c>
      <c r="C55" s="1" t="s">
        <v>160</v>
      </c>
      <c r="D55" s="4">
        <v>39846.102083333331</v>
      </c>
      <c r="E55" s="1" t="s">
        <v>54</v>
      </c>
      <c r="F55" s="1" t="s">
        <v>237</v>
      </c>
      <c r="G55" s="6" t="s">
        <v>78</v>
      </c>
      <c r="H55" s="5" t="s">
        <v>79</v>
      </c>
      <c r="I55" s="1" t="s">
        <v>241</v>
      </c>
      <c r="J55" s="1"/>
      <c r="K55" s="1" t="s">
        <v>242</v>
      </c>
      <c r="L55" s="2" t="s">
        <v>243</v>
      </c>
      <c r="M55" s="1"/>
      <c r="N55" s="1"/>
      <c r="O55" s="1"/>
      <c r="P55" s="1"/>
      <c r="Q55" s="1"/>
      <c r="R55" s="1"/>
      <c r="S55" s="1"/>
      <c r="T55" s="1"/>
      <c r="U55" s="1"/>
      <c r="V55" s="1"/>
      <c r="W55" s="1"/>
      <c r="X55" s="1"/>
      <c r="Y55" s="1"/>
      <c r="Z55" s="1"/>
    </row>
    <row r="56" spans="1:26" ht="33.75" customHeight="1">
      <c r="A56" s="1">
        <v>56</v>
      </c>
      <c r="B56" s="1" t="s">
        <v>244</v>
      </c>
      <c r="C56" s="3" t="s">
        <v>13</v>
      </c>
      <c r="D56" s="4">
        <v>39846.132638888892</v>
      </c>
      <c r="E56" s="1" t="s">
        <v>54</v>
      </c>
      <c r="F56" s="1"/>
      <c r="G56" s="1" t="s">
        <v>15</v>
      </c>
      <c r="H56" s="1" t="s">
        <v>50</v>
      </c>
      <c r="I56" s="1" t="s">
        <v>245</v>
      </c>
      <c r="J56" s="1"/>
      <c r="K56" s="1" t="s">
        <v>246</v>
      </c>
      <c r="L56" s="2" t="s">
        <v>247</v>
      </c>
      <c r="M56" s="1"/>
      <c r="N56" s="1"/>
      <c r="O56" s="1"/>
      <c r="P56" s="1"/>
      <c r="Q56" s="1"/>
      <c r="R56" s="1"/>
      <c r="S56" s="1"/>
      <c r="T56" s="1"/>
      <c r="U56" s="1"/>
      <c r="V56" s="1"/>
      <c r="W56" s="1"/>
      <c r="X56" s="1"/>
      <c r="Y56" s="1"/>
      <c r="Z56" s="1"/>
    </row>
    <row r="57" spans="1:26" ht="33.75" customHeight="1">
      <c r="A57" s="1">
        <v>324</v>
      </c>
      <c r="B57" s="1" t="s">
        <v>248</v>
      </c>
      <c r="C57" s="1" t="s">
        <v>160</v>
      </c>
      <c r="D57" s="4">
        <v>39846.172222222223</v>
      </c>
      <c r="E57" s="1" t="s">
        <v>54</v>
      </c>
      <c r="F57" s="1" t="s">
        <v>227</v>
      </c>
      <c r="G57" s="5" t="s">
        <v>78</v>
      </c>
      <c r="H57" s="1" t="s">
        <v>223</v>
      </c>
      <c r="I57" s="1" t="s">
        <v>64</v>
      </c>
      <c r="J57" s="1" t="s">
        <v>224</v>
      </c>
      <c r="K57" s="1" t="s">
        <v>249</v>
      </c>
      <c r="L57" s="2" t="s">
        <v>250</v>
      </c>
      <c r="M57" s="1"/>
      <c r="N57" s="1"/>
      <c r="O57" s="1"/>
      <c r="P57" s="1"/>
      <c r="Q57" s="1"/>
      <c r="R57" s="1"/>
      <c r="S57" s="1"/>
      <c r="T57" s="1"/>
      <c r="U57" s="1"/>
      <c r="V57" s="1"/>
      <c r="W57" s="1"/>
      <c r="X57" s="1"/>
      <c r="Y57" s="1"/>
      <c r="Z57" s="1"/>
    </row>
    <row r="58" spans="1:26" ht="33.75" customHeight="1">
      <c r="A58" s="1">
        <v>325</v>
      </c>
      <c r="B58" s="1" t="s">
        <v>251</v>
      </c>
      <c r="C58" s="1" t="s">
        <v>160</v>
      </c>
      <c r="D58" s="4">
        <v>39846.226388888892</v>
      </c>
      <c r="E58" s="1" t="s">
        <v>196</v>
      </c>
      <c r="F58" s="1" t="s">
        <v>248</v>
      </c>
      <c r="G58" s="5" t="s">
        <v>15</v>
      </c>
      <c r="H58" s="5" t="s">
        <v>150</v>
      </c>
      <c r="I58" s="1" t="s">
        <v>252</v>
      </c>
      <c r="J58" s="1"/>
      <c r="K58" s="1"/>
      <c r="L58" s="2" t="s">
        <v>253</v>
      </c>
      <c r="M58" s="1"/>
      <c r="N58" s="1"/>
      <c r="O58" s="1"/>
      <c r="P58" s="1"/>
      <c r="Q58" s="1"/>
      <c r="R58" s="1"/>
      <c r="S58" s="1"/>
      <c r="T58" s="1"/>
      <c r="U58" s="1"/>
      <c r="V58" s="1"/>
      <c r="W58" s="1"/>
      <c r="X58" s="1"/>
      <c r="Y58" s="1"/>
      <c r="Z58" s="1"/>
    </row>
    <row r="59" spans="1:26" ht="33.75" customHeight="1">
      <c r="A59" s="1">
        <v>326</v>
      </c>
      <c r="B59" s="1" t="s">
        <v>254</v>
      </c>
      <c r="C59" s="1" t="s">
        <v>160</v>
      </c>
      <c r="D59" s="4">
        <v>39846.313888888886</v>
      </c>
      <c r="E59" s="1" t="s">
        <v>255</v>
      </c>
      <c r="F59" s="1"/>
      <c r="G59" s="5" t="s">
        <v>26</v>
      </c>
      <c r="H59" s="5" t="s">
        <v>133</v>
      </c>
      <c r="I59" s="1" t="s">
        <v>28</v>
      </c>
      <c r="J59" s="1" t="s">
        <v>134</v>
      </c>
      <c r="K59" s="1"/>
      <c r="L59" s="2" t="s">
        <v>256</v>
      </c>
      <c r="M59" s="1"/>
      <c r="N59" s="1"/>
      <c r="O59" s="1"/>
      <c r="P59" s="1"/>
      <c r="Q59" s="1"/>
      <c r="R59" s="1"/>
      <c r="S59" s="1"/>
      <c r="T59" s="1"/>
      <c r="U59" s="1"/>
      <c r="V59" s="1"/>
      <c r="W59" s="1"/>
      <c r="X59" s="1"/>
      <c r="Y59" s="1"/>
      <c r="Z59" s="1"/>
    </row>
    <row r="60" spans="1:26" ht="33.75" customHeight="1">
      <c r="A60" s="1">
        <v>327</v>
      </c>
      <c r="B60" s="1" t="s">
        <v>257</v>
      </c>
      <c r="C60" s="1" t="s">
        <v>160</v>
      </c>
      <c r="D60" s="4">
        <v>39846.333333333336</v>
      </c>
      <c r="E60" s="1" t="s">
        <v>54</v>
      </c>
      <c r="F60" s="1" t="s">
        <v>258</v>
      </c>
      <c r="G60" s="5" t="s">
        <v>26</v>
      </c>
      <c r="H60" s="5" t="s">
        <v>27</v>
      </c>
      <c r="I60" s="1" t="s">
        <v>28</v>
      </c>
      <c r="J60" s="1" t="s">
        <v>259</v>
      </c>
      <c r="K60" s="1" t="s">
        <v>260</v>
      </c>
      <c r="L60" s="2" t="s">
        <v>261</v>
      </c>
      <c r="M60" s="1"/>
      <c r="N60" s="1"/>
      <c r="O60" s="1"/>
      <c r="P60" s="1"/>
      <c r="Q60" s="1"/>
      <c r="R60" s="1"/>
      <c r="S60" s="1"/>
      <c r="T60" s="1"/>
      <c r="U60" s="1"/>
      <c r="V60" s="1"/>
      <c r="W60" s="1"/>
      <c r="X60" s="1"/>
      <c r="Y60" s="1"/>
      <c r="Z60" s="1"/>
    </row>
    <row r="61" spans="1:26" ht="33.75" customHeight="1">
      <c r="A61" s="1">
        <v>328</v>
      </c>
      <c r="B61" s="1" t="s">
        <v>262</v>
      </c>
      <c r="C61" s="1" t="s">
        <v>160</v>
      </c>
      <c r="D61" s="4">
        <v>39846.365277777775</v>
      </c>
      <c r="E61" s="1" t="s">
        <v>54</v>
      </c>
      <c r="F61" s="1"/>
      <c r="G61" s="1" t="s">
        <v>64</v>
      </c>
      <c r="H61" s="1" t="s">
        <v>263</v>
      </c>
      <c r="I61" s="1" t="s">
        <v>238</v>
      </c>
      <c r="J61" s="1"/>
      <c r="K61" s="1" t="s">
        <v>264</v>
      </c>
      <c r="L61" s="2" t="s">
        <v>265</v>
      </c>
      <c r="M61" s="1"/>
      <c r="N61" s="1"/>
      <c r="O61" s="1"/>
      <c r="P61" s="1"/>
      <c r="Q61" s="1"/>
      <c r="R61" s="1"/>
      <c r="S61" s="1"/>
      <c r="T61" s="1"/>
      <c r="U61" s="1"/>
      <c r="V61" s="1"/>
      <c r="W61" s="1"/>
      <c r="X61" s="1"/>
      <c r="Y61" s="1"/>
      <c r="Z61" s="1"/>
    </row>
    <row r="62" spans="1:26" ht="33.75" customHeight="1">
      <c r="A62" s="1">
        <v>329</v>
      </c>
      <c r="B62" s="1" t="s">
        <v>266</v>
      </c>
      <c r="C62" s="1" t="s">
        <v>160</v>
      </c>
      <c r="D62" s="4">
        <v>39846.375694444447</v>
      </c>
      <c r="E62" s="1" t="s">
        <v>54</v>
      </c>
      <c r="F62" s="1"/>
      <c r="G62" s="6" t="s">
        <v>78</v>
      </c>
      <c r="H62" s="5" t="s">
        <v>197</v>
      </c>
      <c r="I62" s="1" t="s">
        <v>267</v>
      </c>
      <c r="J62" s="1"/>
      <c r="K62" s="1" t="s">
        <v>268</v>
      </c>
      <c r="L62" s="2" t="s">
        <v>269</v>
      </c>
      <c r="M62" s="1"/>
      <c r="N62" s="1"/>
      <c r="O62" s="1"/>
      <c r="P62" s="1"/>
      <c r="Q62" s="1"/>
      <c r="R62" s="1"/>
      <c r="S62" s="1"/>
      <c r="T62" s="1"/>
      <c r="U62" s="1"/>
      <c r="V62" s="1"/>
      <c r="W62" s="1"/>
      <c r="X62" s="1"/>
      <c r="Y62" s="1"/>
      <c r="Z62" s="1"/>
    </row>
    <row r="63" spans="1:26" ht="33.75" customHeight="1">
      <c r="A63" s="1">
        <v>330</v>
      </c>
      <c r="B63" s="1" t="s">
        <v>270</v>
      </c>
      <c r="C63" s="1" t="s">
        <v>160</v>
      </c>
      <c r="D63" s="4">
        <v>39846.384027777778</v>
      </c>
      <c r="E63" s="1" t="s">
        <v>14</v>
      </c>
      <c r="F63" s="1" t="s">
        <v>266</v>
      </c>
      <c r="G63" s="5" t="s">
        <v>64</v>
      </c>
      <c r="H63" s="5" t="s">
        <v>65</v>
      </c>
      <c r="I63" s="1" t="s">
        <v>35</v>
      </c>
      <c r="J63" s="1"/>
      <c r="K63" s="1" t="s">
        <v>271</v>
      </c>
      <c r="L63" s="2" t="s">
        <v>272</v>
      </c>
      <c r="M63" s="1"/>
      <c r="N63" s="1"/>
      <c r="O63" s="1"/>
      <c r="P63" s="1"/>
      <c r="Q63" s="1"/>
      <c r="R63" s="1"/>
      <c r="S63" s="1"/>
      <c r="T63" s="1"/>
      <c r="U63" s="1"/>
      <c r="V63" s="1"/>
      <c r="W63" s="1"/>
      <c r="X63" s="1"/>
      <c r="Y63" s="1"/>
      <c r="Z63" s="1"/>
    </row>
    <row r="64" spans="1:26" ht="33.75" customHeight="1">
      <c r="A64" s="1">
        <v>331</v>
      </c>
      <c r="B64" s="1" t="s">
        <v>273</v>
      </c>
      <c r="C64" s="1" t="s">
        <v>160</v>
      </c>
      <c r="D64" s="4">
        <v>39846.386805555558</v>
      </c>
      <c r="E64" s="1" t="s">
        <v>14</v>
      </c>
      <c r="F64" s="1"/>
      <c r="G64" s="5" t="s">
        <v>15</v>
      </c>
      <c r="H64" s="5" t="s">
        <v>150</v>
      </c>
      <c r="I64" s="1" t="s">
        <v>274</v>
      </c>
      <c r="J64" s="1"/>
      <c r="K64" s="1"/>
      <c r="L64" s="2" t="s">
        <v>275</v>
      </c>
      <c r="M64" s="1"/>
      <c r="N64" s="1"/>
      <c r="O64" s="1"/>
      <c r="P64" s="1"/>
      <c r="Q64" s="1"/>
      <c r="R64" s="1"/>
      <c r="S64" s="1"/>
      <c r="T64" s="1"/>
      <c r="U64" s="1"/>
      <c r="V64" s="1"/>
      <c r="W64" s="1"/>
      <c r="X64" s="1"/>
      <c r="Y64" s="1"/>
      <c r="Z64" s="1"/>
    </row>
    <row r="65" spans="1:26" ht="33.75" customHeight="1">
      <c r="A65" s="1">
        <v>332</v>
      </c>
      <c r="B65" s="1" t="s">
        <v>276</v>
      </c>
      <c r="C65" s="1" t="s">
        <v>160</v>
      </c>
      <c r="D65" s="4">
        <v>39846.406944444447</v>
      </c>
      <c r="E65" s="1" t="s">
        <v>14</v>
      </c>
      <c r="F65" s="1" t="s">
        <v>204</v>
      </c>
      <c r="G65" s="6" t="s">
        <v>78</v>
      </c>
      <c r="H65" s="5" t="s">
        <v>197</v>
      </c>
      <c r="I65" s="1" t="s">
        <v>277</v>
      </c>
      <c r="J65" s="1" t="s">
        <v>278</v>
      </c>
      <c r="K65" s="1" t="s">
        <v>279</v>
      </c>
      <c r="L65" s="2" t="s">
        <v>280</v>
      </c>
      <c r="M65" s="1"/>
      <c r="N65" s="1"/>
      <c r="O65" s="1"/>
      <c r="P65" s="1"/>
      <c r="Q65" s="1"/>
      <c r="R65" s="1"/>
      <c r="S65" s="1"/>
      <c r="T65" s="1"/>
      <c r="U65" s="1"/>
      <c r="V65" s="1"/>
      <c r="W65" s="1"/>
      <c r="X65" s="1"/>
      <c r="Y65" s="1"/>
      <c r="Z65" s="1"/>
    </row>
    <row r="66" spans="1:26" ht="33.75" customHeight="1">
      <c r="A66" s="1">
        <v>333</v>
      </c>
      <c r="B66" s="1" t="s">
        <v>281</v>
      </c>
      <c r="C66" s="1" t="s">
        <v>160</v>
      </c>
      <c r="D66" s="4">
        <v>39846.425694444442</v>
      </c>
      <c r="E66" s="1" t="s">
        <v>14</v>
      </c>
      <c r="F66" s="1" t="s">
        <v>276</v>
      </c>
      <c r="G66" s="5" t="s">
        <v>64</v>
      </c>
      <c r="H66" s="5" t="s">
        <v>282</v>
      </c>
      <c r="I66" s="1" t="s">
        <v>283</v>
      </c>
      <c r="J66" s="1"/>
      <c r="K66" s="1" t="s">
        <v>284</v>
      </c>
      <c r="L66" s="2" t="s">
        <v>285</v>
      </c>
      <c r="M66" s="1"/>
      <c r="N66" s="1"/>
      <c r="O66" s="1"/>
      <c r="P66" s="1"/>
      <c r="Q66" s="1"/>
      <c r="R66" s="1"/>
      <c r="S66" s="1"/>
      <c r="T66" s="1"/>
      <c r="U66" s="1"/>
      <c r="V66" s="1"/>
      <c r="W66" s="1"/>
      <c r="X66" s="1"/>
      <c r="Y66" s="1"/>
      <c r="Z66" s="1"/>
    </row>
    <row r="67" spans="1:26" ht="33.75" customHeight="1">
      <c r="A67" s="1">
        <v>334</v>
      </c>
      <c r="B67" s="1" t="s">
        <v>286</v>
      </c>
      <c r="C67" s="1" t="s">
        <v>160</v>
      </c>
      <c r="D67" s="4">
        <v>39846.459722222222</v>
      </c>
      <c r="E67" s="1" t="s">
        <v>14</v>
      </c>
      <c r="F67" s="1" t="s">
        <v>195</v>
      </c>
      <c r="G67" s="6" t="s">
        <v>78</v>
      </c>
      <c r="H67" s="5" t="s">
        <v>223</v>
      </c>
      <c r="I67" s="1" t="s">
        <v>287</v>
      </c>
      <c r="J67" s="1"/>
      <c r="K67" s="1" t="s">
        <v>288</v>
      </c>
      <c r="L67" s="2" t="s">
        <v>289</v>
      </c>
      <c r="M67" s="1"/>
      <c r="N67" s="1"/>
      <c r="O67" s="1"/>
      <c r="P67" s="1"/>
      <c r="Q67" s="1"/>
      <c r="R67" s="1"/>
      <c r="S67" s="1"/>
      <c r="T67" s="1"/>
      <c r="U67" s="1"/>
      <c r="V67" s="1"/>
      <c r="W67" s="1"/>
      <c r="X67" s="1"/>
      <c r="Y67" s="1"/>
      <c r="Z67" s="1"/>
    </row>
    <row r="68" spans="1:26" ht="33.75" customHeight="1">
      <c r="A68" s="1">
        <v>286</v>
      </c>
      <c r="B68" s="1" t="s">
        <v>290</v>
      </c>
      <c r="C68" s="1" t="s">
        <v>156</v>
      </c>
      <c r="D68" s="4">
        <v>39846.509027777778</v>
      </c>
      <c r="E68" s="1" t="s">
        <v>14</v>
      </c>
      <c r="F68" s="1"/>
      <c r="G68" s="1" t="s">
        <v>15</v>
      </c>
      <c r="H68" s="1" t="s">
        <v>50</v>
      </c>
      <c r="I68" s="1" t="s">
        <v>166</v>
      </c>
      <c r="J68" s="1"/>
      <c r="K68" s="1" t="s">
        <v>291</v>
      </c>
      <c r="L68" s="2" t="s">
        <v>292</v>
      </c>
      <c r="M68" s="1"/>
      <c r="N68" s="1"/>
      <c r="O68" s="1"/>
      <c r="P68" s="1"/>
      <c r="Q68" s="1"/>
      <c r="R68" s="1"/>
      <c r="S68" s="1"/>
      <c r="T68" s="1"/>
      <c r="U68" s="1"/>
      <c r="V68" s="1"/>
      <c r="W68" s="1"/>
      <c r="X68" s="1"/>
      <c r="Y68" s="1"/>
      <c r="Z68" s="1"/>
    </row>
    <row r="69" spans="1:26" ht="33.75" customHeight="1">
      <c r="A69" s="1">
        <v>335</v>
      </c>
      <c r="B69" s="1" t="s">
        <v>293</v>
      </c>
      <c r="C69" s="1" t="s">
        <v>160</v>
      </c>
      <c r="D69" s="4">
        <v>39846.53125</v>
      </c>
      <c r="E69" s="1" t="s">
        <v>14</v>
      </c>
      <c r="F69" s="1" t="s">
        <v>294</v>
      </c>
      <c r="G69" s="1" t="s">
        <v>64</v>
      </c>
      <c r="H69" s="1" t="s">
        <v>263</v>
      </c>
      <c r="I69" s="1" t="s">
        <v>295</v>
      </c>
      <c r="J69" s="1"/>
      <c r="K69" s="1" t="s">
        <v>296</v>
      </c>
      <c r="L69" s="2" t="s">
        <v>297</v>
      </c>
      <c r="M69" s="1"/>
      <c r="N69" s="1"/>
      <c r="O69" s="1"/>
      <c r="P69" s="1"/>
      <c r="Q69" s="1"/>
      <c r="R69" s="1"/>
      <c r="S69" s="1"/>
      <c r="T69" s="1"/>
      <c r="U69" s="1"/>
      <c r="V69" s="1"/>
      <c r="W69" s="1"/>
      <c r="X69" s="1"/>
      <c r="Y69" s="1"/>
      <c r="Z69" s="1"/>
    </row>
    <row r="70" spans="1:26" ht="33.75" customHeight="1">
      <c r="A70" s="1">
        <v>336</v>
      </c>
      <c r="B70" s="1" t="s">
        <v>298</v>
      </c>
      <c r="C70" s="1" t="s">
        <v>160</v>
      </c>
      <c r="D70" s="4">
        <v>39846.572222222225</v>
      </c>
      <c r="E70" s="1" t="s">
        <v>14</v>
      </c>
      <c r="F70" s="1"/>
      <c r="G70" s="1" t="s">
        <v>64</v>
      </c>
      <c r="H70" s="1" t="s">
        <v>263</v>
      </c>
      <c r="I70" s="1" t="s">
        <v>299</v>
      </c>
      <c r="J70" s="1"/>
      <c r="K70" s="1" t="s">
        <v>300</v>
      </c>
      <c r="L70" s="2" t="s">
        <v>301</v>
      </c>
      <c r="M70" s="1"/>
      <c r="N70" s="1"/>
      <c r="O70" s="1"/>
      <c r="P70" s="1"/>
      <c r="Q70" s="1"/>
      <c r="R70" s="1"/>
      <c r="S70" s="1"/>
      <c r="T70" s="1"/>
      <c r="U70" s="1"/>
      <c r="V70" s="1"/>
      <c r="W70" s="1"/>
      <c r="X70" s="1"/>
      <c r="Y70" s="1"/>
      <c r="Z70" s="1"/>
    </row>
    <row r="71" spans="1:26" ht="33.75" customHeight="1">
      <c r="A71" s="1">
        <v>58</v>
      </c>
      <c r="B71" s="1" t="s">
        <v>302</v>
      </c>
      <c r="C71" s="3" t="s">
        <v>13</v>
      </c>
      <c r="D71" s="4">
        <v>39846.59097222222</v>
      </c>
      <c r="E71" s="1" t="s">
        <v>101</v>
      </c>
      <c r="F71" s="1"/>
      <c r="G71" s="5" t="s">
        <v>15</v>
      </c>
      <c r="H71" s="5" t="s">
        <v>50</v>
      </c>
      <c r="I71" s="1" t="s">
        <v>166</v>
      </c>
      <c r="J71" s="1"/>
      <c r="K71" s="1"/>
      <c r="L71" s="2" t="s">
        <v>303</v>
      </c>
      <c r="M71" s="1"/>
      <c r="N71" s="1"/>
      <c r="O71" s="1"/>
      <c r="P71" s="1"/>
      <c r="Q71" s="1"/>
      <c r="R71" s="1"/>
      <c r="S71" s="1"/>
      <c r="T71" s="1"/>
      <c r="U71" s="1"/>
      <c r="V71" s="1"/>
      <c r="W71" s="1"/>
      <c r="X71" s="1"/>
      <c r="Y71" s="1"/>
      <c r="Z71" s="1"/>
    </row>
    <row r="72" spans="1:26" ht="33.75" customHeight="1">
      <c r="A72" s="1">
        <v>337</v>
      </c>
      <c r="B72" s="1" t="s">
        <v>304</v>
      </c>
      <c r="C72" s="1" t="s">
        <v>160</v>
      </c>
      <c r="D72" s="4">
        <v>39846.637499999997</v>
      </c>
      <c r="E72" s="1" t="s">
        <v>14</v>
      </c>
      <c r="F72" s="1" t="s">
        <v>266</v>
      </c>
      <c r="G72" s="1" t="s">
        <v>64</v>
      </c>
      <c r="H72" s="1" t="s">
        <v>263</v>
      </c>
      <c r="I72" s="1" t="s">
        <v>238</v>
      </c>
      <c r="J72" s="1"/>
      <c r="K72" s="1" t="s">
        <v>305</v>
      </c>
      <c r="L72" s="2" t="s">
        <v>306</v>
      </c>
      <c r="M72" s="1"/>
      <c r="N72" s="1"/>
      <c r="O72" s="1"/>
      <c r="P72" s="1"/>
      <c r="Q72" s="1"/>
      <c r="R72" s="1"/>
      <c r="S72" s="1"/>
      <c r="T72" s="1"/>
      <c r="U72" s="1"/>
      <c r="V72" s="1"/>
      <c r="W72" s="1"/>
      <c r="X72" s="1"/>
      <c r="Y72" s="1"/>
      <c r="Z72" s="1"/>
    </row>
    <row r="73" spans="1:26" ht="33.75" customHeight="1">
      <c r="A73" s="1">
        <v>338</v>
      </c>
      <c r="B73" s="1" t="s">
        <v>307</v>
      </c>
      <c r="C73" s="1" t="s">
        <v>160</v>
      </c>
      <c r="D73" s="4">
        <v>39846.647916666669</v>
      </c>
      <c r="E73" s="1" t="s">
        <v>14</v>
      </c>
      <c r="F73" s="1" t="s">
        <v>281</v>
      </c>
      <c r="G73" s="5" t="s">
        <v>26</v>
      </c>
      <c r="H73" s="5" t="s">
        <v>133</v>
      </c>
      <c r="I73" s="1" t="s">
        <v>28</v>
      </c>
      <c r="J73" s="1" t="s">
        <v>134</v>
      </c>
      <c r="K73" s="1" t="s">
        <v>308</v>
      </c>
      <c r="L73" s="2" t="s">
        <v>309</v>
      </c>
      <c r="M73" s="1"/>
      <c r="N73" s="1"/>
      <c r="O73" s="1"/>
      <c r="P73" s="1"/>
      <c r="Q73" s="1"/>
      <c r="R73" s="1"/>
      <c r="S73" s="1"/>
      <c r="T73" s="1"/>
      <c r="U73" s="1"/>
      <c r="V73" s="1"/>
      <c r="W73" s="1"/>
      <c r="X73" s="1"/>
      <c r="Y73" s="1"/>
      <c r="Z73" s="1"/>
    </row>
    <row r="74" spans="1:26" ht="33.75" customHeight="1">
      <c r="A74" s="1">
        <v>339</v>
      </c>
      <c r="B74" s="1" t="s">
        <v>310</v>
      </c>
      <c r="C74" s="1" t="s">
        <v>160</v>
      </c>
      <c r="D74" s="4">
        <v>39846.657638888886</v>
      </c>
      <c r="E74" s="1" t="s">
        <v>14</v>
      </c>
      <c r="F74" s="1" t="s">
        <v>307</v>
      </c>
      <c r="G74" s="5" t="s">
        <v>26</v>
      </c>
      <c r="H74" s="5" t="s">
        <v>133</v>
      </c>
      <c r="I74" s="1" t="s">
        <v>28</v>
      </c>
      <c r="J74" s="1" t="s">
        <v>134</v>
      </c>
      <c r="K74" s="1" t="s">
        <v>311</v>
      </c>
      <c r="L74" s="2" t="s">
        <v>312</v>
      </c>
      <c r="M74" s="1"/>
      <c r="N74" s="1"/>
      <c r="O74" s="1"/>
      <c r="P74" s="1"/>
      <c r="Q74" s="1"/>
      <c r="R74" s="1"/>
      <c r="S74" s="1"/>
      <c r="T74" s="1"/>
      <c r="U74" s="1"/>
      <c r="V74" s="1"/>
      <c r="W74" s="1"/>
      <c r="X74" s="1"/>
      <c r="Y74" s="1"/>
      <c r="Z74" s="1"/>
    </row>
    <row r="75" spans="1:26" ht="33.75" customHeight="1">
      <c r="A75" s="1">
        <v>340</v>
      </c>
      <c r="B75" s="1" t="s">
        <v>313</v>
      </c>
      <c r="C75" s="1" t="s">
        <v>160</v>
      </c>
      <c r="D75" s="4">
        <v>39846.677777777775</v>
      </c>
      <c r="E75" s="1" t="s">
        <v>314</v>
      </c>
      <c r="F75" s="1"/>
      <c r="G75" s="1" t="s">
        <v>64</v>
      </c>
      <c r="H75" s="1" t="s">
        <v>263</v>
      </c>
      <c r="I75" s="1" t="s">
        <v>315</v>
      </c>
      <c r="J75" s="1" t="s">
        <v>316</v>
      </c>
      <c r="K75" s="1" t="s">
        <v>317</v>
      </c>
      <c r="L75" s="2" t="s">
        <v>318</v>
      </c>
      <c r="M75" s="1"/>
      <c r="N75" s="1"/>
      <c r="O75" s="1"/>
      <c r="P75" s="1"/>
      <c r="Q75" s="1"/>
      <c r="R75" s="1"/>
      <c r="S75" s="1"/>
      <c r="T75" s="1"/>
      <c r="U75" s="1"/>
      <c r="V75" s="1"/>
      <c r="W75" s="1"/>
      <c r="X75" s="1"/>
      <c r="Y75" s="1"/>
      <c r="Z75" s="1"/>
    </row>
    <row r="76" spans="1:26" ht="33.75" customHeight="1">
      <c r="A76" s="1">
        <v>341</v>
      </c>
      <c r="B76" s="1" t="s">
        <v>319</v>
      </c>
      <c r="C76" s="1" t="s">
        <v>160</v>
      </c>
      <c r="D76" s="4">
        <v>39846.690972222219</v>
      </c>
      <c r="E76" s="1" t="s">
        <v>320</v>
      </c>
      <c r="F76" s="1" t="s">
        <v>293</v>
      </c>
      <c r="G76" s="1" t="s">
        <v>64</v>
      </c>
      <c r="H76" s="1" t="s">
        <v>263</v>
      </c>
      <c r="I76" s="1" t="s">
        <v>321</v>
      </c>
      <c r="J76" s="1" t="s">
        <v>322</v>
      </c>
      <c r="K76" s="1"/>
      <c r="L76" s="2" t="s">
        <v>323</v>
      </c>
      <c r="M76" s="1"/>
      <c r="N76" s="1"/>
      <c r="O76" s="1"/>
      <c r="P76" s="1"/>
      <c r="Q76" s="1"/>
      <c r="R76" s="1"/>
      <c r="S76" s="1"/>
      <c r="T76" s="1"/>
      <c r="U76" s="1"/>
      <c r="V76" s="1"/>
      <c r="W76" s="1"/>
      <c r="X76" s="1"/>
      <c r="Y76" s="1"/>
      <c r="Z76" s="1"/>
    </row>
    <row r="77" spans="1:26" ht="33.75" customHeight="1">
      <c r="A77" s="1">
        <v>342</v>
      </c>
      <c r="B77" s="1" t="s">
        <v>324</v>
      </c>
      <c r="C77" s="1" t="s">
        <v>160</v>
      </c>
      <c r="D77" s="4">
        <v>39846.697916666664</v>
      </c>
      <c r="E77" s="1" t="s">
        <v>14</v>
      </c>
      <c r="F77" s="1" t="s">
        <v>313</v>
      </c>
      <c r="G77" s="1" t="s">
        <v>64</v>
      </c>
      <c r="H77" s="1" t="s">
        <v>263</v>
      </c>
      <c r="I77" s="1" t="s">
        <v>325</v>
      </c>
      <c r="J77" s="1"/>
      <c r="K77" s="1"/>
      <c r="L77" s="2" t="s">
        <v>326</v>
      </c>
      <c r="M77" s="1"/>
      <c r="N77" s="1"/>
      <c r="O77" s="1"/>
      <c r="P77" s="1"/>
      <c r="Q77" s="1"/>
      <c r="R77" s="1"/>
      <c r="S77" s="1"/>
      <c r="T77" s="1"/>
      <c r="U77" s="1"/>
      <c r="V77" s="1"/>
      <c r="W77" s="1"/>
      <c r="X77" s="1"/>
      <c r="Y77" s="1"/>
      <c r="Z77" s="1"/>
    </row>
    <row r="78" spans="1:26" ht="33.75" customHeight="1">
      <c r="A78" s="1">
        <v>343</v>
      </c>
      <c r="B78" s="1" t="s">
        <v>327</v>
      </c>
      <c r="C78" s="1" t="s">
        <v>160</v>
      </c>
      <c r="D78" s="4">
        <v>39846.697916666664</v>
      </c>
      <c r="E78" s="1" t="s">
        <v>320</v>
      </c>
      <c r="F78" s="1" t="s">
        <v>319</v>
      </c>
      <c r="G78" s="1" t="s">
        <v>64</v>
      </c>
      <c r="H78" s="1" t="s">
        <v>263</v>
      </c>
      <c r="I78" s="1" t="s">
        <v>328</v>
      </c>
      <c r="J78" s="1"/>
      <c r="K78" s="1" t="s">
        <v>317</v>
      </c>
      <c r="L78" s="2" t="s">
        <v>329</v>
      </c>
      <c r="M78" s="1"/>
      <c r="N78" s="1"/>
      <c r="O78" s="1"/>
      <c r="P78" s="1"/>
      <c r="Q78" s="1"/>
      <c r="R78" s="1"/>
      <c r="S78" s="1"/>
      <c r="T78" s="1"/>
      <c r="U78" s="1"/>
      <c r="V78" s="1"/>
      <c r="W78" s="1"/>
      <c r="X78" s="1"/>
      <c r="Y78" s="1"/>
      <c r="Z78" s="1"/>
    </row>
    <row r="79" spans="1:26" ht="33.75" customHeight="1">
      <c r="A79" s="1">
        <v>344</v>
      </c>
      <c r="B79" s="1" t="s">
        <v>330</v>
      </c>
      <c r="C79" s="1" t="s">
        <v>160</v>
      </c>
      <c r="D79" s="4">
        <v>39846.702777777777</v>
      </c>
      <c r="E79" s="1" t="s">
        <v>14</v>
      </c>
      <c r="F79" s="1" t="s">
        <v>319</v>
      </c>
      <c r="G79" s="5" t="s">
        <v>26</v>
      </c>
      <c r="H79" s="5" t="s">
        <v>27</v>
      </c>
      <c r="I79" s="1" t="s">
        <v>28</v>
      </c>
      <c r="J79" s="1" t="s">
        <v>29</v>
      </c>
      <c r="K79" s="1"/>
      <c r="L79" s="2" t="s">
        <v>331</v>
      </c>
      <c r="M79" s="1"/>
      <c r="N79" s="1"/>
      <c r="O79" s="1"/>
      <c r="P79" s="1"/>
      <c r="Q79" s="1"/>
      <c r="R79" s="1"/>
      <c r="S79" s="1"/>
      <c r="T79" s="1"/>
      <c r="U79" s="1"/>
      <c r="V79" s="1"/>
      <c r="W79" s="1"/>
      <c r="X79" s="1"/>
      <c r="Y79" s="1"/>
      <c r="Z79" s="1"/>
    </row>
    <row r="80" spans="1:26" ht="33.75" customHeight="1">
      <c r="A80" s="1">
        <v>345</v>
      </c>
      <c r="B80" s="1" t="s">
        <v>332</v>
      </c>
      <c r="C80" s="1" t="s">
        <v>160</v>
      </c>
      <c r="D80" s="4">
        <v>39846.704861111109</v>
      </c>
      <c r="E80" s="1" t="s">
        <v>320</v>
      </c>
      <c r="F80" s="1" t="s">
        <v>330</v>
      </c>
      <c r="G80" s="1" t="s">
        <v>64</v>
      </c>
      <c r="H80" s="1" t="s">
        <v>263</v>
      </c>
      <c r="I80" s="1" t="s">
        <v>333</v>
      </c>
      <c r="J80" s="1"/>
      <c r="K80" s="1"/>
      <c r="L80" s="2" t="s">
        <v>334</v>
      </c>
      <c r="M80" s="1"/>
      <c r="N80" s="1"/>
      <c r="O80" s="1"/>
      <c r="P80" s="1"/>
      <c r="Q80" s="1"/>
      <c r="R80" s="1"/>
      <c r="S80" s="1"/>
      <c r="T80" s="1"/>
      <c r="U80" s="1"/>
      <c r="V80" s="1"/>
      <c r="W80" s="1"/>
      <c r="X80" s="1"/>
      <c r="Y80" s="1"/>
      <c r="Z80" s="1"/>
    </row>
    <row r="81" spans="1:26" ht="33.75" customHeight="1">
      <c r="A81" s="1">
        <v>346</v>
      </c>
      <c r="B81" s="1" t="s">
        <v>335</v>
      </c>
      <c r="C81" s="1" t="s">
        <v>160</v>
      </c>
      <c r="D81" s="4">
        <v>39846.705555555556</v>
      </c>
      <c r="E81" s="1" t="s">
        <v>84</v>
      </c>
      <c r="F81" s="1"/>
      <c r="G81" s="5" t="s">
        <v>64</v>
      </c>
      <c r="H81" s="5" t="s">
        <v>65</v>
      </c>
      <c r="I81" s="1" t="s">
        <v>336</v>
      </c>
      <c r="J81" s="1"/>
      <c r="K81" s="1" t="s">
        <v>337</v>
      </c>
      <c r="L81" s="2" t="s">
        <v>338</v>
      </c>
      <c r="M81" s="1"/>
      <c r="N81" s="1"/>
      <c r="O81" s="1"/>
      <c r="P81" s="1"/>
      <c r="Q81" s="1"/>
      <c r="R81" s="1"/>
      <c r="S81" s="1"/>
      <c r="T81" s="1"/>
      <c r="U81" s="1"/>
      <c r="V81" s="1"/>
      <c r="W81" s="1"/>
      <c r="X81" s="1"/>
      <c r="Y81" s="1"/>
      <c r="Z81" s="1"/>
    </row>
    <row r="82" spans="1:26" ht="33.75" customHeight="1">
      <c r="A82" s="1">
        <v>347</v>
      </c>
      <c r="B82" s="1" t="s">
        <v>339</v>
      </c>
      <c r="C82" s="1" t="s">
        <v>160</v>
      </c>
      <c r="D82" s="4">
        <v>39846.706944444442</v>
      </c>
      <c r="E82" s="1" t="s">
        <v>320</v>
      </c>
      <c r="F82" s="1" t="s">
        <v>340</v>
      </c>
      <c r="G82" s="5" t="s">
        <v>26</v>
      </c>
      <c r="H82" s="5" t="s">
        <v>133</v>
      </c>
      <c r="I82" s="1" t="s">
        <v>28</v>
      </c>
      <c r="J82" s="1" t="s">
        <v>134</v>
      </c>
      <c r="K82" s="1"/>
      <c r="L82" s="2" t="s">
        <v>341</v>
      </c>
      <c r="M82" s="1"/>
      <c r="N82" s="1"/>
      <c r="O82" s="1"/>
      <c r="P82" s="1"/>
      <c r="Q82" s="1"/>
      <c r="R82" s="1"/>
      <c r="S82" s="1"/>
      <c r="T82" s="1"/>
      <c r="U82" s="1"/>
      <c r="V82" s="1"/>
      <c r="W82" s="1"/>
      <c r="X82" s="1"/>
      <c r="Y82" s="1"/>
      <c r="Z82" s="1"/>
    </row>
    <row r="83" spans="1:26" ht="33.75" customHeight="1">
      <c r="A83" s="1">
        <v>348</v>
      </c>
      <c r="B83" s="1" t="s">
        <v>342</v>
      </c>
      <c r="C83" s="1" t="s">
        <v>160</v>
      </c>
      <c r="D83" s="4">
        <v>39846.707638888889</v>
      </c>
      <c r="E83" s="1" t="s">
        <v>14</v>
      </c>
      <c r="F83" s="1" t="s">
        <v>332</v>
      </c>
      <c r="G83" s="5" t="s">
        <v>26</v>
      </c>
      <c r="H83" s="5" t="s">
        <v>27</v>
      </c>
      <c r="I83" s="1" t="s">
        <v>343</v>
      </c>
      <c r="J83" s="1"/>
      <c r="K83" s="1" t="s">
        <v>344</v>
      </c>
      <c r="L83" s="2" t="s">
        <v>345</v>
      </c>
      <c r="M83" s="1"/>
      <c r="N83" s="1"/>
      <c r="O83" s="1"/>
      <c r="P83" s="1"/>
      <c r="Q83" s="1"/>
      <c r="R83" s="1"/>
      <c r="S83" s="1"/>
      <c r="T83" s="1"/>
      <c r="U83" s="1"/>
      <c r="V83" s="1"/>
      <c r="W83" s="1"/>
      <c r="X83" s="1"/>
      <c r="Y83" s="1"/>
      <c r="Z83" s="1"/>
    </row>
    <row r="84" spans="1:26" ht="33.75" customHeight="1">
      <c r="A84" s="1">
        <v>349</v>
      </c>
      <c r="B84" s="1" t="s">
        <v>346</v>
      </c>
      <c r="C84" s="1" t="s">
        <v>160</v>
      </c>
      <c r="D84" s="4">
        <v>39846.71597222222</v>
      </c>
      <c r="E84" s="1" t="s">
        <v>320</v>
      </c>
      <c r="F84" s="1" t="s">
        <v>342</v>
      </c>
      <c r="G84" s="5" t="s">
        <v>15</v>
      </c>
      <c r="H84" s="5" t="s">
        <v>150</v>
      </c>
      <c r="I84" s="1" t="s">
        <v>347</v>
      </c>
      <c r="J84" s="1"/>
      <c r="K84" s="1" t="s">
        <v>348</v>
      </c>
      <c r="L84" s="2" t="s">
        <v>349</v>
      </c>
      <c r="M84" s="1"/>
      <c r="N84" s="1"/>
      <c r="O84" s="1"/>
      <c r="P84" s="1"/>
      <c r="Q84" s="1"/>
      <c r="R84" s="1"/>
      <c r="S84" s="1"/>
      <c r="T84" s="1"/>
      <c r="U84" s="1"/>
      <c r="V84" s="1"/>
      <c r="W84" s="1"/>
      <c r="X84" s="1"/>
      <c r="Y84" s="1"/>
      <c r="Z84" s="1"/>
    </row>
    <row r="85" spans="1:26" ht="33.75" customHeight="1">
      <c r="A85" s="1">
        <v>350</v>
      </c>
      <c r="B85" s="1" t="s">
        <v>350</v>
      </c>
      <c r="C85" s="1" t="s">
        <v>160</v>
      </c>
      <c r="D85" s="4">
        <v>39846.728472222225</v>
      </c>
      <c r="E85" s="1" t="s">
        <v>14</v>
      </c>
      <c r="F85" s="1" t="s">
        <v>327</v>
      </c>
      <c r="G85" s="5" t="s">
        <v>64</v>
      </c>
      <c r="H85" s="5" t="s">
        <v>263</v>
      </c>
      <c r="I85" s="1" t="s">
        <v>351</v>
      </c>
      <c r="J85" s="1"/>
      <c r="K85" s="1"/>
      <c r="L85" s="2" t="s">
        <v>352</v>
      </c>
      <c r="M85" s="1"/>
      <c r="N85" s="1"/>
      <c r="O85" s="1"/>
      <c r="P85" s="1"/>
      <c r="Q85" s="1"/>
      <c r="R85" s="1"/>
      <c r="S85" s="1"/>
      <c r="T85" s="1"/>
      <c r="U85" s="1"/>
      <c r="V85" s="1"/>
      <c r="W85" s="1"/>
      <c r="X85" s="1"/>
      <c r="Y85" s="1"/>
      <c r="Z85" s="1"/>
    </row>
    <row r="86" spans="1:26" ht="33.75" customHeight="1">
      <c r="A86" s="1">
        <v>351</v>
      </c>
      <c r="B86" s="1" t="s">
        <v>353</v>
      </c>
      <c r="C86" s="1" t="s">
        <v>160</v>
      </c>
      <c r="D86" s="4">
        <v>39846.729166666664</v>
      </c>
      <c r="E86" s="1" t="s">
        <v>84</v>
      </c>
      <c r="F86" s="1"/>
      <c r="G86" s="5" t="s">
        <v>64</v>
      </c>
      <c r="H86" s="5" t="s">
        <v>65</v>
      </c>
      <c r="I86" s="1" t="s">
        <v>35</v>
      </c>
      <c r="J86" s="1" t="s">
        <v>354</v>
      </c>
      <c r="K86" s="1" t="s">
        <v>355</v>
      </c>
      <c r="L86" s="2" t="s">
        <v>356</v>
      </c>
      <c r="M86" s="1"/>
      <c r="N86" s="1"/>
      <c r="O86" s="1"/>
      <c r="P86" s="1"/>
      <c r="Q86" s="1"/>
      <c r="R86" s="1"/>
      <c r="S86" s="1"/>
      <c r="T86" s="1"/>
      <c r="U86" s="1"/>
      <c r="V86" s="1"/>
      <c r="W86" s="1"/>
      <c r="X86" s="1"/>
      <c r="Y86" s="1"/>
      <c r="Z86" s="1"/>
    </row>
    <row r="87" spans="1:26" ht="33.75" customHeight="1">
      <c r="A87" s="1">
        <v>59</v>
      </c>
      <c r="B87" s="1" t="s">
        <v>357</v>
      </c>
      <c r="C87" s="3" t="s">
        <v>13</v>
      </c>
      <c r="D87" s="4">
        <v>39846.732638888891</v>
      </c>
      <c r="E87" s="1" t="s">
        <v>101</v>
      </c>
      <c r="F87" s="1" t="s">
        <v>170</v>
      </c>
      <c r="G87" s="6" t="s">
        <v>78</v>
      </c>
      <c r="H87" s="5" t="s">
        <v>79</v>
      </c>
      <c r="I87" s="1" t="s">
        <v>358</v>
      </c>
      <c r="J87" s="1"/>
      <c r="K87" s="1"/>
      <c r="L87" s="2" t="s">
        <v>359</v>
      </c>
      <c r="M87" s="1"/>
      <c r="N87" s="1"/>
      <c r="O87" s="1"/>
      <c r="P87" s="1"/>
      <c r="Q87" s="1"/>
      <c r="R87" s="1"/>
      <c r="S87" s="1"/>
      <c r="T87" s="1"/>
      <c r="U87" s="1"/>
      <c r="V87" s="1"/>
      <c r="W87" s="1"/>
      <c r="X87" s="1"/>
      <c r="Y87" s="1"/>
      <c r="Z87" s="1"/>
    </row>
    <row r="88" spans="1:26" ht="33.75" customHeight="1">
      <c r="A88" s="1">
        <v>287</v>
      </c>
      <c r="B88" s="1" t="s">
        <v>360</v>
      </c>
      <c r="C88" s="1" t="s">
        <v>156</v>
      </c>
      <c r="D88" s="4">
        <v>39846.736805555556</v>
      </c>
      <c r="E88" s="1" t="s">
        <v>14</v>
      </c>
      <c r="F88" s="1" t="s">
        <v>353</v>
      </c>
      <c r="G88" s="5" t="s">
        <v>64</v>
      </c>
      <c r="H88" s="5" t="s">
        <v>65</v>
      </c>
      <c r="I88" s="1" t="s">
        <v>361</v>
      </c>
      <c r="J88" s="1"/>
      <c r="K88" s="1"/>
      <c r="L88" s="2" t="s">
        <v>362</v>
      </c>
      <c r="M88" s="1"/>
      <c r="N88" s="1"/>
      <c r="O88" s="1"/>
      <c r="P88" s="1"/>
      <c r="Q88" s="1"/>
      <c r="R88" s="1"/>
      <c r="S88" s="1"/>
      <c r="T88" s="1"/>
      <c r="U88" s="1"/>
      <c r="V88" s="1"/>
      <c r="W88" s="1"/>
      <c r="X88" s="1"/>
      <c r="Y88" s="1"/>
      <c r="Z88" s="1"/>
    </row>
    <row r="89" spans="1:26" ht="33.75" customHeight="1">
      <c r="A89" s="1">
        <v>352</v>
      </c>
      <c r="B89" s="1" t="s">
        <v>363</v>
      </c>
      <c r="C89" s="1" t="s">
        <v>160</v>
      </c>
      <c r="D89" s="4">
        <v>39846.74722222222</v>
      </c>
      <c r="E89" s="1" t="s">
        <v>54</v>
      </c>
      <c r="F89" s="1" t="s">
        <v>313</v>
      </c>
      <c r="G89" s="5" t="s">
        <v>64</v>
      </c>
      <c r="H89" s="5" t="s">
        <v>65</v>
      </c>
      <c r="I89" s="1" t="s">
        <v>336</v>
      </c>
      <c r="J89" s="1"/>
      <c r="K89" s="1" t="s">
        <v>364</v>
      </c>
      <c r="L89" s="2" t="s">
        <v>365</v>
      </c>
      <c r="M89" s="1"/>
      <c r="N89" s="1"/>
      <c r="O89" s="1"/>
      <c r="P89" s="1"/>
      <c r="Q89" s="1"/>
      <c r="R89" s="1"/>
      <c r="S89" s="1"/>
      <c r="T89" s="1"/>
      <c r="U89" s="1"/>
      <c r="V89" s="1"/>
      <c r="W89" s="1"/>
      <c r="X89" s="1"/>
      <c r="Y89" s="1"/>
      <c r="Z89" s="1"/>
    </row>
    <row r="90" spans="1:26" ht="33.75" customHeight="1">
      <c r="A90" s="1">
        <v>353</v>
      </c>
      <c r="B90" s="1" t="s">
        <v>366</v>
      </c>
      <c r="C90" s="1" t="s">
        <v>160</v>
      </c>
      <c r="D90" s="4">
        <v>39846.769444444442</v>
      </c>
      <c r="E90" s="1" t="s">
        <v>54</v>
      </c>
      <c r="F90" s="1" t="s">
        <v>367</v>
      </c>
      <c r="G90" s="1" t="s">
        <v>64</v>
      </c>
      <c r="H90" s="1" t="s">
        <v>263</v>
      </c>
      <c r="I90" s="1" t="s">
        <v>368</v>
      </c>
      <c r="J90" s="1"/>
      <c r="K90" s="1" t="s">
        <v>369</v>
      </c>
      <c r="L90" s="2" t="s">
        <v>370</v>
      </c>
      <c r="M90" s="1"/>
      <c r="N90" s="1"/>
      <c r="O90" s="1"/>
      <c r="P90" s="1"/>
      <c r="Q90" s="1"/>
      <c r="R90" s="1"/>
      <c r="S90" s="1"/>
      <c r="T90" s="1"/>
      <c r="U90" s="1"/>
      <c r="V90" s="1"/>
      <c r="W90" s="1"/>
      <c r="X90" s="1"/>
      <c r="Y90" s="1"/>
      <c r="Z90" s="1"/>
    </row>
    <row r="91" spans="1:26" ht="33.75" customHeight="1">
      <c r="A91" s="1">
        <v>354</v>
      </c>
      <c r="B91" s="1" t="s">
        <v>371</v>
      </c>
      <c r="C91" s="1" t="s">
        <v>160</v>
      </c>
      <c r="D91" s="4">
        <v>39846.772222222222</v>
      </c>
      <c r="E91" s="1" t="s">
        <v>54</v>
      </c>
      <c r="F91" s="1"/>
      <c r="G91" s="6" t="s">
        <v>78</v>
      </c>
      <c r="H91" s="5" t="s">
        <v>197</v>
      </c>
      <c r="I91" s="1" t="s">
        <v>372</v>
      </c>
      <c r="J91" s="1"/>
      <c r="K91" s="1"/>
      <c r="L91" s="2" t="s">
        <v>373</v>
      </c>
      <c r="M91" s="1"/>
      <c r="N91" s="1"/>
      <c r="O91" s="1"/>
      <c r="P91" s="1"/>
      <c r="Q91" s="1"/>
      <c r="R91" s="1"/>
      <c r="S91" s="1"/>
      <c r="T91" s="1"/>
      <c r="U91" s="1"/>
      <c r="V91" s="1"/>
      <c r="W91" s="1"/>
      <c r="X91" s="1"/>
      <c r="Y91" s="1"/>
      <c r="Z91" s="1"/>
    </row>
    <row r="92" spans="1:26" ht="33.75" customHeight="1">
      <c r="A92" s="1">
        <v>355</v>
      </c>
      <c r="B92" s="1" t="s">
        <v>374</v>
      </c>
      <c r="C92" s="1" t="s">
        <v>160</v>
      </c>
      <c r="D92" s="4">
        <v>39846.825694444444</v>
      </c>
      <c r="E92" s="1" t="s">
        <v>84</v>
      </c>
      <c r="F92" s="1"/>
      <c r="G92" s="1" t="s">
        <v>64</v>
      </c>
      <c r="H92" s="1" t="s">
        <v>375</v>
      </c>
      <c r="I92" s="1" t="s">
        <v>376</v>
      </c>
      <c r="J92" s="1"/>
      <c r="K92" s="1"/>
      <c r="L92" s="2" t="s">
        <v>377</v>
      </c>
      <c r="M92" s="1"/>
      <c r="N92" s="1"/>
      <c r="O92" s="1"/>
      <c r="P92" s="1"/>
      <c r="Q92" s="1"/>
      <c r="R92" s="1"/>
      <c r="S92" s="1"/>
      <c r="T92" s="1"/>
      <c r="U92" s="1"/>
      <c r="V92" s="1"/>
      <c r="W92" s="1"/>
      <c r="X92" s="1"/>
      <c r="Y92" s="1"/>
      <c r="Z92" s="1"/>
    </row>
    <row r="93" spans="1:26" ht="33.75" customHeight="1">
      <c r="A93" s="1">
        <v>356</v>
      </c>
      <c r="B93" s="1" t="s">
        <v>378</v>
      </c>
      <c r="C93" s="1" t="s">
        <v>160</v>
      </c>
      <c r="D93" s="4">
        <v>39846.826388888891</v>
      </c>
      <c r="E93" s="1" t="s">
        <v>84</v>
      </c>
      <c r="F93" s="1" t="s">
        <v>374</v>
      </c>
      <c r="G93" s="5" t="s">
        <v>64</v>
      </c>
      <c r="H93" s="5" t="s">
        <v>179</v>
      </c>
      <c r="I93" s="1" t="s">
        <v>179</v>
      </c>
      <c r="J93" s="1"/>
      <c r="K93" s="1"/>
      <c r="L93" s="2" t="s">
        <v>379</v>
      </c>
      <c r="M93" s="1"/>
      <c r="N93" s="1"/>
      <c r="O93" s="1"/>
      <c r="P93" s="1"/>
      <c r="Q93" s="1"/>
      <c r="R93" s="1"/>
      <c r="S93" s="1"/>
      <c r="T93" s="1"/>
      <c r="U93" s="1"/>
      <c r="V93" s="1"/>
      <c r="W93" s="1"/>
      <c r="X93" s="1"/>
      <c r="Y93" s="1"/>
      <c r="Z93" s="1"/>
    </row>
    <row r="94" spans="1:26" ht="33.75" customHeight="1">
      <c r="A94" s="1">
        <v>357</v>
      </c>
      <c r="B94" s="1" t="s">
        <v>380</v>
      </c>
      <c r="C94" s="1" t="s">
        <v>160</v>
      </c>
      <c r="D94" s="4">
        <v>39846.852083333331</v>
      </c>
      <c r="E94" s="1" t="s">
        <v>381</v>
      </c>
      <c r="F94" s="1"/>
      <c r="G94" s="5" t="s">
        <v>78</v>
      </c>
      <c r="H94" s="1" t="s">
        <v>223</v>
      </c>
      <c r="I94" s="1" t="s">
        <v>64</v>
      </c>
      <c r="J94" s="1" t="s">
        <v>382</v>
      </c>
      <c r="K94" s="1"/>
      <c r="L94" s="2" t="s">
        <v>383</v>
      </c>
      <c r="M94" s="1"/>
      <c r="N94" s="1"/>
      <c r="O94" s="1"/>
      <c r="P94" s="1"/>
      <c r="Q94" s="1"/>
      <c r="R94" s="1"/>
      <c r="S94" s="1"/>
      <c r="T94" s="1"/>
      <c r="U94" s="1"/>
      <c r="V94" s="1"/>
      <c r="W94" s="1"/>
      <c r="X94" s="1"/>
      <c r="Y94" s="1"/>
      <c r="Z94" s="1"/>
    </row>
    <row r="95" spans="1:26" ht="33.75" customHeight="1">
      <c r="A95" s="1">
        <v>288</v>
      </c>
      <c r="B95" s="1" t="s">
        <v>384</v>
      </c>
      <c r="C95" s="1" t="s">
        <v>156</v>
      </c>
      <c r="D95" s="4">
        <v>39846.857638888891</v>
      </c>
      <c r="E95" s="1" t="s">
        <v>54</v>
      </c>
      <c r="F95" s="1" t="s">
        <v>385</v>
      </c>
      <c r="G95" s="1" t="s">
        <v>64</v>
      </c>
      <c r="H95" s="5" t="s">
        <v>65</v>
      </c>
      <c r="I95" s="1" t="s">
        <v>166</v>
      </c>
      <c r="J95" s="1"/>
      <c r="K95" s="1" t="s">
        <v>386</v>
      </c>
      <c r="L95" s="2" t="s">
        <v>387</v>
      </c>
      <c r="M95" s="1"/>
      <c r="N95" s="1"/>
      <c r="O95" s="1"/>
      <c r="P95" s="1"/>
      <c r="Q95" s="1"/>
      <c r="R95" s="1"/>
      <c r="S95" s="1"/>
      <c r="T95" s="1"/>
      <c r="U95" s="1"/>
      <c r="V95" s="1"/>
      <c r="W95" s="1"/>
      <c r="X95" s="1"/>
      <c r="Y95" s="1"/>
      <c r="Z95" s="1"/>
    </row>
    <row r="96" spans="1:26" ht="33.75" customHeight="1">
      <c r="A96" s="1">
        <v>289</v>
      </c>
      <c r="B96" s="1" t="s">
        <v>388</v>
      </c>
      <c r="C96" s="1" t="s">
        <v>156</v>
      </c>
      <c r="D96" s="4">
        <v>39846.861805555556</v>
      </c>
      <c r="E96" s="1" t="s">
        <v>54</v>
      </c>
      <c r="F96" s="1"/>
      <c r="G96" s="1" t="s">
        <v>78</v>
      </c>
      <c r="H96" s="5" t="s">
        <v>79</v>
      </c>
      <c r="I96" s="1" t="s">
        <v>389</v>
      </c>
      <c r="J96" s="1"/>
      <c r="K96" s="1" t="s">
        <v>390</v>
      </c>
      <c r="L96" s="2" t="s">
        <v>391</v>
      </c>
      <c r="M96" s="1"/>
      <c r="N96" s="1"/>
      <c r="O96" s="1"/>
      <c r="P96" s="1"/>
      <c r="Q96" s="1"/>
      <c r="R96" s="1"/>
      <c r="S96" s="1"/>
      <c r="T96" s="1"/>
      <c r="U96" s="1"/>
      <c r="V96" s="1"/>
      <c r="W96" s="1"/>
      <c r="X96" s="1"/>
      <c r="Y96" s="1"/>
      <c r="Z96" s="1"/>
    </row>
    <row r="97" spans="1:26" ht="33.75" customHeight="1">
      <c r="A97" s="1">
        <v>358</v>
      </c>
      <c r="B97" s="1" t="s">
        <v>392</v>
      </c>
      <c r="C97" s="1" t="s">
        <v>160</v>
      </c>
      <c r="D97" s="4">
        <v>39846.863194444442</v>
      </c>
      <c r="E97" s="1" t="s">
        <v>393</v>
      </c>
      <c r="F97" s="1"/>
      <c r="G97" s="5" t="s">
        <v>78</v>
      </c>
      <c r="H97" s="1" t="s">
        <v>223</v>
      </c>
      <c r="I97" s="1" t="s">
        <v>64</v>
      </c>
      <c r="J97" s="1" t="s">
        <v>224</v>
      </c>
      <c r="K97" s="1" t="s">
        <v>394</v>
      </c>
      <c r="L97" s="2" t="s">
        <v>395</v>
      </c>
      <c r="M97" s="1"/>
      <c r="N97" s="1"/>
      <c r="O97" s="1"/>
      <c r="P97" s="1"/>
      <c r="Q97" s="1"/>
      <c r="R97" s="1"/>
      <c r="S97" s="1"/>
      <c r="T97" s="1"/>
      <c r="U97" s="1"/>
      <c r="V97" s="1"/>
      <c r="W97" s="1"/>
      <c r="X97" s="1"/>
      <c r="Y97" s="1"/>
      <c r="Z97" s="1"/>
    </row>
    <row r="98" spans="1:26" ht="33.75" customHeight="1">
      <c r="A98" s="1">
        <v>290</v>
      </c>
      <c r="B98" s="1" t="s">
        <v>396</v>
      </c>
      <c r="C98" s="1" t="s">
        <v>156</v>
      </c>
      <c r="D98" s="4">
        <v>39846.863888888889</v>
      </c>
      <c r="E98" s="1" t="s">
        <v>101</v>
      </c>
      <c r="F98" s="1" t="s">
        <v>192</v>
      </c>
      <c r="G98" s="5" t="s">
        <v>15</v>
      </c>
      <c r="H98" s="5" t="s">
        <v>22</v>
      </c>
      <c r="I98" s="1" t="s">
        <v>23</v>
      </c>
      <c r="J98" s="1"/>
      <c r="K98" s="1"/>
      <c r="L98" s="2" t="s">
        <v>397</v>
      </c>
      <c r="M98" s="1"/>
      <c r="N98" s="1"/>
      <c r="O98" s="1"/>
      <c r="P98" s="1"/>
      <c r="Q98" s="1"/>
      <c r="R98" s="1"/>
      <c r="S98" s="1"/>
      <c r="T98" s="1"/>
      <c r="U98" s="1"/>
      <c r="V98" s="1"/>
      <c r="W98" s="1"/>
      <c r="X98" s="1"/>
      <c r="Y98" s="1"/>
      <c r="Z98" s="1"/>
    </row>
    <row r="99" spans="1:26" ht="33.75" customHeight="1">
      <c r="A99" s="1">
        <v>359</v>
      </c>
      <c r="B99" s="1" t="s">
        <v>398</v>
      </c>
      <c r="C99" s="1" t="s">
        <v>160</v>
      </c>
      <c r="D99" s="4">
        <v>39846.865972222222</v>
      </c>
      <c r="E99" s="1" t="s">
        <v>54</v>
      </c>
      <c r="F99" s="1"/>
      <c r="G99" s="6" t="s">
        <v>78</v>
      </c>
      <c r="H99" s="5" t="s">
        <v>197</v>
      </c>
      <c r="I99" s="1" t="s">
        <v>372</v>
      </c>
      <c r="J99" s="1"/>
      <c r="K99" s="1"/>
      <c r="L99" s="2" t="s">
        <v>399</v>
      </c>
      <c r="M99" s="1"/>
      <c r="N99" s="1"/>
      <c r="O99" s="1"/>
      <c r="P99" s="1"/>
      <c r="Q99" s="1"/>
      <c r="R99" s="1"/>
      <c r="S99" s="1"/>
      <c r="T99" s="1"/>
      <c r="U99" s="1"/>
      <c r="V99" s="1"/>
      <c r="W99" s="1"/>
      <c r="X99" s="1"/>
      <c r="Y99" s="1"/>
      <c r="Z99" s="1"/>
    </row>
    <row r="100" spans="1:26" ht="33.75" customHeight="1">
      <c r="A100" s="1">
        <v>360</v>
      </c>
      <c r="B100" s="1" t="s">
        <v>400</v>
      </c>
      <c r="C100" s="1" t="s">
        <v>160</v>
      </c>
      <c r="D100" s="4">
        <v>39846.904166666667</v>
      </c>
      <c r="E100" s="1" t="s">
        <v>401</v>
      </c>
      <c r="F100" s="1"/>
      <c r="G100" s="5" t="s">
        <v>15</v>
      </c>
      <c r="H100" s="5" t="s">
        <v>402</v>
      </c>
      <c r="I100" s="1" t="s">
        <v>403</v>
      </c>
      <c r="J100" s="1"/>
      <c r="K100" s="1"/>
      <c r="L100" s="2" t="s">
        <v>404</v>
      </c>
      <c r="M100" s="1"/>
      <c r="N100" s="1"/>
      <c r="O100" s="1"/>
      <c r="P100" s="1"/>
      <c r="Q100" s="1"/>
      <c r="R100" s="1"/>
      <c r="S100" s="1"/>
      <c r="T100" s="1"/>
      <c r="U100" s="1"/>
      <c r="V100" s="1"/>
      <c r="W100" s="1"/>
      <c r="X100" s="1"/>
      <c r="Y100" s="1"/>
      <c r="Z100" s="1"/>
    </row>
    <row r="101" spans="1:26" ht="33.75" customHeight="1">
      <c r="A101" s="1">
        <v>361</v>
      </c>
      <c r="B101" s="1" t="s">
        <v>405</v>
      </c>
      <c r="C101" s="1" t="s">
        <v>160</v>
      </c>
      <c r="D101" s="4">
        <v>39846.90625</v>
      </c>
      <c r="E101" s="1" t="s">
        <v>54</v>
      </c>
      <c r="F101" s="1" t="s">
        <v>374</v>
      </c>
      <c r="G101" s="6" t="s">
        <v>78</v>
      </c>
      <c r="H101" s="5" t="s">
        <v>223</v>
      </c>
      <c r="I101" s="1" t="s">
        <v>406</v>
      </c>
      <c r="J101" s="1"/>
      <c r="K101" s="1"/>
      <c r="L101" s="2" t="s">
        <v>407</v>
      </c>
      <c r="M101" s="1"/>
      <c r="N101" s="1"/>
      <c r="O101" s="1"/>
      <c r="P101" s="1"/>
      <c r="Q101" s="1"/>
      <c r="R101" s="1"/>
      <c r="S101" s="1"/>
      <c r="T101" s="1"/>
      <c r="U101" s="1"/>
      <c r="V101" s="1"/>
      <c r="W101" s="1"/>
      <c r="X101" s="1"/>
      <c r="Y101" s="1"/>
      <c r="Z101" s="1"/>
    </row>
    <row r="102" spans="1:26" ht="33.75" customHeight="1">
      <c r="A102" s="1">
        <v>362</v>
      </c>
      <c r="B102" s="1" t="s">
        <v>408</v>
      </c>
      <c r="C102" s="1" t="s">
        <v>160</v>
      </c>
      <c r="D102" s="4">
        <v>39846.911111111112</v>
      </c>
      <c r="E102" s="1" t="s">
        <v>196</v>
      </c>
      <c r="F102" s="1" t="s">
        <v>409</v>
      </c>
      <c r="G102" s="1" t="s">
        <v>64</v>
      </c>
      <c r="H102" s="1" t="s">
        <v>263</v>
      </c>
      <c r="I102" s="1" t="s">
        <v>410</v>
      </c>
      <c r="J102" s="1"/>
      <c r="K102" s="1"/>
      <c r="L102" s="2" t="s">
        <v>411</v>
      </c>
      <c r="M102" s="1"/>
      <c r="N102" s="1"/>
      <c r="O102" s="1"/>
      <c r="P102" s="1"/>
      <c r="Q102" s="1"/>
      <c r="R102" s="1"/>
      <c r="S102" s="1"/>
      <c r="T102" s="1"/>
      <c r="U102" s="1"/>
      <c r="V102" s="1"/>
      <c r="W102" s="1"/>
      <c r="X102" s="1"/>
      <c r="Y102" s="1"/>
      <c r="Z102" s="1"/>
    </row>
    <row r="103" spans="1:26" ht="33.75" customHeight="1">
      <c r="A103" s="1">
        <v>363</v>
      </c>
      <c r="B103" s="1" t="s">
        <v>412</v>
      </c>
      <c r="C103" s="1" t="s">
        <v>160</v>
      </c>
      <c r="D103" s="4">
        <v>39846.92291666667</v>
      </c>
      <c r="E103" s="1" t="s">
        <v>196</v>
      </c>
      <c r="F103" s="1" t="s">
        <v>408</v>
      </c>
      <c r="G103" s="5" t="s">
        <v>64</v>
      </c>
      <c r="H103" s="5" t="s">
        <v>282</v>
      </c>
      <c r="I103" s="1" t="s">
        <v>283</v>
      </c>
      <c r="J103" s="1"/>
      <c r="K103" s="1" t="s">
        <v>413</v>
      </c>
      <c r="L103" s="2" t="s">
        <v>414</v>
      </c>
      <c r="M103" s="1"/>
      <c r="N103" s="1"/>
      <c r="O103" s="1"/>
      <c r="P103" s="1"/>
      <c r="Q103" s="1"/>
      <c r="R103" s="1"/>
      <c r="S103" s="1"/>
      <c r="T103" s="1"/>
      <c r="U103" s="1"/>
      <c r="V103" s="1"/>
      <c r="W103" s="1"/>
      <c r="X103" s="1"/>
      <c r="Y103" s="1"/>
      <c r="Z103" s="1"/>
    </row>
    <row r="104" spans="1:26" ht="33.75" customHeight="1">
      <c r="A104" s="1">
        <v>364</v>
      </c>
      <c r="B104" s="1" t="s">
        <v>415</v>
      </c>
      <c r="C104" s="1" t="s">
        <v>160</v>
      </c>
      <c r="D104" s="4">
        <v>39846.943749999999</v>
      </c>
      <c r="E104" s="1" t="s">
        <v>416</v>
      </c>
      <c r="F104" s="1" t="s">
        <v>374</v>
      </c>
      <c r="G104" s="5" t="s">
        <v>64</v>
      </c>
      <c r="H104" s="1"/>
      <c r="I104" s="1" t="s">
        <v>64</v>
      </c>
      <c r="J104" s="1"/>
      <c r="K104" s="1" t="s">
        <v>417</v>
      </c>
      <c r="L104" s="2" t="s">
        <v>418</v>
      </c>
      <c r="M104" s="1"/>
      <c r="N104" s="1"/>
      <c r="O104" s="1"/>
      <c r="P104" s="1"/>
      <c r="Q104" s="1"/>
      <c r="R104" s="1"/>
      <c r="S104" s="1"/>
      <c r="T104" s="1"/>
      <c r="U104" s="1"/>
      <c r="V104" s="1"/>
      <c r="W104" s="1"/>
      <c r="X104" s="1"/>
      <c r="Y104" s="1"/>
      <c r="Z104" s="1"/>
    </row>
    <row r="105" spans="1:26" ht="33.75" customHeight="1">
      <c r="A105" s="1">
        <v>365</v>
      </c>
      <c r="B105" s="1" t="s">
        <v>419</v>
      </c>
      <c r="C105" s="1" t="s">
        <v>160</v>
      </c>
      <c r="D105" s="4">
        <v>39846.944444444445</v>
      </c>
      <c r="E105" s="1" t="s">
        <v>416</v>
      </c>
      <c r="F105" s="1" t="s">
        <v>415</v>
      </c>
      <c r="G105" s="5" t="s">
        <v>64</v>
      </c>
      <c r="H105" s="5" t="s">
        <v>179</v>
      </c>
      <c r="I105" s="1" t="s">
        <v>179</v>
      </c>
      <c r="J105" s="1"/>
      <c r="K105" s="1"/>
      <c r="L105" s="2" t="s">
        <v>420</v>
      </c>
      <c r="M105" s="1"/>
      <c r="N105" s="1"/>
      <c r="O105" s="1"/>
      <c r="P105" s="1"/>
      <c r="Q105" s="1"/>
      <c r="R105" s="1"/>
      <c r="S105" s="1"/>
      <c r="T105" s="1"/>
      <c r="U105" s="1"/>
      <c r="V105" s="1"/>
      <c r="W105" s="1"/>
      <c r="X105" s="1"/>
      <c r="Y105" s="1"/>
      <c r="Z105" s="1"/>
    </row>
    <row r="106" spans="1:26" ht="33.75" customHeight="1">
      <c r="A106" s="1">
        <v>366</v>
      </c>
      <c r="B106" s="1" t="s">
        <v>421</v>
      </c>
      <c r="C106" s="1" t="s">
        <v>160</v>
      </c>
      <c r="D106" s="4">
        <v>39846.948611111111</v>
      </c>
      <c r="E106" s="1" t="s">
        <v>196</v>
      </c>
      <c r="F106" s="1" t="s">
        <v>380</v>
      </c>
      <c r="G106" s="5" t="s">
        <v>64</v>
      </c>
      <c r="H106" s="1"/>
      <c r="I106" s="1" t="s">
        <v>64</v>
      </c>
      <c r="J106" s="1"/>
      <c r="K106" s="1"/>
      <c r="L106" s="2" t="s">
        <v>422</v>
      </c>
      <c r="M106" s="1"/>
      <c r="N106" s="1"/>
      <c r="O106" s="1"/>
      <c r="P106" s="1"/>
      <c r="Q106" s="1"/>
      <c r="R106" s="1"/>
      <c r="S106" s="1"/>
      <c r="T106" s="1"/>
      <c r="U106" s="1"/>
      <c r="V106" s="1"/>
      <c r="W106" s="1"/>
      <c r="X106" s="1"/>
      <c r="Y106" s="1"/>
      <c r="Z106" s="1"/>
    </row>
    <row r="107" spans="1:26" ht="33.75" customHeight="1">
      <c r="A107" s="1">
        <v>367</v>
      </c>
      <c r="B107" s="1" t="s">
        <v>423</v>
      </c>
      <c r="C107" s="1" t="s">
        <v>160</v>
      </c>
      <c r="D107" s="4">
        <v>39846.949999999997</v>
      </c>
      <c r="E107" s="1" t="s">
        <v>196</v>
      </c>
      <c r="F107" s="1" t="s">
        <v>421</v>
      </c>
      <c r="G107" s="5" t="s">
        <v>64</v>
      </c>
      <c r="H107" s="5" t="s">
        <v>179</v>
      </c>
      <c r="I107" s="1" t="s">
        <v>179</v>
      </c>
      <c r="J107" s="1"/>
      <c r="K107" s="1"/>
      <c r="L107" s="2" t="s">
        <v>424</v>
      </c>
      <c r="M107" s="1"/>
      <c r="N107" s="1"/>
      <c r="O107" s="1"/>
      <c r="P107" s="1"/>
      <c r="Q107" s="1"/>
      <c r="R107" s="1"/>
      <c r="S107" s="1"/>
      <c r="T107" s="1"/>
      <c r="U107" s="1"/>
      <c r="V107" s="1"/>
      <c r="W107" s="1"/>
      <c r="X107" s="1"/>
      <c r="Y107" s="1"/>
      <c r="Z107" s="1"/>
    </row>
    <row r="108" spans="1:26" ht="33.75" customHeight="1">
      <c r="A108" s="1">
        <v>368</v>
      </c>
      <c r="B108" s="1" t="s">
        <v>425</v>
      </c>
      <c r="C108" s="1" t="s">
        <v>160</v>
      </c>
      <c r="D108" s="4">
        <v>39846.968055555553</v>
      </c>
      <c r="E108" s="1" t="s">
        <v>54</v>
      </c>
      <c r="F108" s="1"/>
      <c r="G108" s="6" t="s">
        <v>78</v>
      </c>
      <c r="H108" s="5" t="s">
        <v>79</v>
      </c>
      <c r="I108" s="1" t="s">
        <v>403</v>
      </c>
      <c r="J108" s="1"/>
      <c r="K108" s="1"/>
      <c r="L108" s="2" t="s">
        <v>426</v>
      </c>
      <c r="M108" s="1"/>
      <c r="N108" s="1"/>
      <c r="O108" s="1"/>
      <c r="P108" s="1"/>
      <c r="Q108" s="1"/>
      <c r="R108" s="1"/>
      <c r="S108" s="1"/>
      <c r="T108" s="1"/>
      <c r="U108" s="1"/>
      <c r="V108" s="1"/>
      <c r="W108" s="1"/>
      <c r="X108" s="1"/>
      <c r="Y108" s="1"/>
      <c r="Z108" s="1"/>
    </row>
    <row r="109" spans="1:26" ht="33.75" customHeight="1">
      <c r="A109" s="1">
        <v>369</v>
      </c>
      <c r="B109" s="1" t="s">
        <v>427</v>
      </c>
      <c r="C109" s="1" t="s">
        <v>160</v>
      </c>
      <c r="D109" s="4">
        <v>39846.970138888886</v>
      </c>
      <c r="E109" s="1" t="s">
        <v>54</v>
      </c>
      <c r="F109" s="1" t="s">
        <v>415</v>
      </c>
      <c r="G109" s="5" t="s">
        <v>26</v>
      </c>
      <c r="H109" s="5" t="s">
        <v>133</v>
      </c>
      <c r="I109" s="1" t="s">
        <v>28</v>
      </c>
      <c r="J109" s="1" t="s">
        <v>134</v>
      </c>
      <c r="K109" s="1" t="s">
        <v>428</v>
      </c>
      <c r="L109" s="2" t="s">
        <v>429</v>
      </c>
      <c r="M109" s="1"/>
      <c r="N109" s="1"/>
      <c r="O109" s="1"/>
      <c r="P109" s="1"/>
      <c r="Q109" s="1"/>
      <c r="R109" s="1"/>
      <c r="S109" s="1"/>
      <c r="T109" s="1"/>
      <c r="U109" s="1"/>
      <c r="V109" s="1"/>
      <c r="W109" s="1"/>
      <c r="X109" s="1"/>
      <c r="Y109" s="1"/>
      <c r="Z109" s="1"/>
    </row>
    <row r="110" spans="1:26" ht="33.75" customHeight="1">
      <c r="A110" s="1">
        <v>370</v>
      </c>
      <c r="B110" s="1" t="s">
        <v>430</v>
      </c>
      <c r="C110" s="1" t="s">
        <v>160</v>
      </c>
      <c r="D110" s="4">
        <v>39846.97152777778</v>
      </c>
      <c r="E110" s="1" t="s">
        <v>54</v>
      </c>
      <c r="F110" s="1" t="s">
        <v>427</v>
      </c>
      <c r="G110" s="5" t="s">
        <v>64</v>
      </c>
      <c r="H110" s="5" t="s">
        <v>431</v>
      </c>
      <c r="I110" s="1" t="s">
        <v>179</v>
      </c>
      <c r="J110" s="1"/>
      <c r="K110" s="1" t="s">
        <v>432</v>
      </c>
      <c r="L110" s="2" t="s">
        <v>433</v>
      </c>
      <c r="M110" s="1"/>
      <c r="N110" s="1"/>
      <c r="O110" s="1"/>
      <c r="P110" s="1"/>
      <c r="Q110" s="1"/>
      <c r="R110" s="1"/>
      <c r="S110" s="1"/>
      <c r="T110" s="1"/>
      <c r="U110" s="1"/>
      <c r="V110" s="1"/>
      <c r="W110" s="1"/>
      <c r="X110" s="1"/>
      <c r="Y110" s="1"/>
      <c r="Z110" s="1"/>
    </row>
    <row r="111" spans="1:26" ht="33.75" customHeight="1">
      <c r="A111" s="1">
        <v>61</v>
      </c>
      <c r="B111" s="1" t="s">
        <v>434</v>
      </c>
      <c r="C111" s="3" t="s">
        <v>13</v>
      </c>
      <c r="D111" s="4">
        <v>39846.995833333334</v>
      </c>
      <c r="E111" s="1" t="s">
        <v>435</v>
      </c>
      <c r="F111" s="1"/>
      <c r="G111" s="5" t="s">
        <v>15</v>
      </c>
      <c r="H111" s="5" t="s">
        <v>22</v>
      </c>
      <c r="I111" s="1" t="s">
        <v>23</v>
      </c>
      <c r="J111" s="1"/>
      <c r="K111" s="1" t="s">
        <v>436</v>
      </c>
      <c r="L111" s="2" t="s">
        <v>437</v>
      </c>
      <c r="M111" s="1"/>
      <c r="N111" s="1"/>
      <c r="O111" s="1"/>
      <c r="P111" s="1"/>
      <c r="Q111" s="1"/>
      <c r="R111" s="1"/>
      <c r="S111" s="1"/>
      <c r="T111" s="1"/>
      <c r="U111" s="1"/>
      <c r="V111" s="1"/>
      <c r="W111" s="1"/>
      <c r="X111" s="1"/>
      <c r="Y111" s="1"/>
      <c r="Z111" s="1"/>
    </row>
    <row r="112" spans="1:26" ht="33.75" customHeight="1">
      <c r="A112" s="1">
        <v>371</v>
      </c>
      <c r="B112" s="1" t="s">
        <v>438</v>
      </c>
      <c r="C112" s="1" t="s">
        <v>160</v>
      </c>
      <c r="D112" s="4">
        <v>39847.047222222223</v>
      </c>
      <c r="E112" s="1" t="s">
        <v>84</v>
      </c>
      <c r="F112" s="1" t="s">
        <v>374</v>
      </c>
      <c r="G112" s="1" t="s">
        <v>26</v>
      </c>
      <c r="H112" s="1" t="s">
        <v>133</v>
      </c>
      <c r="I112" s="1" t="s">
        <v>439</v>
      </c>
      <c r="J112" s="1"/>
      <c r="K112" s="1" t="s">
        <v>440</v>
      </c>
      <c r="L112" s="2" t="s">
        <v>441</v>
      </c>
      <c r="M112" s="1"/>
      <c r="N112" s="1"/>
      <c r="O112" s="1"/>
      <c r="P112" s="1"/>
      <c r="Q112" s="1"/>
      <c r="R112" s="1"/>
      <c r="S112" s="1"/>
      <c r="T112" s="1"/>
      <c r="U112" s="1"/>
      <c r="V112" s="1"/>
      <c r="W112" s="1"/>
      <c r="X112" s="1"/>
      <c r="Y112" s="1"/>
      <c r="Z112" s="1"/>
    </row>
    <row r="113" spans="1:26" ht="33.75" customHeight="1">
      <c r="A113" s="1">
        <v>372</v>
      </c>
      <c r="B113" s="1" t="s">
        <v>442</v>
      </c>
      <c r="C113" s="1" t="s">
        <v>160</v>
      </c>
      <c r="D113" s="4">
        <v>39847.052083333336</v>
      </c>
      <c r="E113" s="1" t="s">
        <v>320</v>
      </c>
      <c r="F113" s="1" t="s">
        <v>392</v>
      </c>
      <c r="G113" s="5" t="s">
        <v>15</v>
      </c>
      <c r="H113" s="5" t="s">
        <v>22</v>
      </c>
      <c r="I113" s="1" t="s">
        <v>23</v>
      </c>
      <c r="J113" s="1" t="s">
        <v>443</v>
      </c>
      <c r="K113" s="1" t="s">
        <v>317</v>
      </c>
      <c r="L113" s="2" t="s">
        <v>444</v>
      </c>
      <c r="M113" s="1"/>
      <c r="N113" s="1"/>
      <c r="O113" s="1"/>
      <c r="P113" s="1"/>
      <c r="Q113" s="1"/>
      <c r="R113" s="1"/>
      <c r="S113" s="1"/>
      <c r="T113" s="1"/>
      <c r="U113" s="1"/>
      <c r="V113" s="1"/>
      <c r="W113" s="1"/>
      <c r="X113" s="1"/>
      <c r="Y113" s="1"/>
      <c r="Z113" s="1"/>
    </row>
    <row r="114" spans="1:26" ht="33.75" customHeight="1">
      <c r="A114" s="1">
        <v>291</v>
      </c>
      <c r="B114" s="1" t="s">
        <v>445</v>
      </c>
      <c r="C114" s="1" t="s">
        <v>156</v>
      </c>
      <c r="D114" s="4">
        <v>39847.056250000001</v>
      </c>
      <c r="E114" s="1" t="s">
        <v>446</v>
      </c>
      <c r="F114" s="1"/>
      <c r="G114" s="5" t="s">
        <v>15</v>
      </c>
      <c r="H114" s="5" t="s">
        <v>55</v>
      </c>
      <c r="I114" s="1" t="s">
        <v>447</v>
      </c>
      <c r="J114" s="1"/>
      <c r="K114" s="1"/>
      <c r="L114" s="2" t="s">
        <v>448</v>
      </c>
      <c r="M114" s="1"/>
      <c r="N114" s="1"/>
      <c r="O114" s="1"/>
      <c r="P114" s="1"/>
      <c r="Q114" s="1"/>
      <c r="R114" s="1"/>
      <c r="S114" s="1"/>
      <c r="T114" s="1"/>
      <c r="U114" s="1"/>
      <c r="V114" s="1"/>
      <c r="W114" s="1"/>
      <c r="X114" s="1"/>
      <c r="Y114" s="1"/>
      <c r="Z114" s="1"/>
    </row>
    <row r="115" spans="1:26" ht="33.75" customHeight="1">
      <c r="A115" s="1">
        <v>373</v>
      </c>
      <c r="B115" s="1" t="s">
        <v>449</v>
      </c>
      <c r="C115" s="1" t="s">
        <v>160</v>
      </c>
      <c r="D115" s="4">
        <v>39847.064583333333</v>
      </c>
      <c r="E115" s="1" t="s">
        <v>54</v>
      </c>
      <c r="F115" s="1"/>
      <c r="G115" s="6" t="s">
        <v>78</v>
      </c>
      <c r="H115" s="5" t="s">
        <v>223</v>
      </c>
      <c r="I115" s="1" t="s">
        <v>64</v>
      </c>
      <c r="J115" s="1" t="s">
        <v>450</v>
      </c>
      <c r="K115" s="1"/>
      <c r="L115" s="2" t="s">
        <v>451</v>
      </c>
      <c r="M115" s="1"/>
      <c r="N115" s="1"/>
      <c r="O115" s="1"/>
      <c r="P115" s="1"/>
      <c r="Q115" s="1"/>
      <c r="R115" s="1"/>
      <c r="S115" s="1"/>
      <c r="T115" s="1"/>
      <c r="U115" s="1"/>
      <c r="V115" s="1"/>
      <c r="W115" s="1"/>
      <c r="X115" s="1"/>
      <c r="Y115" s="1"/>
      <c r="Z115" s="1"/>
    </row>
    <row r="116" spans="1:26" ht="33.75" customHeight="1">
      <c r="A116" s="1">
        <v>374</v>
      </c>
      <c r="B116" s="1" t="s">
        <v>452</v>
      </c>
      <c r="C116" s="1" t="s">
        <v>160</v>
      </c>
      <c r="D116" s="4">
        <v>39847.077777777777</v>
      </c>
      <c r="E116" s="1" t="s">
        <v>14</v>
      </c>
      <c r="F116" s="1"/>
      <c r="G116" s="5" t="s">
        <v>64</v>
      </c>
      <c r="H116" s="5" t="s">
        <v>263</v>
      </c>
      <c r="I116" s="1" t="s">
        <v>453</v>
      </c>
      <c r="J116" s="1"/>
      <c r="K116" s="1" t="s">
        <v>454</v>
      </c>
      <c r="L116" s="2" t="s">
        <v>455</v>
      </c>
      <c r="M116" s="1"/>
      <c r="N116" s="1"/>
      <c r="O116" s="1"/>
      <c r="P116" s="1"/>
      <c r="Q116" s="1"/>
      <c r="R116" s="1"/>
      <c r="S116" s="1"/>
      <c r="T116" s="1"/>
      <c r="U116" s="1"/>
      <c r="V116" s="1"/>
      <c r="W116" s="1"/>
      <c r="X116" s="1"/>
      <c r="Y116" s="1"/>
      <c r="Z116" s="1"/>
    </row>
    <row r="117" spans="1:26" ht="33.75" customHeight="1">
      <c r="A117" s="1">
        <v>375</v>
      </c>
      <c r="B117" s="1" t="s">
        <v>456</v>
      </c>
      <c r="C117" s="1" t="s">
        <v>160</v>
      </c>
      <c r="D117" s="4">
        <v>39847.12777777778</v>
      </c>
      <c r="E117" s="1" t="s">
        <v>54</v>
      </c>
      <c r="F117" s="1"/>
      <c r="G117" s="1" t="s">
        <v>64</v>
      </c>
      <c r="H117" s="1" t="s">
        <v>263</v>
      </c>
      <c r="I117" s="1" t="s">
        <v>457</v>
      </c>
      <c r="J117" s="1"/>
      <c r="K117" s="1" t="s">
        <v>458</v>
      </c>
      <c r="L117" s="2" t="s">
        <v>459</v>
      </c>
      <c r="M117" s="1"/>
      <c r="N117" s="1"/>
      <c r="O117" s="1"/>
      <c r="P117" s="1"/>
      <c r="Q117" s="1"/>
      <c r="R117" s="1"/>
      <c r="S117" s="1"/>
      <c r="T117" s="1"/>
      <c r="U117" s="1"/>
      <c r="V117" s="1"/>
      <c r="W117" s="1"/>
      <c r="X117" s="1"/>
      <c r="Y117" s="1"/>
      <c r="Z117" s="1"/>
    </row>
    <row r="118" spans="1:26" ht="33.75" customHeight="1">
      <c r="A118" s="1">
        <v>376</v>
      </c>
      <c r="B118" s="1" t="s">
        <v>460</v>
      </c>
      <c r="C118" s="1" t="s">
        <v>160</v>
      </c>
      <c r="D118" s="4">
        <v>39847.232638888891</v>
      </c>
      <c r="E118" s="1" t="s">
        <v>320</v>
      </c>
      <c r="F118" s="1" t="s">
        <v>392</v>
      </c>
      <c r="G118" s="5" t="s">
        <v>64</v>
      </c>
      <c r="H118" s="5" t="s">
        <v>282</v>
      </c>
      <c r="I118" s="1" t="s">
        <v>283</v>
      </c>
      <c r="J118" s="1"/>
      <c r="K118" s="1" t="s">
        <v>461</v>
      </c>
      <c r="L118" s="2" t="s">
        <v>462</v>
      </c>
      <c r="M118" s="1"/>
      <c r="N118" s="1"/>
      <c r="O118" s="1"/>
      <c r="P118" s="1"/>
      <c r="Q118" s="1"/>
      <c r="R118" s="1"/>
      <c r="S118" s="1"/>
      <c r="T118" s="1"/>
      <c r="U118" s="1"/>
      <c r="V118" s="1"/>
      <c r="W118" s="1"/>
      <c r="X118" s="1"/>
      <c r="Y118" s="1"/>
      <c r="Z118" s="1"/>
    </row>
    <row r="119" spans="1:26" ht="33.75" customHeight="1">
      <c r="A119" s="1">
        <v>377</v>
      </c>
      <c r="B119" s="1" t="s">
        <v>463</v>
      </c>
      <c r="C119" s="1" t="s">
        <v>160</v>
      </c>
      <c r="D119" s="4">
        <v>39847.259722222225</v>
      </c>
      <c r="E119" s="1" t="s">
        <v>393</v>
      </c>
      <c r="F119" s="1" t="s">
        <v>464</v>
      </c>
      <c r="G119" s="5" t="s">
        <v>26</v>
      </c>
      <c r="H119" s="5" t="s">
        <v>27</v>
      </c>
      <c r="I119" s="1" t="s">
        <v>28</v>
      </c>
      <c r="J119" s="1" t="s">
        <v>29</v>
      </c>
      <c r="K119" s="1" t="s">
        <v>465</v>
      </c>
      <c r="L119" s="2" t="s">
        <v>466</v>
      </c>
      <c r="M119" s="1"/>
      <c r="N119" s="1"/>
      <c r="O119" s="1"/>
      <c r="P119" s="1"/>
      <c r="Q119" s="1"/>
      <c r="R119" s="1"/>
      <c r="S119" s="1"/>
      <c r="T119" s="1"/>
      <c r="U119" s="1"/>
      <c r="V119" s="1"/>
      <c r="W119" s="1"/>
      <c r="X119" s="1"/>
      <c r="Y119" s="1"/>
      <c r="Z119" s="1"/>
    </row>
    <row r="120" spans="1:26" ht="33.75" customHeight="1">
      <c r="A120" s="1">
        <v>292</v>
      </c>
      <c r="B120" s="1" t="s">
        <v>467</v>
      </c>
      <c r="C120" s="1" t="s">
        <v>156</v>
      </c>
      <c r="D120" s="4">
        <v>39847.453472222223</v>
      </c>
      <c r="E120" s="1" t="s">
        <v>101</v>
      </c>
      <c r="F120" s="1"/>
      <c r="G120" s="5" t="s">
        <v>64</v>
      </c>
      <c r="H120" s="5" t="s">
        <v>65</v>
      </c>
      <c r="I120" s="1" t="s">
        <v>35</v>
      </c>
      <c r="J120" s="1"/>
      <c r="K120" s="1" t="s">
        <v>468</v>
      </c>
      <c r="L120" s="2" t="s">
        <v>469</v>
      </c>
      <c r="M120" s="1"/>
      <c r="N120" s="1"/>
      <c r="O120" s="1"/>
      <c r="P120" s="1"/>
      <c r="Q120" s="1"/>
      <c r="R120" s="1"/>
      <c r="S120" s="1"/>
      <c r="T120" s="1"/>
      <c r="U120" s="1"/>
      <c r="V120" s="1"/>
      <c r="W120" s="1"/>
      <c r="X120" s="1"/>
      <c r="Y120" s="1"/>
      <c r="Z120" s="1"/>
    </row>
    <row r="121" spans="1:26" ht="33.75" customHeight="1">
      <c r="A121" s="1">
        <v>293</v>
      </c>
      <c r="B121" s="1" t="s">
        <v>470</v>
      </c>
      <c r="C121" s="1" t="s">
        <v>156</v>
      </c>
      <c r="D121" s="4">
        <v>39847.482638888891</v>
      </c>
      <c r="E121" s="1" t="s">
        <v>14</v>
      </c>
      <c r="F121" s="1" t="s">
        <v>467</v>
      </c>
      <c r="G121" s="5" t="s">
        <v>64</v>
      </c>
      <c r="H121" s="5" t="s">
        <v>65</v>
      </c>
      <c r="I121" s="1" t="s">
        <v>35</v>
      </c>
      <c r="J121" s="1"/>
      <c r="K121" s="1" t="s">
        <v>471</v>
      </c>
      <c r="L121" s="2" t="s">
        <v>472</v>
      </c>
      <c r="M121" s="1"/>
      <c r="N121" s="1"/>
      <c r="O121" s="1"/>
      <c r="P121" s="1"/>
      <c r="Q121" s="1"/>
      <c r="R121" s="1"/>
      <c r="S121" s="1"/>
      <c r="T121" s="1"/>
      <c r="U121" s="1"/>
      <c r="V121" s="1"/>
      <c r="W121" s="1"/>
      <c r="X121" s="1"/>
      <c r="Y121" s="1"/>
      <c r="Z121" s="1"/>
    </row>
    <row r="122" spans="1:26" ht="33.75" customHeight="1">
      <c r="A122" s="1">
        <v>378</v>
      </c>
      <c r="B122" s="1" t="s">
        <v>473</v>
      </c>
      <c r="C122" s="1" t="s">
        <v>160</v>
      </c>
      <c r="D122" s="4">
        <v>39847.491666666669</v>
      </c>
      <c r="E122" s="1" t="s">
        <v>474</v>
      </c>
      <c r="F122" s="1"/>
      <c r="G122" s="1" t="s">
        <v>64</v>
      </c>
      <c r="H122" s="1" t="s">
        <v>263</v>
      </c>
      <c r="I122" s="1" t="s">
        <v>475</v>
      </c>
      <c r="J122" s="1"/>
      <c r="K122" s="1"/>
      <c r="L122" s="2" t="s">
        <v>476</v>
      </c>
      <c r="M122" s="1"/>
      <c r="N122" s="1"/>
      <c r="O122" s="1"/>
      <c r="P122" s="1"/>
      <c r="Q122" s="1"/>
      <c r="R122" s="1"/>
      <c r="S122" s="1"/>
      <c r="T122" s="1"/>
      <c r="U122" s="1"/>
      <c r="V122" s="1"/>
      <c r="W122" s="1"/>
      <c r="X122" s="1"/>
      <c r="Y122" s="1"/>
      <c r="Z122" s="1"/>
    </row>
    <row r="123" spans="1:26" ht="33.75" customHeight="1">
      <c r="A123" s="1">
        <v>379</v>
      </c>
      <c r="B123" s="1" t="s">
        <v>477</v>
      </c>
      <c r="C123" s="1" t="s">
        <v>160</v>
      </c>
      <c r="D123" s="4">
        <v>39847.493055555555</v>
      </c>
      <c r="E123" s="1" t="s">
        <v>14</v>
      </c>
      <c r="F123" s="1" t="s">
        <v>478</v>
      </c>
      <c r="G123" s="6" t="s">
        <v>78</v>
      </c>
      <c r="H123" s="5" t="s">
        <v>479</v>
      </c>
      <c r="I123" s="1" t="s">
        <v>480</v>
      </c>
      <c r="J123" s="1" t="s">
        <v>481</v>
      </c>
      <c r="K123" s="1" t="s">
        <v>482</v>
      </c>
      <c r="L123" s="2" t="s">
        <v>483</v>
      </c>
      <c r="M123" s="1"/>
      <c r="N123" s="1"/>
      <c r="O123" s="1"/>
      <c r="P123" s="1"/>
      <c r="Q123" s="1"/>
      <c r="R123" s="1"/>
      <c r="S123" s="1"/>
      <c r="T123" s="1"/>
      <c r="U123" s="1"/>
      <c r="V123" s="1"/>
      <c r="W123" s="1"/>
      <c r="X123" s="1"/>
      <c r="Y123" s="1"/>
      <c r="Z123" s="1"/>
    </row>
    <row r="124" spans="1:26" ht="33.75" customHeight="1">
      <c r="A124" s="1">
        <v>64</v>
      </c>
      <c r="B124" s="1" t="s">
        <v>484</v>
      </c>
      <c r="C124" s="3" t="s">
        <v>13</v>
      </c>
      <c r="D124" s="4">
        <v>39847.532638888886</v>
      </c>
      <c r="E124" s="1" t="s">
        <v>485</v>
      </c>
      <c r="F124" s="1"/>
      <c r="G124" s="5" t="s">
        <v>15</v>
      </c>
      <c r="H124" s="5" t="s">
        <v>22</v>
      </c>
      <c r="I124" s="1" t="s">
        <v>23</v>
      </c>
      <c r="J124" s="1"/>
      <c r="K124" s="1" t="s">
        <v>486</v>
      </c>
      <c r="L124" s="2" t="s">
        <v>487</v>
      </c>
      <c r="M124" s="1"/>
      <c r="N124" s="1"/>
      <c r="O124" s="1"/>
      <c r="P124" s="1"/>
      <c r="Q124" s="1"/>
      <c r="R124" s="1"/>
      <c r="S124" s="1"/>
      <c r="T124" s="1"/>
      <c r="U124" s="1"/>
      <c r="V124" s="1"/>
      <c r="W124" s="1"/>
      <c r="X124" s="1"/>
      <c r="Y124" s="1"/>
      <c r="Z124" s="1"/>
    </row>
    <row r="125" spans="1:26" ht="33.75" customHeight="1">
      <c r="A125" s="1">
        <v>65</v>
      </c>
      <c r="B125" s="1" t="s">
        <v>488</v>
      </c>
      <c r="C125" s="3" t="s">
        <v>13</v>
      </c>
      <c r="D125" s="4">
        <v>39847.556250000001</v>
      </c>
      <c r="E125" s="1" t="s">
        <v>14</v>
      </c>
      <c r="F125" s="1" t="s">
        <v>484</v>
      </c>
      <c r="G125" s="5" t="s">
        <v>15</v>
      </c>
      <c r="H125" s="5" t="s">
        <v>22</v>
      </c>
      <c r="I125" s="1" t="s">
        <v>23</v>
      </c>
      <c r="J125" s="1"/>
      <c r="K125" s="1" t="s">
        <v>489</v>
      </c>
      <c r="L125" s="2" t="s">
        <v>490</v>
      </c>
      <c r="M125" s="1"/>
      <c r="N125" s="1"/>
      <c r="O125" s="1"/>
      <c r="P125" s="1"/>
      <c r="Q125" s="1"/>
      <c r="R125" s="1"/>
      <c r="S125" s="1"/>
      <c r="T125" s="1"/>
      <c r="U125" s="1"/>
      <c r="V125" s="1"/>
      <c r="W125" s="1"/>
      <c r="X125" s="1"/>
      <c r="Y125" s="1"/>
      <c r="Z125" s="1"/>
    </row>
    <row r="126" spans="1:26" ht="33.75" customHeight="1">
      <c r="A126" s="1">
        <v>380</v>
      </c>
      <c r="B126" s="1" t="s">
        <v>491</v>
      </c>
      <c r="C126" s="1" t="s">
        <v>160</v>
      </c>
      <c r="D126" s="4">
        <v>39847.56527777778</v>
      </c>
      <c r="E126" s="1" t="s">
        <v>14</v>
      </c>
      <c r="F126" s="1" t="s">
        <v>492</v>
      </c>
      <c r="G126" s="6" t="s">
        <v>78</v>
      </c>
      <c r="H126" s="5" t="s">
        <v>88</v>
      </c>
      <c r="I126" s="1" t="s">
        <v>493</v>
      </c>
      <c r="J126" s="1"/>
      <c r="K126" s="1" t="s">
        <v>494</v>
      </c>
      <c r="L126" s="2" t="s">
        <v>495</v>
      </c>
      <c r="M126" s="1"/>
      <c r="N126" s="1"/>
      <c r="O126" s="1"/>
      <c r="P126" s="1"/>
      <c r="Q126" s="1"/>
      <c r="R126" s="1"/>
      <c r="S126" s="1"/>
      <c r="T126" s="1"/>
      <c r="U126" s="1"/>
      <c r="V126" s="1"/>
      <c r="W126" s="1"/>
      <c r="X126" s="1"/>
      <c r="Y126" s="1"/>
      <c r="Z126" s="1"/>
    </row>
    <row r="127" spans="1:26" ht="33.75" customHeight="1">
      <c r="A127" s="1">
        <v>381</v>
      </c>
      <c r="B127" s="1" t="s">
        <v>496</v>
      </c>
      <c r="C127" s="1" t="s">
        <v>160</v>
      </c>
      <c r="D127" s="4">
        <v>39847.574305555558</v>
      </c>
      <c r="E127" s="1" t="s">
        <v>14</v>
      </c>
      <c r="F127" s="1" t="s">
        <v>497</v>
      </c>
      <c r="G127" s="5" t="s">
        <v>64</v>
      </c>
      <c r="H127" s="5" t="s">
        <v>282</v>
      </c>
      <c r="I127" s="1" t="s">
        <v>283</v>
      </c>
      <c r="J127" s="1"/>
      <c r="K127" s="1" t="s">
        <v>498</v>
      </c>
      <c r="L127" s="2" t="s">
        <v>499</v>
      </c>
      <c r="M127" s="1"/>
      <c r="N127" s="1"/>
      <c r="O127" s="1"/>
      <c r="P127" s="1"/>
      <c r="Q127" s="1"/>
      <c r="R127" s="1"/>
      <c r="S127" s="1"/>
      <c r="T127" s="1"/>
      <c r="U127" s="1"/>
      <c r="V127" s="1"/>
      <c r="W127" s="1"/>
      <c r="X127" s="1"/>
      <c r="Y127" s="1"/>
      <c r="Z127" s="1"/>
    </row>
    <row r="128" spans="1:26" ht="33.75" customHeight="1">
      <c r="A128" s="1">
        <v>66</v>
      </c>
      <c r="B128" s="1" t="s">
        <v>500</v>
      </c>
      <c r="C128" s="3" t="s">
        <v>13</v>
      </c>
      <c r="D128" s="4">
        <v>39847.574999999997</v>
      </c>
      <c r="E128" s="1" t="s">
        <v>485</v>
      </c>
      <c r="F128" s="1" t="s">
        <v>488</v>
      </c>
      <c r="G128" s="5" t="s">
        <v>15</v>
      </c>
      <c r="H128" s="5" t="s">
        <v>22</v>
      </c>
      <c r="I128" s="1" t="s">
        <v>23</v>
      </c>
      <c r="J128" s="1"/>
      <c r="K128" s="1" t="s">
        <v>501</v>
      </c>
      <c r="L128" s="2" t="s">
        <v>502</v>
      </c>
      <c r="M128" s="1"/>
      <c r="N128" s="1"/>
      <c r="O128" s="1"/>
      <c r="P128" s="1"/>
      <c r="Q128" s="1"/>
      <c r="R128" s="1"/>
      <c r="S128" s="1"/>
      <c r="T128" s="1"/>
      <c r="U128" s="1"/>
      <c r="V128" s="1"/>
      <c r="W128" s="1"/>
      <c r="X128" s="1"/>
      <c r="Y128" s="1"/>
      <c r="Z128" s="1"/>
    </row>
    <row r="129" spans="1:26" ht="33.75" customHeight="1">
      <c r="A129" s="1">
        <v>382</v>
      </c>
      <c r="B129" s="1" t="s">
        <v>503</v>
      </c>
      <c r="C129" s="1" t="s">
        <v>160</v>
      </c>
      <c r="D129" s="4">
        <v>39847.585416666669</v>
      </c>
      <c r="E129" s="1" t="s">
        <v>14</v>
      </c>
      <c r="F129" s="1"/>
      <c r="G129" s="5" t="s">
        <v>15</v>
      </c>
      <c r="H129" s="5" t="s">
        <v>150</v>
      </c>
      <c r="I129" s="1" t="s">
        <v>504</v>
      </c>
      <c r="J129" s="1"/>
      <c r="K129" s="1" t="s">
        <v>505</v>
      </c>
      <c r="L129" s="2" t="s">
        <v>506</v>
      </c>
      <c r="M129" s="1"/>
      <c r="N129" s="1"/>
      <c r="O129" s="1"/>
      <c r="P129" s="1"/>
      <c r="Q129" s="1"/>
      <c r="R129" s="1"/>
      <c r="S129" s="1"/>
      <c r="T129" s="1"/>
      <c r="U129" s="1"/>
      <c r="V129" s="1"/>
      <c r="W129" s="1"/>
      <c r="X129" s="1"/>
      <c r="Y129" s="1"/>
      <c r="Z129" s="1"/>
    </row>
    <row r="130" spans="1:26" ht="33.75" customHeight="1">
      <c r="A130" s="1">
        <v>383</v>
      </c>
      <c r="B130" s="1" t="s">
        <v>507</v>
      </c>
      <c r="C130" s="1" t="s">
        <v>160</v>
      </c>
      <c r="D130" s="4">
        <v>39847.600694444445</v>
      </c>
      <c r="E130" s="1" t="s">
        <v>14</v>
      </c>
      <c r="F130" s="1" t="s">
        <v>503</v>
      </c>
      <c r="G130" s="5" t="s">
        <v>64</v>
      </c>
      <c r="H130" s="5" t="s">
        <v>282</v>
      </c>
      <c r="I130" s="1" t="s">
        <v>283</v>
      </c>
      <c r="J130" s="1"/>
      <c r="K130" s="1" t="s">
        <v>498</v>
      </c>
      <c r="L130" s="2" t="s">
        <v>508</v>
      </c>
      <c r="M130" s="1"/>
      <c r="N130" s="1"/>
      <c r="O130" s="1"/>
      <c r="P130" s="1"/>
      <c r="Q130" s="1"/>
      <c r="R130" s="1"/>
      <c r="S130" s="1"/>
      <c r="T130" s="1"/>
      <c r="U130" s="1"/>
      <c r="V130" s="1"/>
      <c r="W130" s="1"/>
      <c r="X130" s="1"/>
      <c r="Y130" s="1"/>
      <c r="Z130" s="1"/>
    </row>
    <row r="131" spans="1:26" ht="33.75" customHeight="1">
      <c r="A131" s="1">
        <v>384</v>
      </c>
      <c r="B131" s="1" t="s">
        <v>509</v>
      </c>
      <c r="C131" s="1" t="s">
        <v>160</v>
      </c>
      <c r="D131" s="4">
        <v>39847.616666666669</v>
      </c>
      <c r="E131" s="1" t="s">
        <v>320</v>
      </c>
      <c r="F131" s="1" t="s">
        <v>510</v>
      </c>
      <c r="G131" s="1" t="s">
        <v>26</v>
      </c>
      <c r="H131" s="1" t="s">
        <v>133</v>
      </c>
      <c r="I131" s="1" t="s">
        <v>511</v>
      </c>
      <c r="J131" s="1"/>
      <c r="K131" s="1" t="s">
        <v>317</v>
      </c>
      <c r="L131" s="2" t="s">
        <v>512</v>
      </c>
      <c r="M131" s="1"/>
      <c r="N131" s="1"/>
      <c r="O131" s="1"/>
      <c r="P131" s="1"/>
      <c r="Q131" s="1"/>
      <c r="R131" s="1"/>
      <c r="S131" s="1"/>
      <c r="T131" s="1"/>
      <c r="U131" s="1"/>
      <c r="V131" s="1"/>
      <c r="W131" s="1"/>
      <c r="X131" s="1"/>
      <c r="Y131" s="1"/>
      <c r="Z131" s="1"/>
    </row>
    <row r="132" spans="1:26" ht="33.75" customHeight="1">
      <c r="A132" s="1">
        <v>385</v>
      </c>
      <c r="B132" s="1" t="s">
        <v>513</v>
      </c>
      <c r="C132" s="1" t="s">
        <v>160</v>
      </c>
      <c r="D132" s="4">
        <v>39847.636111111111</v>
      </c>
      <c r="E132" s="1" t="s">
        <v>14</v>
      </c>
      <c r="F132" s="1" t="s">
        <v>503</v>
      </c>
      <c r="G132" s="5" t="s">
        <v>64</v>
      </c>
      <c r="H132" s="5" t="s">
        <v>282</v>
      </c>
      <c r="I132" s="1" t="s">
        <v>283</v>
      </c>
      <c r="J132" s="1"/>
      <c r="K132" s="1" t="s">
        <v>498</v>
      </c>
      <c r="L132" s="2" t="s">
        <v>514</v>
      </c>
      <c r="M132" s="1"/>
      <c r="N132" s="1"/>
      <c r="O132" s="1"/>
      <c r="P132" s="1"/>
      <c r="Q132" s="1"/>
      <c r="R132" s="1"/>
      <c r="S132" s="1"/>
      <c r="T132" s="1"/>
      <c r="U132" s="1"/>
      <c r="V132" s="1"/>
      <c r="W132" s="1"/>
      <c r="X132" s="1"/>
      <c r="Y132" s="1"/>
      <c r="Z132" s="1"/>
    </row>
    <row r="133" spans="1:26" ht="33.75" customHeight="1">
      <c r="A133" s="1">
        <v>386</v>
      </c>
      <c r="B133" s="1" t="s">
        <v>515</v>
      </c>
      <c r="C133" s="1" t="s">
        <v>160</v>
      </c>
      <c r="D133" s="4">
        <v>39847.643055555556</v>
      </c>
      <c r="E133" s="1" t="s">
        <v>14</v>
      </c>
      <c r="F133" s="1" t="s">
        <v>516</v>
      </c>
      <c r="G133" s="5" t="s">
        <v>64</v>
      </c>
      <c r="H133" s="5" t="s">
        <v>282</v>
      </c>
      <c r="I133" s="1" t="s">
        <v>283</v>
      </c>
      <c r="J133" s="1"/>
      <c r="K133" s="1" t="s">
        <v>517</v>
      </c>
      <c r="L133" s="2" t="s">
        <v>518</v>
      </c>
      <c r="M133" s="1"/>
      <c r="N133" s="1"/>
      <c r="O133" s="1"/>
      <c r="P133" s="1"/>
      <c r="Q133" s="1"/>
      <c r="R133" s="1"/>
      <c r="S133" s="1"/>
      <c r="T133" s="1"/>
      <c r="U133" s="1"/>
      <c r="V133" s="1"/>
      <c r="W133" s="1"/>
      <c r="X133" s="1"/>
      <c r="Y133" s="1"/>
      <c r="Z133" s="1"/>
    </row>
    <row r="134" spans="1:26" ht="33.75" customHeight="1">
      <c r="A134" s="1">
        <v>387</v>
      </c>
      <c r="B134" s="1" t="s">
        <v>519</v>
      </c>
      <c r="C134" s="1" t="s">
        <v>160</v>
      </c>
      <c r="D134" s="4">
        <v>39847.655555555553</v>
      </c>
      <c r="E134" s="1" t="s">
        <v>14</v>
      </c>
      <c r="F134" s="1" t="s">
        <v>515</v>
      </c>
      <c r="G134" s="5" t="s">
        <v>64</v>
      </c>
      <c r="H134" s="5" t="s">
        <v>263</v>
      </c>
      <c r="I134" s="1" t="s">
        <v>295</v>
      </c>
      <c r="J134" s="1"/>
      <c r="K134" s="1" t="s">
        <v>520</v>
      </c>
      <c r="L134" s="2" t="s">
        <v>521</v>
      </c>
      <c r="M134" s="1"/>
      <c r="N134" s="1"/>
      <c r="O134" s="1"/>
      <c r="P134" s="1"/>
      <c r="Q134" s="1"/>
      <c r="R134" s="1"/>
      <c r="S134" s="1"/>
      <c r="T134" s="1"/>
      <c r="U134" s="1"/>
      <c r="V134" s="1"/>
      <c r="W134" s="1"/>
      <c r="X134" s="1"/>
      <c r="Y134" s="1"/>
      <c r="Z134" s="1"/>
    </row>
    <row r="135" spans="1:26" ht="33.75" customHeight="1">
      <c r="A135" s="1">
        <v>388</v>
      </c>
      <c r="B135" s="1" t="s">
        <v>522</v>
      </c>
      <c r="C135" s="1" t="s">
        <v>160</v>
      </c>
      <c r="D135" s="4">
        <v>39847.662499999999</v>
      </c>
      <c r="E135" s="1" t="s">
        <v>14</v>
      </c>
      <c r="F135" s="1"/>
      <c r="G135" s="5" t="s">
        <v>64</v>
      </c>
      <c r="H135" s="5" t="s">
        <v>282</v>
      </c>
      <c r="I135" s="1" t="s">
        <v>283</v>
      </c>
      <c r="J135" s="1"/>
      <c r="K135" s="1" t="s">
        <v>523</v>
      </c>
      <c r="L135" s="2" t="s">
        <v>524</v>
      </c>
      <c r="M135" s="1"/>
      <c r="N135" s="1"/>
      <c r="O135" s="1"/>
      <c r="P135" s="1"/>
      <c r="Q135" s="1"/>
      <c r="R135" s="1"/>
      <c r="S135" s="1"/>
      <c r="T135" s="1"/>
      <c r="U135" s="1"/>
      <c r="V135" s="1"/>
      <c r="W135" s="1"/>
      <c r="X135" s="1"/>
      <c r="Y135" s="1"/>
      <c r="Z135" s="1"/>
    </row>
    <row r="136" spans="1:26" ht="33.75" customHeight="1">
      <c r="A136" s="1">
        <v>67</v>
      </c>
      <c r="B136" s="1" t="s">
        <v>525</v>
      </c>
      <c r="C136" s="3" t="s">
        <v>13</v>
      </c>
      <c r="D136" s="4">
        <v>39847.671527777777</v>
      </c>
      <c r="E136" s="1" t="s">
        <v>526</v>
      </c>
      <c r="F136" s="1" t="s">
        <v>527</v>
      </c>
      <c r="G136" s="5" t="s">
        <v>15</v>
      </c>
      <c r="H136" s="5" t="s">
        <v>22</v>
      </c>
      <c r="I136" s="1" t="s">
        <v>23</v>
      </c>
      <c r="J136" s="1"/>
      <c r="K136" s="1" t="s">
        <v>528</v>
      </c>
      <c r="L136" s="2" t="s">
        <v>529</v>
      </c>
      <c r="M136" s="1"/>
      <c r="N136" s="1"/>
      <c r="O136" s="1"/>
      <c r="P136" s="1"/>
      <c r="Q136" s="1"/>
      <c r="R136" s="1"/>
      <c r="S136" s="1"/>
      <c r="T136" s="1"/>
      <c r="U136" s="1"/>
      <c r="V136" s="1"/>
      <c r="W136" s="1"/>
      <c r="X136" s="1"/>
      <c r="Y136" s="1"/>
      <c r="Z136" s="1"/>
    </row>
    <row r="137" spans="1:26" ht="33.75" customHeight="1">
      <c r="A137" s="1">
        <v>389</v>
      </c>
      <c r="B137" s="1" t="s">
        <v>530</v>
      </c>
      <c r="C137" s="1" t="s">
        <v>160</v>
      </c>
      <c r="D137" s="4">
        <v>39847.677083333336</v>
      </c>
      <c r="E137" s="1" t="s">
        <v>14</v>
      </c>
      <c r="F137" s="1" t="s">
        <v>522</v>
      </c>
      <c r="G137" s="5" t="s">
        <v>64</v>
      </c>
      <c r="H137" s="5" t="s">
        <v>282</v>
      </c>
      <c r="I137" s="1" t="s">
        <v>283</v>
      </c>
      <c r="J137" s="1"/>
      <c r="K137" s="1" t="s">
        <v>531</v>
      </c>
      <c r="L137" s="2" t="s">
        <v>532</v>
      </c>
      <c r="M137" s="1"/>
      <c r="N137" s="1"/>
      <c r="O137" s="1"/>
      <c r="P137" s="1"/>
      <c r="Q137" s="1"/>
      <c r="R137" s="1"/>
      <c r="S137" s="1"/>
      <c r="T137" s="1"/>
      <c r="U137" s="1"/>
      <c r="V137" s="1"/>
      <c r="W137" s="1"/>
      <c r="X137" s="1"/>
      <c r="Y137" s="1"/>
      <c r="Z137" s="1"/>
    </row>
    <row r="138" spans="1:26" ht="33.75" customHeight="1">
      <c r="A138" s="1">
        <v>390</v>
      </c>
      <c r="B138" s="1" t="s">
        <v>533</v>
      </c>
      <c r="C138" s="1" t="s">
        <v>160</v>
      </c>
      <c r="D138" s="4">
        <v>39847.700694444444</v>
      </c>
      <c r="E138" s="1" t="s">
        <v>14</v>
      </c>
      <c r="F138" s="1" t="s">
        <v>534</v>
      </c>
      <c r="G138" s="5" t="s">
        <v>64</v>
      </c>
      <c r="H138" s="5" t="s">
        <v>282</v>
      </c>
      <c r="I138" s="1" t="s">
        <v>283</v>
      </c>
      <c r="J138" s="1"/>
      <c r="K138" s="1" t="s">
        <v>535</v>
      </c>
      <c r="L138" s="2" t="s">
        <v>536</v>
      </c>
      <c r="M138" s="1"/>
      <c r="N138" s="1"/>
      <c r="O138" s="1"/>
      <c r="P138" s="1"/>
      <c r="Q138" s="1"/>
      <c r="R138" s="1"/>
      <c r="S138" s="1"/>
      <c r="T138" s="1"/>
      <c r="U138" s="1"/>
      <c r="V138" s="1"/>
      <c r="W138" s="1"/>
      <c r="X138" s="1"/>
      <c r="Y138" s="1"/>
      <c r="Z138" s="1"/>
    </row>
    <row r="139" spans="1:26" ht="33.75" customHeight="1">
      <c r="A139" s="1">
        <v>391</v>
      </c>
      <c r="B139" s="1" t="s">
        <v>537</v>
      </c>
      <c r="C139" s="1" t="s">
        <v>160</v>
      </c>
      <c r="D139" s="4">
        <v>39847.702777777777</v>
      </c>
      <c r="E139" s="1" t="s">
        <v>393</v>
      </c>
      <c r="F139" s="1" t="s">
        <v>538</v>
      </c>
      <c r="G139" s="5" t="s">
        <v>26</v>
      </c>
      <c r="H139" s="5" t="s">
        <v>133</v>
      </c>
      <c r="I139" s="1" t="s">
        <v>28</v>
      </c>
      <c r="J139" s="1" t="s">
        <v>134</v>
      </c>
      <c r="K139" s="1" t="s">
        <v>26</v>
      </c>
      <c r="L139" s="2" t="s">
        <v>539</v>
      </c>
      <c r="M139" s="1"/>
      <c r="N139" s="1"/>
      <c r="O139" s="1"/>
      <c r="P139" s="1"/>
      <c r="Q139" s="1"/>
      <c r="R139" s="1"/>
      <c r="S139" s="1"/>
      <c r="T139" s="1"/>
      <c r="U139" s="1"/>
      <c r="V139" s="1"/>
      <c r="W139" s="1"/>
      <c r="X139" s="1"/>
      <c r="Y139" s="1"/>
      <c r="Z139" s="1"/>
    </row>
    <row r="140" spans="1:26" ht="33.75" customHeight="1">
      <c r="A140" s="1">
        <v>392</v>
      </c>
      <c r="B140" s="1" t="s">
        <v>540</v>
      </c>
      <c r="C140" s="1" t="s">
        <v>160</v>
      </c>
      <c r="D140" s="4">
        <v>39847.710416666669</v>
      </c>
      <c r="E140" s="1" t="s">
        <v>393</v>
      </c>
      <c r="F140" s="1" t="s">
        <v>533</v>
      </c>
      <c r="G140" s="5" t="s">
        <v>64</v>
      </c>
      <c r="H140" s="5" t="s">
        <v>282</v>
      </c>
      <c r="I140" s="1" t="s">
        <v>283</v>
      </c>
      <c r="J140" s="1" t="s">
        <v>541</v>
      </c>
      <c r="K140" s="1" t="s">
        <v>542</v>
      </c>
      <c r="L140" s="2" t="s">
        <v>543</v>
      </c>
      <c r="M140" s="1"/>
      <c r="N140" s="1"/>
      <c r="O140" s="1"/>
      <c r="P140" s="1"/>
      <c r="Q140" s="1"/>
      <c r="R140" s="1"/>
      <c r="S140" s="1"/>
      <c r="T140" s="1"/>
      <c r="U140" s="1"/>
      <c r="V140" s="1"/>
      <c r="W140" s="1"/>
      <c r="X140" s="1"/>
      <c r="Y140" s="1"/>
      <c r="Z140" s="1"/>
    </row>
    <row r="141" spans="1:26" ht="33.75" customHeight="1">
      <c r="A141" s="1">
        <v>68</v>
      </c>
      <c r="B141" s="1" t="s">
        <v>544</v>
      </c>
      <c r="C141" s="3" t="s">
        <v>13</v>
      </c>
      <c r="D141" s="4">
        <v>39847.726388888892</v>
      </c>
      <c r="E141" s="1" t="s">
        <v>545</v>
      </c>
      <c r="F141" s="1"/>
      <c r="G141" s="5" t="s">
        <v>15</v>
      </c>
      <c r="H141" s="5" t="s">
        <v>22</v>
      </c>
      <c r="I141" s="1" t="s">
        <v>23</v>
      </c>
      <c r="J141" s="1"/>
      <c r="K141" s="1"/>
      <c r="L141" s="2" t="s">
        <v>546</v>
      </c>
      <c r="M141" s="1"/>
      <c r="N141" s="1"/>
      <c r="O141" s="1"/>
      <c r="P141" s="1"/>
      <c r="Q141" s="1"/>
      <c r="R141" s="1"/>
      <c r="S141" s="1"/>
      <c r="T141" s="1"/>
      <c r="U141" s="1"/>
      <c r="V141" s="1"/>
      <c r="W141" s="1"/>
      <c r="X141" s="1"/>
      <c r="Y141" s="1"/>
      <c r="Z141" s="1"/>
    </row>
    <row r="142" spans="1:26" ht="33.75" customHeight="1">
      <c r="A142" s="1">
        <v>393</v>
      </c>
      <c r="B142" s="1" t="s">
        <v>547</v>
      </c>
      <c r="C142" s="1" t="s">
        <v>160</v>
      </c>
      <c r="D142" s="4">
        <v>39847.757638888892</v>
      </c>
      <c r="E142" s="1" t="s">
        <v>14</v>
      </c>
      <c r="F142" s="1" t="s">
        <v>537</v>
      </c>
      <c r="G142" s="5" t="s">
        <v>64</v>
      </c>
      <c r="H142" s="5" t="s">
        <v>282</v>
      </c>
      <c r="I142" s="1" t="s">
        <v>283</v>
      </c>
      <c r="J142" s="1" t="s">
        <v>541</v>
      </c>
      <c r="K142" s="1" t="s">
        <v>548</v>
      </c>
      <c r="L142" s="2" t="s">
        <v>549</v>
      </c>
      <c r="M142" s="1"/>
      <c r="N142" s="1"/>
      <c r="O142" s="1"/>
      <c r="P142" s="1"/>
      <c r="Q142" s="1"/>
      <c r="R142" s="1"/>
      <c r="S142" s="1"/>
      <c r="T142" s="1"/>
      <c r="U142" s="1"/>
      <c r="V142" s="1"/>
      <c r="W142" s="1"/>
      <c r="X142" s="1"/>
      <c r="Y142" s="1"/>
      <c r="Z142" s="1"/>
    </row>
    <row r="143" spans="1:26" ht="33.75" customHeight="1">
      <c r="A143" s="1">
        <v>395</v>
      </c>
      <c r="B143" s="1" t="s">
        <v>550</v>
      </c>
      <c r="C143" s="1" t="s">
        <v>160</v>
      </c>
      <c r="D143" s="4">
        <v>39847.767361111109</v>
      </c>
      <c r="E143" s="1" t="s">
        <v>14</v>
      </c>
      <c r="F143" s="1" t="s">
        <v>540</v>
      </c>
      <c r="G143" s="5" t="s">
        <v>26</v>
      </c>
      <c r="H143" s="5" t="s">
        <v>133</v>
      </c>
      <c r="I143" s="1" t="s">
        <v>28</v>
      </c>
      <c r="J143" s="1" t="s">
        <v>134</v>
      </c>
      <c r="K143" s="1" t="s">
        <v>26</v>
      </c>
      <c r="L143" s="2" t="s">
        <v>551</v>
      </c>
      <c r="M143" s="1"/>
      <c r="N143" s="1"/>
      <c r="O143" s="1"/>
      <c r="P143" s="1"/>
      <c r="Q143" s="1"/>
      <c r="R143" s="1"/>
      <c r="S143" s="1"/>
      <c r="T143" s="1"/>
      <c r="U143" s="1"/>
      <c r="V143" s="1"/>
      <c r="W143" s="1"/>
      <c r="X143" s="1"/>
      <c r="Y143" s="1"/>
      <c r="Z143" s="1"/>
    </row>
    <row r="144" spans="1:26" ht="33.75" customHeight="1">
      <c r="A144" s="1">
        <v>69</v>
      </c>
      <c r="B144" s="1" t="s">
        <v>552</v>
      </c>
      <c r="C144" s="3" t="s">
        <v>13</v>
      </c>
      <c r="D144" s="4">
        <v>39847.768055555556</v>
      </c>
      <c r="E144" s="1" t="s">
        <v>553</v>
      </c>
      <c r="F144" s="1" t="s">
        <v>554</v>
      </c>
      <c r="G144" s="6" t="s">
        <v>78</v>
      </c>
      <c r="H144" s="5" t="s">
        <v>555</v>
      </c>
      <c r="I144" s="1" t="s">
        <v>556</v>
      </c>
      <c r="J144" s="1"/>
      <c r="K144" s="1" t="s">
        <v>557</v>
      </c>
      <c r="L144" s="2" t="s">
        <v>558</v>
      </c>
      <c r="M144" s="1"/>
      <c r="N144" s="1"/>
      <c r="O144" s="1"/>
      <c r="P144" s="1"/>
      <c r="Q144" s="1"/>
      <c r="R144" s="1"/>
      <c r="S144" s="1"/>
      <c r="T144" s="1"/>
      <c r="U144" s="1"/>
      <c r="V144" s="1"/>
      <c r="W144" s="1"/>
      <c r="X144" s="1"/>
      <c r="Y144" s="1"/>
      <c r="Z144" s="1"/>
    </row>
    <row r="145" spans="1:26" ht="33.75" customHeight="1">
      <c r="A145" s="1">
        <v>396</v>
      </c>
      <c r="B145" s="1" t="s">
        <v>559</v>
      </c>
      <c r="C145" s="1" t="s">
        <v>160</v>
      </c>
      <c r="D145" s="4">
        <v>39847.777083333334</v>
      </c>
      <c r="E145" s="1" t="s">
        <v>14</v>
      </c>
      <c r="F145" s="1" t="s">
        <v>550</v>
      </c>
      <c r="G145" s="5" t="s">
        <v>64</v>
      </c>
      <c r="H145" s="5" t="s">
        <v>282</v>
      </c>
      <c r="I145" s="1" t="s">
        <v>283</v>
      </c>
      <c r="J145" s="1"/>
      <c r="K145" s="1" t="s">
        <v>413</v>
      </c>
      <c r="L145" s="2" t="s">
        <v>560</v>
      </c>
      <c r="M145" s="1"/>
      <c r="N145" s="1"/>
      <c r="O145" s="1"/>
      <c r="P145" s="1"/>
      <c r="Q145" s="1"/>
      <c r="R145" s="1"/>
      <c r="S145" s="1"/>
      <c r="T145" s="1"/>
      <c r="U145" s="1"/>
      <c r="V145" s="1"/>
      <c r="W145" s="1"/>
      <c r="X145" s="1"/>
      <c r="Y145" s="1"/>
      <c r="Z145" s="1"/>
    </row>
    <row r="146" spans="1:26" ht="33.75" customHeight="1">
      <c r="A146" s="1">
        <v>397</v>
      </c>
      <c r="B146" s="1" t="s">
        <v>561</v>
      </c>
      <c r="C146" s="1" t="s">
        <v>160</v>
      </c>
      <c r="D146" s="4">
        <v>39847.779166666667</v>
      </c>
      <c r="E146" s="1" t="s">
        <v>54</v>
      </c>
      <c r="F146" s="1" t="s">
        <v>562</v>
      </c>
      <c r="G146" s="5" t="s">
        <v>26</v>
      </c>
      <c r="H146" s="5" t="s">
        <v>133</v>
      </c>
      <c r="I146" s="1" t="s">
        <v>28</v>
      </c>
      <c r="J146" s="1" t="s">
        <v>134</v>
      </c>
      <c r="K146" s="1"/>
      <c r="L146" s="2" t="s">
        <v>563</v>
      </c>
      <c r="M146" s="1"/>
      <c r="N146" s="1"/>
      <c r="O146" s="1"/>
      <c r="P146" s="1"/>
      <c r="Q146" s="1"/>
      <c r="R146" s="1"/>
      <c r="S146" s="1"/>
      <c r="T146" s="1"/>
      <c r="U146" s="1"/>
      <c r="V146" s="1"/>
      <c r="W146" s="1"/>
      <c r="X146" s="1"/>
      <c r="Y146" s="1"/>
      <c r="Z146" s="1"/>
    </row>
    <row r="147" spans="1:26" ht="33.75" customHeight="1">
      <c r="A147" s="1">
        <v>398</v>
      </c>
      <c r="B147" s="1" t="s">
        <v>564</v>
      </c>
      <c r="C147" s="1" t="s">
        <v>160</v>
      </c>
      <c r="D147" s="4">
        <v>39847.781944444447</v>
      </c>
      <c r="E147" s="1" t="s">
        <v>54</v>
      </c>
      <c r="F147" s="1" t="s">
        <v>473</v>
      </c>
      <c r="G147" s="5" t="s">
        <v>26</v>
      </c>
      <c r="H147" s="5" t="s">
        <v>27</v>
      </c>
      <c r="I147" s="1" t="s">
        <v>28</v>
      </c>
      <c r="J147" s="1" t="s">
        <v>259</v>
      </c>
      <c r="K147" s="1"/>
      <c r="L147" s="2" t="s">
        <v>565</v>
      </c>
      <c r="M147" s="1"/>
      <c r="N147" s="1"/>
      <c r="O147" s="1"/>
      <c r="P147" s="1"/>
      <c r="Q147" s="1"/>
      <c r="R147" s="1"/>
      <c r="S147" s="1"/>
      <c r="T147" s="1"/>
      <c r="U147" s="1"/>
      <c r="V147" s="1"/>
      <c r="W147" s="1"/>
      <c r="X147" s="1"/>
      <c r="Y147" s="1"/>
      <c r="Z147" s="1"/>
    </row>
    <row r="148" spans="1:26" ht="33.75" customHeight="1">
      <c r="A148" s="1">
        <v>399</v>
      </c>
      <c r="B148" s="1" t="s">
        <v>566</v>
      </c>
      <c r="C148" s="1" t="s">
        <v>160</v>
      </c>
      <c r="D148" s="4">
        <v>39847.78402777778</v>
      </c>
      <c r="E148" s="1" t="s">
        <v>14</v>
      </c>
      <c r="F148" s="1" t="s">
        <v>310</v>
      </c>
      <c r="G148" s="6" t="s">
        <v>78</v>
      </c>
      <c r="H148" s="5" t="s">
        <v>223</v>
      </c>
      <c r="I148" s="1" t="s">
        <v>64</v>
      </c>
      <c r="J148" s="1" t="s">
        <v>450</v>
      </c>
      <c r="K148" s="1" t="s">
        <v>567</v>
      </c>
      <c r="L148" s="2" t="s">
        <v>568</v>
      </c>
      <c r="M148" s="1"/>
      <c r="N148" s="1"/>
      <c r="O148" s="1"/>
      <c r="P148" s="1"/>
      <c r="Q148" s="1"/>
      <c r="R148" s="1"/>
      <c r="S148" s="1"/>
      <c r="T148" s="1"/>
      <c r="U148" s="1"/>
      <c r="V148" s="1"/>
      <c r="W148" s="1"/>
      <c r="X148" s="1"/>
      <c r="Y148" s="1"/>
      <c r="Z148" s="1"/>
    </row>
    <row r="149" spans="1:26" ht="33.75" customHeight="1">
      <c r="A149" s="1">
        <v>400</v>
      </c>
      <c r="B149" s="1" t="s">
        <v>569</v>
      </c>
      <c r="C149" s="1" t="s">
        <v>160</v>
      </c>
      <c r="D149" s="4">
        <v>39847.786805555559</v>
      </c>
      <c r="E149" s="1" t="s">
        <v>14</v>
      </c>
      <c r="F149" s="1"/>
      <c r="G149" s="5" t="s">
        <v>64</v>
      </c>
      <c r="H149" s="1" t="s">
        <v>263</v>
      </c>
      <c r="I149" s="1" t="s">
        <v>64</v>
      </c>
      <c r="J149" s="1" t="s">
        <v>450</v>
      </c>
      <c r="K149" s="1"/>
      <c r="L149" s="2" t="s">
        <v>570</v>
      </c>
      <c r="M149" s="1"/>
      <c r="N149" s="1"/>
      <c r="O149" s="1"/>
      <c r="P149" s="1"/>
      <c r="Q149" s="1"/>
      <c r="R149" s="1"/>
      <c r="S149" s="1"/>
      <c r="T149" s="1"/>
      <c r="U149" s="1"/>
      <c r="V149" s="1"/>
      <c r="W149" s="1"/>
      <c r="X149" s="1"/>
      <c r="Y149" s="1"/>
      <c r="Z149" s="1"/>
    </row>
    <row r="150" spans="1:26" ht="33.75" customHeight="1">
      <c r="A150" s="1">
        <v>401</v>
      </c>
      <c r="B150" s="1" t="s">
        <v>571</v>
      </c>
      <c r="C150" s="1" t="s">
        <v>160</v>
      </c>
      <c r="D150" s="4">
        <v>39847.796527777777</v>
      </c>
      <c r="E150" s="1" t="s">
        <v>393</v>
      </c>
      <c r="F150" s="1" t="s">
        <v>559</v>
      </c>
      <c r="G150" s="6" t="s">
        <v>78</v>
      </c>
      <c r="H150" s="5" t="s">
        <v>479</v>
      </c>
      <c r="I150" s="1" t="s">
        <v>351</v>
      </c>
      <c r="J150" s="1"/>
      <c r="K150" s="1" t="s">
        <v>572</v>
      </c>
      <c r="L150" s="2" t="s">
        <v>573</v>
      </c>
      <c r="M150" s="1"/>
      <c r="N150" s="1"/>
      <c r="O150" s="1"/>
      <c r="P150" s="1"/>
      <c r="Q150" s="1"/>
      <c r="R150" s="1"/>
      <c r="S150" s="1"/>
      <c r="T150" s="1"/>
      <c r="U150" s="1"/>
      <c r="V150" s="1"/>
      <c r="W150" s="1"/>
      <c r="X150" s="1"/>
      <c r="Y150" s="1"/>
      <c r="Z150" s="1"/>
    </row>
    <row r="151" spans="1:26" ht="33.75" customHeight="1">
      <c r="A151" s="1">
        <v>402</v>
      </c>
      <c r="B151" s="1" t="s">
        <v>574</v>
      </c>
      <c r="C151" s="1" t="s">
        <v>160</v>
      </c>
      <c r="D151" s="4">
        <v>39847.807638888888</v>
      </c>
      <c r="E151" s="1" t="s">
        <v>320</v>
      </c>
      <c r="F151" s="1" t="s">
        <v>575</v>
      </c>
      <c r="G151" s="5" t="s">
        <v>15</v>
      </c>
      <c r="H151" s="5" t="s">
        <v>402</v>
      </c>
      <c r="I151" s="1" t="s">
        <v>576</v>
      </c>
      <c r="J151" s="1"/>
      <c r="K151" s="1"/>
      <c r="L151" s="2" t="s">
        <v>577</v>
      </c>
      <c r="M151" s="1"/>
      <c r="N151" s="1"/>
      <c r="O151" s="1"/>
      <c r="P151" s="1"/>
      <c r="Q151" s="1"/>
      <c r="R151" s="1"/>
      <c r="S151" s="1"/>
      <c r="T151" s="1"/>
      <c r="U151" s="1"/>
      <c r="V151" s="1"/>
      <c r="W151" s="1"/>
      <c r="X151" s="1"/>
      <c r="Y151" s="1"/>
      <c r="Z151" s="1"/>
    </row>
    <row r="152" spans="1:26" ht="33.75" customHeight="1">
      <c r="A152" s="1">
        <v>403</v>
      </c>
      <c r="B152" s="1" t="s">
        <v>578</v>
      </c>
      <c r="C152" s="1" t="s">
        <v>160</v>
      </c>
      <c r="D152" s="4">
        <v>39847.822916666664</v>
      </c>
      <c r="E152" s="1" t="s">
        <v>416</v>
      </c>
      <c r="F152" s="1" t="s">
        <v>366</v>
      </c>
      <c r="G152" s="6" t="s">
        <v>78</v>
      </c>
      <c r="H152" s="5" t="s">
        <v>223</v>
      </c>
      <c r="I152" s="1" t="s">
        <v>64</v>
      </c>
      <c r="J152" s="1" t="s">
        <v>450</v>
      </c>
      <c r="K152" s="1"/>
      <c r="L152" s="2" t="s">
        <v>579</v>
      </c>
      <c r="M152" s="1"/>
      <c r="N152" s="1"/>
      <c r="O152" s="1"/>
      <c r="P152" s="1"/>
      <c r="Q152" s="1"/>
      <c r="R152" s="1"/>
      <c r="S152" s="1"/>
      <c r="T152" s="1"/>
      <c r="U152" s="1"/>
      <c r="V152" s="1"/>
      <c r="W152" s="1"/>
      <c r="X152" s="1"/>
      <c r="Y152" s="1"/>
      <c r="Z152" s="1"/>
    </row>
    <row r="153" spans="1:26" ht="33.75" customHeight="1">
      <c r="A153" s="1">
        <v>404</v>
      </c>
      <c r="B153" s="1" t="s">
        <v>580</v>
      </c>
      <c r="C153" s="1" t="s">
        <v>160</v>
      </c>
      <c r="D153" s="4">
        <v>39847.841666666667</v>
      </c>
      <c r="E153" s="1" t="s">
        <v>54</v>
      </c>
      <c r="F153" s="1" t="s">
        <v>578</v>
      </c>
      <c r="G153" s="6" t="s">
        <v>78</v>
      </c>
      <c r="H153" s="5" t="s">
        <v>223</v>
      </c>
      <c r="I153" s="1" t="s">
        <v>64</v>
      </c>
      <c r="J153" s="1" t="s">
        <v>450</v>
      </c>
      <c r="K153" s="1" t="s">
        <v>581</v>
      </c>
      <c r="L153" s="2" t="s">
        <v>582</v>
      </c>
      <c r="M153" s="1"/>
      <c r="N153" s="1"/>
      <c r="O153" s="1"/>
      <c r="P153" s="1"/>
      <c r="Q153" s="1"/>
      <c r="R153" s="1"/>
      <c r="S153" s="1"/>
      <c r="T153" s="1"/>
      <c r="U153" s="1"/>
      <c r="V153" s="1"/>
      <c r="W153" s="1"/>
      <c r="X153" s="1"/>
      <c r="Y153" s="1"/>
      <c r="Z153" s="1"/>
    </row>
    <row r="154" spans="1:26" ht="33.75" customHeight="1">
      <c r="A154" s="1">
        <v>70</v>
      </c>
      <c r="B154" s="1" t="s">
        <v>583</v>
      </c>
      <c r="C154" s="3" t="s">
        <v>13</v>
      </c>
      <c r="D154" s="4">
        <v>39847.845138888886</v>
      </c>
      <c r="E154" s="1" t="s">
        <v>584</v>
      </c>
      <c r="F154" s="1"/>
      <c r="G154" s="1" t="s">
        <v>15</v>
      </c>
      <c r="H154" s="1" t="s">
        <v>50</v>
      </c>
      <c r="I154" s="1" t="s">
        <v>585</v>
      </c>
      <c r="J154" s="1"/>
      <c r="K154" s="1" t="s">
        <v>586</v>
      </c>
      <c r="L154" s="2" t="s">
        <v>587</v>
      </c>
      <c r="M154" s="1"/>
      <c r="N154" s="1"/>
      <c r="O154" s="1"/>
      <c r="P154" s="1"/>
      <c r="Q154" s="1"/>
      <c r="R154" s="1"/>
      <c r="S154" s="1"/>
      <c r="T154" s="1"/>
      <c r="U154" s="1"/>
      <c r="V154" s="1"/>
      <c r="W154" s="1"/>
      <c r="X154" s="1"/>
      <c r="Y154" s="1"/>
      <c r="Z154" s="1"/>
    </row>
    <row r="155" spans="1:26" ht="33.75" customHeight="1">
      <c r="A155" s="1">
        <v>405</v>
      </c>
      <c r="B155" s="1" t="s">
        <v>588</v>
      </c>
      <c r="C155" s="1" t="s">
        <v>160</v>
      </c>
      <c r="D155" s="4">
        <v>39847.855555555558</v>
      </c>
      <c r="E155" s="1" t="s">
        <v>54</v>
      </c>
      <c r="F155" s="1" t="s">
        <v>589</v>
      </c>
      <c r="G155" s="6" t="s">
        <v>78</v>
      </c>
      <c r="H155" s="5" t="s">
        <v>223</v>
      </c>
      <c r="I155" s="1" t="s">
        <v>64</v>
      </c>
      <c r="J155" s="1" t="s">
        <v>450</v>
      </c>
      <c r="K155" s="1" t="s">
        <v>590</v>
      </c>
      <c r="L155" s="2" t="s">
        <v>591</v>
      </c>
      <c r="M155" s="1"/>
      <c r="N155" s="1"/>
      <c r="O155" s="1"/>
      <c r="P155" s="1"/>
      <c r="Q155" s="1"/>
      <c r="R155" s="1"/>
      <c r="S155" s="1"/>
      <c r="T155" s="1"/>
      <c r="U155" s="1"/>
      <c r="V155" s="1"/>
      <c r="W155" s="1"/>
      <c r="X155" s="1"/>
      <c r="Y155" s="1"/>
      <c r="Z155" s="1"/>
    </row>
    <row r="156" spans="1:26" ht="33.75" customHeight="1">
      <c r="A156" s="1">
        <v>407</v>
      </c>
      <c r="B156" s="1" t="s">
        <v>592</v>
      </c>
      <c r="C156" s="1" t="s">
        <v>160</v>
      </c>
      <c r="D156" s="4">
        <v>39847.877083333333</v>
      </c>
      <c r="E156" s="1" t="s">
        <v>54</v>
      </c>
      <c r="F156" s="1" t="s">
        <v>588</v>
      </c>
      <c r="G156" s="5" t="s">
        <v>64</v>
      </c>
      <c r="H156" s="5" t="s">
        <v>282</v>
      </c>
      <c r="I156" s="1" t="s">
        <v>283</v>
      </c>
      <c r="J156" s="1"/>
      <c r="K156" s="1" t="s">
        <v>593</v>
      </c>
      <c r="L156" s="2" t="s">
        <v>594</v>
      </c>
      <c r="M156" s="1"/>
      <c r="N156" s="1"/>
      <c r="O156" s="1"/>
      <c r="P156" s="1"/>
      <c r="Q156" s="1"/>
      <c r="R156" s="1"/>
      <c r="S156" s="1"/>
      <c r="T156" s="1"/>
      <c r="U156" s="1"/>
      <c r="V156" s="1"/>
      <c r="W156" s="1"/>
      <c r="X156" s="1"/>
      <c r="Y156" s="1"/>
      <c r="Z156" s="1"/>
    </row>
    <row r="157" spans="1:26" ht="33.75" customHeight="1">
      <c r="A157" s="1">
        <v>71</v>
      </c>
      <c r="B157" s="1" t="s">
        <v>595</v>
      </c>
      <c r="C157" s="3" t="s">
        <v>13</v>
      </c>
      <c r="D157" s="4">
        <v>39847.879166666666</v>
      </c>
      <c r="E157" s="1" t="s">
        <v>596</v>
      </c>
      <c r="F157" s="1"/>
      <c r="G157" s="1" t="s">
        <v>15</v>
      </c>
      <c r="H157" s="1" t="s">
        <v>50</v>
      </c>
      <c r="I157" s="1" t="s">
        <v>166</v>
      </c>
      <c r="J157" s="1"/>
      <c r="K157" s="1" t="s">
        <v>597</v>
      </c>
      <c r="L157" s="2" t="s">
        <v>598</v>
      </c>
      <c r="M157" s="1"/>
      <c r="N157" s="1"/>
      <c r="O157" s="1"/>
      <c r="P157" s="1"/>
      <c r="Q157" s="1"/>
      <c r="R157" s="1"/>
      <c r="S157" s="1"/>
      <c r="T157" s="1"/>
      <c r="U157" s="1"/>
      <c r="V157" s="1"/>
      <c r="W157" s="1"/>
      <c r="X157" s="1"/>
      <c r="Y157" s="1"/>
      <c r="Z157" s="1"/>
    </row>
    <row r="158" spans="1:26" ht="33.75" customHeight="1">
      <c r="A158" s="1">
        <v>294</v>
      </c>
      <c r="B158" s="1" t="s">
        <v>599</v>
      </c>
      <c r="C158" s="1" t="s">
        <v>156</v>
      </c>
      <c r="D158" s="4">
        <v>39847.943055555559</v>
      </c>
      <c r="E158" s="1" t="s">
        <v>14</v>
      </c>
      <c r="F158" s="1"/>
      <c r="G158" s="1" t="s">
        <v>15</v>
      </c>
      <c r="H158" s="1" t="s">
        <v>50</v>
      </c>
      <c r="I158" s="1" t="s">
        <v>166</v>
      </c>
      <c r="J158" s="1"/>
      <c r="K158" s="1" t="s">
        <v>600</v>
      </c>
      <c r="L158" s="2" t="s">
        <v>601</v>
      </c>
      <c r="M158" s="1"/>
      <c r="N158" s="1"/>
      <c r="O158" s="1"/>
      <c r="P158" s="1"/>
      <c r="Q158" s="1"/>
      <c r="R158" s="1"/>
      <c r="S158" s="1"/>
      <c r="T158" s="1"/>
      <c r="U158" s="1"/>
      <c r="V158" s="1"/>
      <c r="W158" s="1"/>
      <c r="X158" s="1"/>
      <c r="Y158" s="1"/>
      <c r="Z158" s="1"/>
    </row>
    <row r="159" spans="1:26" ht="33.75" customHeight="1">
      <c r="A159" s="1">
        <v>408</v>
      </c>
      <c r="B159" s="1" t="s">
        <v>602</v>
      </c>
      <c r="C159" s="1" t="s">
        <v>160</v>
      </c>
      <c r="D159" s="4">
        <v>39847.954861111109</v>
      </c>
      <c r="E159" s="1" t="s">
        <v>14</v>
      </c>
      <c r="F159" s="1" t="s">
        <v>574</v>
      </c>
      <c r="G159" s="5" t="s">
        <v>64</v>
      </c>
      <c r="H159" s="5" t="s">
        <v>263</v>
      </c>
      <c r="I159" s="1" t="s">
        <v>603</v>
      </c>
      <c r="J159" s="1"/>
      <c r="K159" s="1"/>
      <c r="L159" s="2" t="s">
        <v>604</v>
      </c>
      <c r="M159" s="1"/>
      <c r="N159" s="1"/>
      <c r="O159" s="1"/>
      <c r="P159" s="1"/>
      <c r="Q159" s="1"/>
      <c r="R159" s="1"/>
      <c r="S159" s="1"/>
      <c r="T159" s="1"/>
      <c r="U159" s="1"/>
      <c r="V159" s="1"/>
      <c r="W159" s="1"/>
      <c r="X159" s="1"/>
      <c r="Y159" s="1"/>
      <c r="Z159" s="1"/>
    </row>
    <row r="160" spans="1:26" ht="33.75" customHeight="1">
      <c r="A160" s="1">
        <v>409</v>
      </c>
      <c r="B160" s="1" t="s">
        <v>605</v>
      </c>
      <c r="C160" s="1" t="s">
        <v>160</v>
      </c>
      <c r="D160" s="4">
        <v>39847.970833333333</v>
      </c>
      <c r="E160" s="1" t="s">
        <v>14</v>
      </c>
      <c r="F160" s="1" t="s">
        <v>606</v>
      </c>
      <c r="G160" s="5" t="s">
        <v>64</v>
      </c>
      <c r="H160" s="5" t="s">
        <v>263</v>
      </c>
      <c r="I160" s="1" t="s">
        <v>603</v>
      </c>
      <c r="J160" s="1"/>
      <c r="K160" s="1"/>
      <c r="L160" s="2" t="s">
        <v>607</v>
      </c>
      <c r="M160" s="1"/>
      <c r="N160" s="1"/>
      <c r="O160" s="1"/>
      <c r="P160" s="1"/>
      <c r="Q160" s="1"/>
      <c r="R160" s="1"/>
      <c r="S160" s="1"/>
      <c r="T160" s="1"/>
      <c r="U160" s="1"/>
      <c r="V160" s="1"/>
      <c r="W160" s="1"/>
      <c r="X160" s="1"/>
      <c r="Y160" s="1"/>
      <c r="Z160" s="1"/>
    </row>
    <row r="161" spans="1:26" ht="33.75" customHeight="1">
      <c r="A161" s="1">
        <v>410</v>
      </c>
      <c r="B161" s="1" t="s">
        <v>608</v>
      </c>
      <c r="C161" s="1" t="s">
        <v>160</v>
      </c>
      <c r="D161" s="4">
        <v>39847.995138888888</v>
      </c>
      <c r="E161" s="1" t="s">
        <v>14</v>
      </c>
      <c r="F161" s="1" t="s">
        <v>609</v>
      </c>
      <c r="G161" s="5" t="s">
        <v>64</v>
      </c>
      <c r="H161" s="5" t="s">
        <v>263</v>
      </c>
      <c r="I161" s="1" t="s">
        <v>603</v>
      </c>
      <c r="J161" s="1"/>
      <c r="K161" s="1" t="s">
        <v>610</v>
      </c>
      <c r="L161" s="2" t="s">
        <v>611</v>
      </c>
      <c r="M161" s="1"/>
      <c r="N161" s="1"/>
      <c r="O161" s="1"/>
      <c r="P161" s="1"/>
      <c r="Q161" s="1"/>
      <c r="R161" s="1"/>
      <c r="S161" s="1"/>
      <c r="T161" s="1"/>
      <c r="U161" s="1"/>
      <c r="V161" s="1"/>
      <c r="W161" s="1"/>
      <c r="X161" s="1"/>
      <c r="Y161" s="1"/>
      <c r="Z161" s="1"/>
    </row>
    <row r="162" spans="1:26" ht="33.75" customHeight="1">
      <c r="A162" s="1">
        <v>411</v>
      </c>
      <c r="B162" s="1" t="s">
        <v>612</v>
      </c>
      <c r="C162" s="1" t="s">
        <v>160</v>
      </c>
      <c r="D162" s="4">
        <v>39848.001388888886</v>
      </c>
      <c r="E162" s="1" t="s">
        <v>474</v>
      </c>
      <c r="F162" s="1" t="s">
        <v>613</v>
      </c>
      <c r="G162" s="5" t="s">
        <v>64</v>
      </c>
      <c r="H162" s="5" t="s">
        <v>263</v>
      </c>
      <c r="I162" s="1" t="s">
        <v>614</v>
      </c>
      <c r="J162" s="1"/>
      <c r="K162" s="1"/>
      <c r="L162" s="2" t="s">
        <v>615</v>
      </c>
      <c r="M162" s="1"/>
      <c r="N162" s="1"/>
      <c r="O162" s="1"/>
      <c r="P162" s="1"/>
      <c r="Q162" s="1"/>
      <c r="R162" s="1"/>
      <c r="S162" s="1"/>
      <c r="T162" s="1"/>
      <c r="U162" s="1"/>
      <c r="V162" s="1"/>
      <c r="W162" s="1"/>
      <c r="X162" s="1"/>
      <c r="Y162" s="1"/>
      <c r="Z162" s="1"/>
    </row>
    <row r="163" spans="1:26" ht="33.75" customHeight="1">
      <c r="A163" s="1">
        <v>295</v>
      </c>
      <c r="B163" s="1" t="s">
        <v>616</v>
      </c>
      <c r="C163" s="1" t="s">
        <v>156</v>
      </c>
      <c r="D163" s="4">
        <v>39848.004166666666</v>
      </c>
      <c r="E163" s="1" t="s">
        <v>101</v>
      </c>
      <c r="F163" s="1"/>
      <c r="G163" s="1" t="s">
        <v>15</v>
      </c>
      <c r="H163" s="1" t="s">
        <v>50</v>
      </c>
      <c r="I163" s="1" t="s">
        <v>166</v>
      </c>
      <c r="J163" s="1"/>
      <c r="K163" s="1" t="s">
        <v>617</v>
      </c>
      <c r="L163" s="2" t="s">
        <v>618</v>
      </c>
      <c r="M163" s="1"/>
      <c r="N163" s="1"/>
      <c r="O163" s="1"/>
      <c r="P163" s="1"/>
      <c r="Q163" s="1"/>
      <c r="R163" s="1"/>
      <c r="S163" s="1"/>
      <c r="T163" s="1"/>
      <c r="U163" s="1"/>
      <c r="V163" s="1"/>
      <c r="W163" s="1"/>
      <c r="X163" s="1"/>
      <c r="Y163" s="1"/>
      <c r="Z163" s="1"/>
    </row>
    <row r="164" spans="1:26" ht="33.75" customHeight="1">
      <c r="A164" s="1">
        <v>412</v>
      </c>
      <c r="B164" s="1" t="s">
        <v>619</v>
      </c>
      <c r="C164" s="1" t="s">
        <v>160</v>
      </c>
      <c r="D164" s="4">
        <v>39848.013194444444</v>
      </c>
      <c r="E164" s="1" t="s">
        <v>14</v>
      </c>
      <c r="F164" s="1" t="s">
        <v>620</v>
      </c>
      <c r="G164" s="5" t="s">
        <v>26</v>
      </c>
      <c r="H164" s="5" t="s">
        <v>133</v>
      </c>
      <c r="I164" s="1" t="s">
        <v>28</v>
      </c>
      <c r="J164" s="1" t="s">
        <v>134</v>
      </c>
      <c r="K164" s="1"/>
      <c r="L164" s="2" t="s">
        <v>621</v>
      </c>
      <c r="M164" s="1"/>
      <c r="N164" s="1"/>
      <c r="O164" s="1"/>
      <c r="P164" s="1"/>
      <c r="Q164" s="1"/>
      <c r="R164" s="1"/>
      <c r="S164" s="1"/>
      <c r="T164" s="1"/>
      <c r="U164" s="1"/>
      <c r="V164" s="1"/>
      <c r="W164" s="1"/>
      <c r="X164" s="1"/>
      <c r="Y164" s="1"/>
      <c r="Z164" s="1"/>
    </row>
    <row r="165" spans="1:26" ht="33.75" customHeight="1">
      <c r="A165" s="1">
        <v>413</v>
      </c>
      <c r="B165" s="1" t="s">
        <v>622</v>
      </c>
      <c r="C165" s="1" t="s">
        <v>160</v>
      </c>
      <c r="D165" s="4">
        <v>39848.030555555553</v>
      </c>
      <c r="E165" s="1" t="s">
        <v>320</v>
      </c>
      <c r="F165" s="1" t="s">
        <v>623</v>
      </c>
      <c r="G165" s="5" t="s">
        <v>64</v>
      </c>
      <c r="H165" s="5" t="s">
        <v>263</v>
      </c>
      <c r="I165" s="1" t="s">
        <v>603</v>
      </c>
      <c r="J165" s="1"/>
      <c r="K165" s="1" t="s">
        <v>624</v>
      </c>
      <c r="L165" s="2" t="s">
        <v>625</v>
      </c>
      <c r="M165" s="1"/>
      <c r="N165" s="1"/>
      <c r="O165" s="1"/>
      <c r="P165" s="1"/>
      <c r="Q165" s="1"/>
      <c r="R165" s="1"/>
      <c r="S165" s="1"/>
      <c r="T165" s="1"/>
      <c r="U165" s="1"/>
      <c r="V165" s="1"/>
      <c r="W165" s="1"/>
      <c r="X165" s="1"/>
      <c r="Y165" s="1"/>
      <c r="Z165" s="1"/>
    </row>
    <row r="166" spans="1:26" ht="33.75" customHeight="1">
      <c r="A166" s="1">
        <v>414</v>
      </c>
      <c r="B166" s="1" t="s">
        <v>626</v>
      </c>
      <c r="C166" s="1" t="s">
        <v>160</v>
      </c>
      <c r="D166" s="4">
        <v>39848.031944444447</v>
      </c>
      <c r="E166" s="1" t="s">
        <v>196</v>
      </c>
      <c r="F166" s="1" t="s">
        <v>477</v>
      </c>
      <c r="G166" s="6" t="s">
        <v>78</v>
      </c>
      <c r="H166" s="5" t="s">
        <v>223</v>
      </c>
      <c r="I166" s="1" t="s">
        <v>64</v>
      </c>
      <c r="J166" s="1" t="s">
        <v>224</v>
      </c>
      <c r="K166" s="1"/>
      <c r="L166" s="2" t="s">
        <v>627</v>
      </c>
      <c r="M166" s="1"/>
      <c r="N166" s="1"/>
      <c r="O166" s="1"/>
      <c r="P166" s="1"/>
      <c r="Q166" s="1"/>
      <c r="R166" s="1"/>
      <c r="S166" s="1"/>
      <c r="T166" s="1"/>
      <c r="U166" s="1"/>
      <c r="V166" s="1"/>
      <c r="W166" s="1"/>
      <c r="X166" s="1"/>
      <c r="Y166" s="1"/>
      <c r="Z166" s="1"/>
    </row>
    <row r="167" spans="1:26" ht="33.75" customHeight="1">
      <c r="A167" s="1">
        <v>415</v>
      </c>
      <c r="B167" s="1" t="s">
        <v>628</v>
      </c>
      <c r="C167" s="1" t="s">
        <v>160</v>
      </c>
      <c r="D167" s="4">
        <v>39848.040972222225</v>
      </c>
      <c r="E167" s="1" t="s">
        <v>320</v>
      </c>
      <c r="F167" s="1"/>
      <c r="G167" s="5" t="s">
        <v>26</v>
      </c>
      <c r="H167" s="5" t="s">
        <v>133</v>
      </c>
      <c r="I167" s="1" t="s">
        <v>28</v>
      </c>
      <c r="J167" s="1" t="s">
        <v>134</v>
      </c>
      <c r="K167" s="1" t="s">
        <v>629</v>
      </c>
      <c r="L167" s="2" t="s">
        <v>630</v>
      </c>
      <c r="M167" s="1"/>
      <c r="N167" s="1"/>
      <c r="O167" s="1"/>
      <c r="P167" s="1"/>
      <c r="Q167" s="1"/>
      <c r="R167" s="1"/>
      <c r="S167" s="1"/>
      <c r="T167" s="1"/>
      <c r="U167" s="1"/>
      <c r="V167" s="1"/>
      <c r="W167" s="1"/>
      <c r="X167" s="1"/>
      <c r="Y167" s="1"/>
      <c r="Z167" s="1"/>
    </row>
    <row r="168" spans="1:26" ht="33.75" customHeight="1">
      <c r="A168" s="1">
        <v>416</v>
      </c>
      <c r="B168" s="1" t="s">
        <v>631</v>
      </c>
      <c r="C168" s="1" t="s">
        <v>160</v>
      </c>
      <c r="D168" s="4">
        <v>39848.043749999997</v>
      </c>
      <c r="E168" s="1" t="s">
        <v>14</v>
      </c>
      <c r="F168" s="1" t="s">
        <v>569</v>
      </c>
      <c r="G168" s="5" t="s">
        <v>64</v>
      </c>
      <c r="H168" s="5" t="s">
        <v>282</v>
      </c>
      <c r="I168" s="1" t="s">
        <v>283</v>
      </c>
      <c r="J168" s="1"/>
      <c r="K168" s="1" t="s">
        <v>632</v>
      </c>
      <c r="L168" s="2" t="s">
        <v>633</v>
      </c>
      <c r="M168" s="1"/>
      <c r="N168" s="1"/>
      <c r="O168" s="1"/>
      <c r="P168" s="1"/>
      <c r="Q168" s="1"/>
      <c r="R168" s="1"/>
      <c r="S168" s="1"/>
      <c r="T168" s="1"/>
      <c r="U168" s="1"/>
      <c r="V168" s="1"/>
      <c r="W168" s="1"/>
      <c r="X168" s="1"/>
      <c r="Y168" s="1"/>
      <c r="Z168" s="1"/>
    </row>
    <row r="169" spans="1:26" ht="33.75" customHeight="1">
      <c r="A169" s="1">
        <v>417</v>
      </c>
      <c r="B169" s="1" t="s">
        <v>634</v>
      </c>
      <c r="C169" s="1" t="s">
        <v>160</v>
      </c>
      <c r="D169" s="4">
        <v>39848.050694444442</v>
      </c>
      <c r="E169" s="1" t="s">
        <v>14</v>
      </c>
      <c r="F169" s="1" t="s">
        <v>635</v>
      </c>
      <c r="G169" s="5" t="s">
        <v>26</v>
      </c>
      <c r="H169" s="5" t="s">
        <v>27</v>
      </c>
      <c r="I169" s="1" t="s">
        <v>28</v>
      </c>
      <c r="J169" s="1" t="s">
        <v>29</v>
      </c>
      <c r="K169" s="1"/>
      <c r="L169" s="2" t="s">
        <v>636</v>
      </c>
      <c r="M169" s="1"/>
      <c r="N169" s="1"/>
      <c r="O169" s="1"/>
      <c r="P169" s="1"/>
      <c r="Q169" s="1"/>
      <c r="R169" s="1"/>
      <c r="S169" s="1"/>
      <c r="T169" s="1"/>
      <c r="U169" s="1"/>
      <c r="V169" s="1"/>
      <c r="W169" s="1"/>
      <c r="X169" s="1"/>
      <c r="Y169" s="1"/>
      <c r="Z169" s="1"/>
    </row>
    <row r="170" spans="1:26" ht="33.75" customHeight="1">
      <c r="A170" s="1">
        <v>418</v>
      </c>
      <c r="B170" s="1" t="s">
        <v>637</v>
      </c>
      <c r="C170" s="1" t="s">
        <v>160</v>
      </c>
      <c r="D170" s="4">
        <v>39848.077777777777</v>
      </c>
      <c r="E170" s="1" t="s">
        <v>14</v>
      </c>
      <c r="F170" s="1" t="s">
        <v>631</v>
      </c>
      <c r="G170" s="5" t="s">
        <v>64</v>
      </c>
      <c r="H170" s="5" t="s">
        <v>263</v>
      </c>
      <c r="I170" s="1" t="s">
        <v>603</v>
      </c>
      <c r="J170" s="1"/>
      <c r="K170" s="1"/>
      <c r="L170" s="2" t="s">
        <v>638</v>
      </c>
      <c r="M170" s="1"/>
      <c r="N170" s="1"/>
      <c r="O170" s="1"/>
      <c r="P170" s="1"/>
      <c r="Q170" s="1"/>
      <c r="R170" s="1"/>
      <c r="S170" s="1"/>
      <c r="T170" s="1"/>
      <c r="U170" s="1"/>
      <c r="V170" s="1"/>
      <c r="W170" s="1"/>
      <c r="X170" s="1"/>
      <c r="Y170" s="1"/>
      <c r="Z170" s="1"/>
    </row>
    <row r="171" spans="1:26" ht="33.75" customHeight="1">
      <c r="A171" s="1">
        <v>419</v>
      </c>
      <c r="B171" s="1" t="s">
        <v>639</v>
      </c>
      <c r="C171" s="1" t="s">
        <v>160</v>
      </c>
      <c r="D171" s="4">
        <v>39848.131944444445</v>
      </c>
      <c r="E171" s="1" t="s">
        <v>320</v>
      </c>
      <c r="F171" s="1" t="s">
        <v>640</v>
      </c>
      <c r="G171" s="5" t="s">
        <v>26</v>
      </c>
      <c r="H171" s="5" t="s">
        <v>133</v>
      </c>
      <c r="I171" s="1" t="s">
        <v>28</v>
      </c>
      <c r="J171" s="1" t="s">
        <v>134</v>
      </c>
      <c r="K171" s="1"/>
      <c r="L171" s="2" t="s">
        <v>641</v>
      </c>
      <c r="M171" s="1"/>
      <c r="N171" s="1"/>
      <c r="O171" s="1"/>
      <c r="P171" s="1"/>
      <c r="Q171" s="1"/>
      <c r="R171" s="1"/>
      <c r="S171" s="1"/>
      <c r="T171" s="1"/>
      <c r="U171" s="1"/>
      <c r="V171" s="1"/>
      <c r="W171" s="1"/>
      <c r="X171" s="1"/>
      <c r="Y171" s="1"/>
      <c r="Z171" s="1"/>
    </row>
    <row r="172" spans="1:26" ht="33.75" customHeight="1">
      <c r="A172" s="1">
        <v>420</v>
      </c>
      <c r="B172" s="1" t="s">
        <v>642</v>
      </c>
      <c r="C172" s="1" t="s">
        <v>160</v>
      </c>
      <c r="D172" s="4">
        <v>39848.149305555555</v>
      </c>
      <c r="E172" s="1" t="s">
        <v>54</v>
      </c>
      <c r="F172" s="1" t="s">
        <v>643</v>
      </c>
      <c r="G172" s="5" t="s">
        <v>26</v>
      </c>
      <c r="H172" s="5" t="s">
        <v>133</v>
      </c>
      <c r="I172" s="1" t="s">
        <v>28</v>
      </c>
      <c r="J172" s="1" t="s">
        <v>134</v>
      </c>
      <c r="K172" s="1" t="s">
        <v>644</v>
      </c>
      <c r="L172" s="2" t="s">
        <v>645</v>
      </c>
      <c r="M172" s="1"/>
      <c r="N172" s="1"/>
      <c r="O172" s="1"/>
      <c r="P172" s="1"/>
      <c r="Q172" s="1"/>
      <c r="R172" s="1"/>
      <c r="S172" s="1"/>
      <c r="T172" s="1"/>
      <c r="U172" s="1"/>
      <c r="V172" s="1"/>
      <c r="W172" s="1"/>
      <c r="X172" s="1"/>
      <c r="Y172" s="1"/>
      <c r="Z172" s="1"/>
    </row>
    <row r="173" spans="1:26" ht="33.75" customHeight="1">
      <c r="A173" s="1">
        <v>421</v>
      </c>
      <c r="B173" s="1" t="s">
        <v>646</v>
      </c>
      <c r="C173" s="1" t="s">
        <v>160</v>
      </c>
      <c r="D173" s="4">
        <v>39848.154861111114</v>
      </c>
      <c r="E173" s="1" t="s">
        <v>54</v>
      </c>
      <c r="F173" s="1" t="s">
        <v>588</v>
      </c>
      <c r="G173" s="5" t="s">
        <v>64</v>
      </c>
      <c r="H173" s="5" t="s">
        <v>263</v>
      </c>
      <c r="I173" s="1" t="s">
        <v>238</v>
      </c>
      <c r="J173" s="1"/>
      <c r="K173" s="1"/>
      <c r="L173" s="2" t="s">
        <v>647</v>
      </c>
      <c r="M173" s="1"/>
      <c r="N173" s="1"/>
      <c r="O173" s="1"/>
      <c r="P173" s="1"/>
      <c r="Q173" s="1"/>
      <c r="R173" s="1"/>
      <c r="S173" s="1"/>
      <c r="T173" s="1"/>
      <c r="U173" s="1"/>
      <c r="V173" s="1"/>
      <c r="W173" s="1"/>
      <c r="X173" s="1"/>
      <c r="Y173" s="1"/>
      <c r="Z173" s="1"/>
    </row>
    <row r="174" spans="1:26" ht="33.75" customHeight="1">
      <c r="A174" s="1">
        <v>422</v>
      </c>
      <c r="B174" s="1" t="s">
        <v>648</v>
      </c>
      <c r="C174" s="1" t="s">
        <v>160</v>
      </c>
      <c r="D174" s="4">
        <v>39848.161111111112</v>
      </c>
      <c r="E174" s="1" t="s">
        <v>54</v>
      </c>
      <c r="F174" s="1" t="s">
        <v>612</v>
      </c>
      <c r="G174" s="5" t="s">
        <v>15</v>
      </c>
      <c r="H174" s="5" t="s">
        <v>140</v>
      </c>
      <c r="I174" s="1" t="s">
        <v>649</v>
      </c>
      <c r="J174" s="1"/>
      <c r="K174" s="1"/>
      <c r="L174" s="2" t="s">
        <v>650</v>
      </c>
      <c r="M174" s="1"/>
      <c r="N174" s="1"/>
      <c r="O174" s="1"/>
      <c r="P174" s="1"/>
      <c r="Q174" s="1"/>
      <c r="R174" s="1"/>
      <c r="S174" s="1"/>
      <c r="T174" s="1"/>
      <c r="U174" s="1"/>
      <c r="V174" s="1"/>
      <c r="W174" s="1"/>
      <c r="X174" s="1"/>
      <c r="Y174" s="1"/>
      <c r="Z174" s="1"/>
    </row>
    <row r="175" spans="1:26" ht="33.75" customHeight="1">
      <c r="A175" s="1">
        <v>423</v>
      </c>
      <c r="B175" s="1" t="s">
        <v>651</v>
      </c>
      <c r="C175" s="1" t="s">
        <v>160</v>
      </c>
      <c r="D175" s="4">
        <v>39848.165277777778</v>
      </c>
      <c r="E175" s="1" t="s">
        <v>320</v>
      </c>
      <c r="F175" s="1" t="s">
        <v>392</v>
      </c>
      <c r="G175" s="5" t="s">
        <v>64</v>
      </c>
      <c r="H175" s="5" t="s">
        <v>263</v>
      </c>
      <c r="I175" s="1" t="s">
        <v>603</v>
      </c>
      <c r="J175" s="1"/>
      <c r="K175" s="1"/>
      <c r="L175" s="2" t="s">
        <v>652</v>
      </c>
      <c r="M175" s="1"/>
      <c r="N175" s="1"/>
      <c r="O175" s="1"/>
      <c r="P175" s="1"/>
      <c r="Q175" s="1"/>
      <c r="R175" s="1"/>
      <c r="S175" s="1"/>
      <c r="T175" s="1"/>
      <c r="U175" s="1"/>
      <c r="V175" s="1"/>
      <c r="W175" s="1"/>
      <c r="X175" s="1"/>
      <c r="Y175" s="1"/>
      <c r="Z175" s="1"/>
    </row>
    <row r="176" spans="1:26" ht="33.75" customHeight="1">
      <c r="A176" s="1">
        <v>424</v>
      </c>
      <c r="B176" s="1" t="s">
        <v>653</v>
      </c>
      <c r="C176" s="1" t="s">
        <v>160</v>
      </c>
      <c r="D176" s="4">
        <v>39848.170138888891</v>
      </c>
      <c r="E176" s="1" t="s">
        <v>54</v>
      </c>
      <c r="F176" s="1" t="s">
        <v>592</v>
      </c>
      <c r="G176" s="5" t="s">
        <v>64</v>
      </c>
      <c r="H176" s="5" t="s">
        <v>263</v>
      </c>
      <c r="I176" s="1" t="s">
        <v>603</v>
      </c>
      <c r="J176" s="1"/>
      <c r="K176" s="1"/>
      <c r="L176" s="2" t="s">
        <v>654</v>
      </c>
      <c r="M176" s="1"/>
      <c r="N176" s="1"/>
      <c r="O176" s="1"/>
      <c r="P176" s="1"/>
      <c r="Q176" s="1"/>
      <c r="R176" s="1"/>
      <c r="S176" s="1"/>
      <c r="T176" s="1"/>
      <c r="U176" s="1"/>
      <c r="V176" s="1"/>
      <c r="W176" s="1"/>
      <c r="X176" s="1"/>
      <c r="Y176" s="1"/>
      <c r="Z176" s="1"/>
    </row>
    <row r="177" spans="1:26" ht="33.75" customHeight="1">
      <c r="A177" s="1">
        <v>425</v>
      </c>
      <c r="B177" s="1" t="s">
        <v>655</v>
      </c>
      <c r="C177" s="1" t="s">
        <v>160</v>
      </c>
      <c r="D177" s="4">
        <v>39848.401388888888</v>
      </c>
      <c r="E177" s="1" t="s">
        <v>14</v>
      </c>
      <c r="F177" s="1" t="s">
        <v>656</v>
      </c>
      <c r="G177" s="5" t="s">
        <v>15</v>
      </c>
      <c r="H177" s="5" t="s">
        <v>150</v>
      </c>
      <c r="I177" s="1" t="s">
        <v>603</v>
      </c>
      <c r="J177" s="1"/>
      <c r="K177" s="1"/>
      <c r="L177" s="2" t="s">
        <v>657</v>
      </c>
      <c r="M177" s="1"/>
      <c r="N177" s="1"/>
      <c r="O177" s="1"/>
      <c r="P177" s="1"/>
      <c r="Q177" s="1"/>
      <c r="R177" s="1"/>
      <c r="S177" s="1"/>
      <c r="T177" s="1"/>
      <c r="U177" s="1"/>
      <c r="V177" s="1"/>
      <c r="W177" s="1"/>
      <c r="X177" s="1"/>
      <c r="Y177" s="1"/>
      <c r="Z177" s="1"/>
    </row>
    <row r="178" spans="1:26" ht="33.75" customHeight="1">
      <c r="A178" s="1">
        <v>426</v>
      </c>
      <c r="B178" s="1" t="s">
        <v>658</v>
      </c>
      <c r="C178" s="1" t="s">
        <v>160</v>
      </c>
      <c r="D178" s="4">
        <v>39848.410416666666</v>
      </c>
      <c r="E178" s="1" t="s">
        <v>196</v>
      </c>
      <c r="F178" s="1" t="s">
        <v>631</v>
      </c>
      <c r="G178" s="5" t="s">
        <v>26</v>
      </c>
      <c r="H178" s="5" t="s">
        <v>133</v>
      </c>
      <c r="I178" s="1" t="s">
        <v>28</v>
      </c>
      <c r="J178" s="1" t="s">
        <v>134</v>
      </c>
      <c r="K178" s="1" t="s">
        <v>26</v>
      </c>
      <c r="L178" s="2" t="s">
        <v>659</v>
      </c>
      <c r="M178" s="1"/>
      <c r="N178" s="1"/>
      <c r="O178" s="1"/>
      <c r="P178" s="1"/>
      <c r="Q178" s="1"/>
      <c r="R178" s="1"/>
      <c r="S178" s="1"/>
      <c r="T178" s="1"/>
      <c r="U178" s="1"/>
      <c r="V178" s="1"/>
      <c r="W178" s="1"/>
      <c r="X178" s="1"/>
      <c r="Y178" s="1"/>
      <c r="Z178" s="1"/>
    </row>
    <row r="179" spans="1:26" ht="33.75" customHeight="1">
      <c r="A179" s="1">
        <v>427</v>
      </c>
      <c r="B179" s="1" t="s">
        <v>660</v>
      </c>
      <c r="C179" s="1" t="s">
        <v>160</v>
      </c>
      <c r="D179" s="4">
        <v>39848.412499999999</v>
      </c>
      <c r="E179" s="1" t="s">
        <v>196</v>
      </c>
      <c r="F179" s="1"/>
      <c r="G179" s="5" t="s">
        <v>64</v>
      </c>
      <c r="H179" s="5" t="s">
        <v>65</v>
      </c>
      <c r="I179" s="1" t="s">
        <v>35</v>
      </c>
      <c r="J179" s="1"/>
      <c r="K179" s="1" t="s">
        <v>661</v>
      </c>
      <c r="L179" s="2" t="s">
        <v>662</v>
      </c>
      <c r="M179" s="1"/>
      <c r="N179" s="1"/>
      <c r="O179" s="1"/>
      <c r="P179" s="1"/>
      <c r="Q179" s="1"/>
      <c r="R179" s="1"/>
      <c r="S179" s="1"/>
      <c r="T179" s="1"/>
      <c r="U179" s="1"/>
      <c r="V179" s="1"/>
      <c r="W179" s="1"/>
      <c r="X179" s="1"/>
      <c r="Y179" s="1"/>
      <c r="Z179" s="1"/>
    </row>
    <row r="180" spans="1:26" ht="33.75" customHeight="1">
      <c r="A180" s="1">
        <v>428</v>
      </c>
      <c r="B180" s="1" t="s">
        <v>663</v>
      </c>
      <c r="C180" s="1" t="s">
        <v>160</v>
      </c>
      <c r="D180" s="4">
        <v>39848.416666666664</v>
      </c>
      <c r="E180" s="1" t="s">
        <v>14</v>
      </c>
      <c r="F180" s="1" t="s">
        <v>655</v>
      </c>
      <c r="G180" s="5" t="s">
        <v>64</v>
      </c>
      <c r="H180" s="5" t="s">
        <v>263</v>
      </c>
      <c r="I180" s="1" t="s">
        <v>664</v>
      </c>
      <c r="J180" s="1"/>
      <c r="K180" s="1" t="s">
        <v>665</v>
      </c>
      <c r="L180" s="2" t="s">
        <v>666</v>
      </c>
      <c r="M180" s="1"/>
      <c r="N180" s="1"/>
      <c r="O180" s="1"/>
      <c r="P180" s="1"/>
      <c r="Q180" s="1"/>
      <c r="R180" s="1"/>
      <c r="S180" s="1"/>
      <c r="T180" s="1"/>
      <c r="U180" s="1"/>
      <c r="V180" s="1"/>
      <c r="W180" s="1"/>
      <c r="X180" s="1"/>
      <c r="Y180" s="1"/>
      <c r="Z180" s="1"/>
    </row>
    <row r="181" spans="1:26" ht="33.75" customHeight="1">
      <c r="A181" s="1">
        <v>429</v>
      </c>
      <c r="B181" s="1" t="s">
        <v>667</v>
      </c>
      <c r="C181" s="1" t="s">
        <v>160</v>
      </c>
      <c r="D181" s="4">
        <v>39848.458333333336</v>
      </c>
      <c r="E181" s="1" t="s">
        <v>14</v>
      </c>
      <c r="F181" s="1" t="s">
        <v>658</v>
      </c>
      <c r="G181" s="5" t="s">
        <v>26</v>
      </c>
      <c r="H181" s="5" t="s">
        <v>133</v>
      </c>
      <c r="I181" s="1" t="s">
        <v>28</v>
      </c>
      <c r="J181" s="1" t="s">
        <v>134</v>
      </c>
      <c r="K181" s="1" t="s">
        <v>26</v>
      </c>
      <c r="L181" s="2" t="s">
        <v>668</v>
      </c>
      <c r="M181" s="1"/>
      <c r="N181" s="1"/>
      <c r="O181" s="1"/>
      <c r="P181" s="1"/>
      <c r="Q181" s="1"/>
      <c r="R181" s="1"/>
      <c r="S181" s="1"/>
      <c r="T181" s="1"/>
      <c r="U181" s="1"/>
      <c r="V181" s="1"/>
      <c r="W181" s="1"/>
      <c r="X181" s="1"/>
      <c r="Y181" s="1"/>
      <c r="Z181" s="1"/>
    </row>
    <row r="182" spans="1:26" ht="33.75" customHeight="1">
      <c r="A182" s="1">
        <v>430</v>
      </c>
      <c r="B182" s="1" t="s">
        <v>669</v>
      </c>
      <c r="C182" s="1" t="s">
        <v>160</v>
      </c>
      <c r="D182" s="4">
        <v>39848.470138888886</v>
      </c>
      <c r="E182" s="1" t="s">
        <v>14</v>
      </c>
      <c r="F182" s="1"/>
      <c r="G182" s="5" t="s">
        <v>64</v>
      </c>
      <c r="H182" s="5" t="s">
        <v>65</v>
      </c>
      <c r="I182" s="1" t="s">
        <v>166</v>
      </c>
      <c r="J182" s="1"/>
      <c r="K182" s="1"/>
      <c r="L182" s="2" t="s">
        <v>670</v>
      </c>
      <c r="M182" s="1"/>
      <c r="N182" s="1"/>
      <c r="O182" s="1"/>
      <c r="P182" s="1"/>
      <c r="Q182" s="1"/>
      <c r="R182" s="1"/>
      <c r="S182" s="1"/>
      <c r="T182" s="1"/>
      <c r="U182" s="1"/>
      <c r="V182" s="1"/>
      <c r="W182" s="1"/>
      <c r="X182" s="1"/>
      <c r="Y182" s="1"/>
      <c r="Z182" s="1"/>
    </row>
    <row r="183" spans="1:26" ht="33.75" customHeight="1">
      <c r="A183" s="1">
        <v>431</v>
      </c>
      <c r="B183" s="1" t="s">
        <v>671</v>
      </c>
      <c r="C183" s="1" t="s">
        <v>160</v>
      </c>
      <c r="D183" s="4">
        <v>39848.479861111111</v>
      </c>
      <c r="E183" s="1" t="s">
        <v>14</v>
      </c>
      <c r="F183" s="1" t="s">
        <v>672</v>
      </c>
      <c r="G183" s="5" t="s">
        <v>64</v>
      </c>
      <c r="H183" s="1"/>
      <c r="I183" s="1" t="s">
        <v>64</v>
      </c>
      <c r="J183" s="1" t="s">
        <v>673</v>
      </c>
      <c r="K183" s="1" t="s">
        <v>674</v>
      </c>
      <c r="L183" s="2" t="s">
        <v>675</v>
      </c>
      <c r="M183" s="1"/>
      <c r="N183" s="1"/>
      <c r="O183" s="1"/>
      <c r="P183" s="1"/>
      <c r="Q183" s="1"/>
      <c r="R183" s="1"/>
      <c r="S183" s="1"/>
      <c r="T183" s="1"/>
      <c r="U183" s="1"/>
      <c r="V183" s="1"/>
      <c r="W183" s="1"/>
      <c r="X183" s="1"/>
      <c r="Y183" s="1"/>
      <c r="Z183" s="1"/>
    </row>
    <row r="184" spans="1:26" ht="33.75" customHeight="1">
      <c r="A184" s="1">
        <v>432</v>
      </c>
      <c r="B184" s="1" t="s">
        <v>676</v>
      </c>
      <c r="C184" s="1" t="s">
        <v>160</v>
      </c>
      <c r="D184" s="4">
        <v>39848.49722222222</v>
      </c>
      <c r="E184" s="1" t="s">
        <v>14</v>
      </c>
      <c r="F184" s="1" t="s">
        <v>677</v>
      </c>
      <c r="G184" s="5" t="s">
        <v>64</v>
      </c>
      <c r="H184" s="5" t="s">
        <v>263</v>
      </c>
      <c r="I184" s="1" t="s">
        <v>315</v>
      </c>
      <c r="J184" s="1" t="s">
        <v>678</v>
      </c>
      <c r="K184" s="1"/>
      <c r="L184" s="2" t="s">
        <v>679</v>
      </c>
      <c r="M184" s="1"/>
      <c r="N184" s="1"/>
      <c r="O184" s="1"/>
      <c r="P184" s="1"/>
      <c r="Q184" s="1"/>
      <c r="R184" s="1"/>
      <c r="S184" s="1"/>
      <c r="T184" s="1"/>
      <c r="U184" s="1"/>
      <c r="V184" s="1"/>
      <c r="W184" s="1"/>
      <c r="X184" s="1"/>
      <c r="Y184" s="1"/>
      <c r="Z184" s="1"/>
    </row>
    <row r="185" spans="1:26" ht="33.75" customHeight="1">
      <c r="A185" s="1">
        <v>5</v>
      </c>
      <c r="B185" s="1" t="s">
        <v>12</v>
      </c>
      <c r="C185" s="1" t="s">
        <v>680</v>
      </c>
      <c r="D185" s="4">
        <v>39848.504895833335</v>
      </c>
      <c r="E185" s="1" t="s">
        <v>14</v>
      </c>
      <c r="F185" s="1"/>
      <c r="G185" s="1" t="s">
        <v>64</v>
      </c>
      <c r="H185" s="1" t="s">
        <v>65</v>
      </c>
      <c r="I185" s="1" t="s">
        <v>35</v>
      </c>
      <c r="J185" s="1"/>
      <c r="K185" s="1" t="s">
        <v>681</v>
      </c>
      <c r="L185" s="2" t="s">
        <v>682</v>
      </c>
      <c r="M185" s="1"/>
      <c r="N185" s="1"/>
      <c r="O185" s="1"/>
      <c r="P185" s="1"/>
      <c r="Q185" s="1"/>
      <c r="R185" s="1"/>
      <c r="S185" s="1"/>
      <c r="T185" s="1"/>
      <c r="U185" s="1"/>
      <c r="V185" s="1"/>
      <c r="W185" s="1"/>
      <c r="X185" s="1"/>
      <c r="Y185" s="1"/>
      <c r="Z185" s="1"/>
    </row>
    <row r="186" spans="1:26" ht="33.75" customHeight="1">
      <c r="A186" s="1">
        <v>433</v>
      </c>
      <c r="B186" s="1" t="s">
        <v>683</v>
      </c>
      <c r="C186" s="1" t="s">
        <v>160</v>
      </c>
      <c r="D186" s="4">
        <v>39848.555555555555</v>
      </c>
      <c r="E186" s="1" t="s">
        <v>14</v>
      </c>
      <c r="F186" s="1"/>
      <c r="G186" s="1" t="s">
        <v>64</v>
      </c>
      <c r="H186" s="1" t="s">
        <v>684</v>
      </c>
      <c r="I186" s="1" t="s">
        <v>685</v>
      </c>
      <c r="J186" s="1"/>
      <c r="K186" s="1"/>
      <c r="L186" s="2" t="s">
        <v>686</v>
      </c>
      <c r="M186" s="1"/>
      <c r="N186" s="1"/>
      <c r="O186" s="1"/>
      <c r="P186" s="1"/>
      <c r="Q186" s="1"/>
      <c r="R186" s="1"/>
      <c r="S186" s="1"/>
      <c r="T186" s="1"/>
      <c r="U186" s="1"/>
      <c r="V186" s="1"/>
      <c r="W186" s="1"/>
      <c r="X186" s="1"/>
      <c r="Y186" s="1"/>
      <c r="Z186" s="1"/>
    </row>
    <row r="187" spans="1:26" ht="33.75" customHeight="1">
      <c r="A187" s="1">
        <v>534</v>
      </c>
      <c r="B187" s="1" t="s">
        <v>687</v>
      </c>
      <c r="C187" s="1" t="s">
        <v>680</v>
      </c>
      <c r="D187" s="4">
        <v>39848.560416666667</v>
      </c>
      <c r="E187" s="1" t="s">
        <v>688</v>
      </c>
      <c r="F187" s="1"/>
      <c r="G187" s="1" t="s">
        <v>64</v>
      </c>
      <c r="H187" s="1" t="s">
        <v>65</v>
      </c>
      <c r="I187" s="1" t="s">
        <v>35</v>
      </c>
      <c r="J187" s="1"/>
      <c r="K187" s="1"/>
      <c r="L187" s="2" t="s">
        <v>689</v>
      </c>
      <c r="M187" s="1"/>
      <c r="N187" s="1"/>
      <c r="O187" s="1"/>
      <c r="P187" s="1"/>
      <c r="Q187" s="1"/>
      <c r="R187" s="1"/>
      <c r="S187" s="1"/>
      <c r="T187" s="1"/>
      <c r="U187" s="1"/>
      <c r="V187" s="1"/>
      <c r="W187" s="1"/>
      <c r="X187" s="1"/>
      <c r="Y187" s="1"/>
      <c r="Z187" s="1"/>
    </row>
    <row r="188" spans="1:26" ht="33.75" customHeight="1">
      <c r="A188" s="1">
        <v>434</v>
      </c>
      <c r="B188" s="1" t="s">
        <v>690</v>
      </c>
      <c r="C188" s="1" t="s">
        <v>160</v>
      </c>
      <c r="D188" s="4">
        <v>39848.561805555553</v>
      </c>
      <c r="E188" s="1" t="s">
        <v>14</v>
      </c>
      <c r="F188" s="1"/>
      <c r="G188" s="1" t="s">
        <v>64</v>
      </c>
      <c r="H188" s="1" t="s">
        <v>263</v>
      </c>
      <c r="I188" s="1" t="s">
        <v>603</v>
      </c>
      <c r="J188" s="1"/>
      <c r="K188" s="1" t="s">
        <v>691</v>
      </c>
      <c r="L188" s="2" t="s">
        <v>692</v>
      </c>
      <c r="M188" s="1"/>
      <c r="N188" s="1"/>
      <c r="O188" s="1"/>
      <c r="P188" s="1"/>
      <c r="Q188" s="1"/>
      <c r="R188" s="1"/>
      <c r="S188" s="1"/>
      <c r="T188" s="1"/>
      <c r="U188" s="1"/>
      <c r="V188" s="1"/>
      <c r="W188" s="1"/>
      <c r="X188" s="1"/>
      <c r="Y188" s="1"/>
      <c r="Z188" s="1"/>
    </row>
    <row r="189" spans="1:26" ht="33.75" customHeight="1">
      <c r="A189" s="1">
        <v>535</v>
      </c>
      <c r="B189" s="1" t="s">
        <v>693</v>
      </c>
      <c r="C189" s="1" t="s">
        <v>680</v>
      </c>
      <c r="D189" s="4">
        <v>39848.567361111112</v>
      </c>
      <c r="E189" s="1" t="s">
        <v>70</v>
      </c>
      <c r="F189" s="1"/>
      <c r="G189" s="5" t="s">
        <v>64</v>
      </c>
      <c r="H189" s="5" t="s">
        <v>65</v>
      </c>
      <c r="I189" s="1" t="s">
        <v>35</v>
      </c>
      <c r="J189" s="1"/>
      <c r="K189" s="1" t="s">
        <v>694</v>
      </c>
      <c r="L189" s="2" t="s">
        <v>695</v>
      </c>
      <c r="M189" s="1"/>
      <c r="N189" s="1"/>
      <c r="O189" s="1"/>
      <c r="P189" s="1"/>
      <c r="Q189" s="1"/>
      <c r="R189" s="1"/>
      <c r="S189" s="1"/>
      <c r="T189" s="1"/>
      <c r="U189" s="1"/>
      <c r="V189" s="1"/>
      <c r="W189" s="1"/>
      <c r="X189" s="1"/>
      <c r="Y189" s="1"/>
      <c r="Z189" s="1"/>
    </row>
    <row r="190" spans="1:26" ht="33.75" customHeight="1">
      <c r="A190" s="1">
        <v>536</v>
      </c>
      <c r="B190" s="1" t="s">
        <v>696</v>
      </c>
      <c r="C190" s="1" t="s">
        <v>680</v>
      </c>
      <c r="D190" s="4">
        <v>39848.569444444445</v>
      </c>
      <c r="E190" s="1" t="s">
        <v>70</v>
      </c>
      <c r="F190" s="1"/>
      <c r="G190" s="5" t="s">
        <v>33</v>
      </c>
      <c r="H190" s="5" t="s">
        <v>34</v>
      </c>
      <c r="I190" s="1" t="s">
        <v>35</v>
      </c>
      <c r="J190" s="1"/>
      <c r="K190" s="1" t="s">
        <v>122</v>
      </c>
      <c r="L190" s="2" t="s">
        <v>697</v>
      </c>
      <c r="M190" s="1"/>
      <c r="N190" s="1"/>
      <c r="O190" s="1"/>
      <c r="P190" s="1"/>
      <c r="Q190" s="1"/>
      <c r="R190" s="1"/>
      <c r="S190" s="1"/>
      <c r="T190" s="1"/>
      <c r="U190" s="1"/>
      <c r="V190" s="1"/>
      <c r="W190" s="1"/>
      <c r="X190" s="1"/>
      <c r="Y190" s="1"/>
      <c r="Z190" s="1"/>
    </row>
    <row r="191" spans="1:26" ht="33.75" customHeight="1">
      <c r="A191" s="1">
        <v>435</v>
      </c>
      <c r="B191" s="1" t="s">
        <v>698</v>
      </c>
      <c r="C191" s="1" t="s">
        <v>160</v>
      </c>
      <c r="D191" s="4">
        <v>39848.626388888886</v>
      </c>
      <c r="E191" s="1" t="s">
        <v>314</v>
      </c>
      <c r="F191" s="1">
        <v>31</v>
      </c>
      <c r="G191" s="1" t="s">
        <v>64</v>
      </c>
      <c r="H191" s="1" t="s">
        <v>263</v>
      </c>
      <c r="I191" s="1" t="s">
        <v>603</v>
      </c>
      <c r="J191" s="1"/>
      <c r="K191" s="1"/>
      <c r="L191" s="2" t="s">
        <v>699</v>
      </c>
      <c r="M191" s="1"/>
      <c r="N191" s="1"/>
      <c r="O191" s="1"/>
      <c r="P191" s="1"/>
      <c r="Q191" s="1"/>
      <c r="R191" s="1"/>
      <c r="S191" s="1"/>
      <c r="T191" s="1"/>
      <c r="U191" s="1"/>
      <c r="V191" s="1"/>
      <c r="W191" s="1"/>
      <c r="X191" s="1"/>
      <c r="Y191" s="1"/>
      <c r="Z191" s="1"/>
    </row>
    <row r="192" spans="1:26" ht="33.75" customHeight="1">
      <c r="A192" s="1">
        <v>436</v>
      </c>
      <c r="B192" s="1" t="s">
        <v>700</v>
      </c>
      <c r="C192" s="1" t="s">
        <v>160</v>
      </c>
      <c r="D192" s="4">
        <v>39848.656944444447</v>
      </c>
      <c r="E192" s="1" t="s">
        <v>320</v>
      </c>
      <c r="F192" s="1" t="s">
        <v>663</v>
      </c>
      <c r="G192" s="5" t="s">
        <v>26</v>
      </c>
      <c r="H192" s="5" t="s">
        <v>133</v>
      </c>
      <c r="I192" s="1" t="s">
        <v>28</v>
      </c>
      <c r="J192" s="1" t="s">
        <v>134</v>
      </c>
      <c r="K192" s="1"/>
      <c r="L192" s="2" t="s">
        <v>701</v>
      </c>
      <c r="M192" s="1"/>
      <c r="N192" s="1"/>
      <c r="O192" s="1"/>
      <c r="P192" s="1"/>
      <c r="Q192" s="1"/>
      <c r="R192" s="1"/>
      <c r="S192" s="1"/>
      <c r="T192" s="1"/>
      <c r="U192" s="1"/>
      <c r="V192" s="1"/>
      <c r="W192" s="1"/>
      <c r="X192" s="1"/>
      <c r="Y192" s="1"/>
      <c r="Z192" s="1"/>
    </row>
    <row r="193" spans="1:26" ht="33.75" customHeight="1">
      <c r="A193" s="1">
        <v>437</v>
      </c>
      <c r="B193" s="1" t="s">
        <v>702</v>
      </c>
      <c r="C193" s="1" t="s">
        <v>160</v>
      </c>
      <c r="D193" s="4">
        <v>39848.661111111112</v>
      </c>
      <c r="E193" s="1" t="s">
        <v>320</v>
      </c>
      <c r="F193" s="1" t="s">
        <v>703</v>
      </c>
      <c r="G193" s="5" t="s">
        <v>26</v>
      </c>
      <c r="H193" s="5" t="s">
        <v>133</v>
      </c>
      <c r="I193" s="1" t="s">
        <v>28</v>
      </c>
      <c r="J193" s="1" t="s">
        <v>134</v>
      </c>
      <c r="K193" s="1"/>
      <c r="L193" s="2" t="s">
        <v>704</v>
      </c>
      <c r="M193" s="1"/>
      <c r="N193" s="1"/>
      <c r="O193" s="1"/>
      <c r="P193" s="1"/>
      <c r="Q193" s="1"/>
      <c r="R193" s="1"/>
      <c r="S193" s="1"/>
      <c r="T193" s="1"/>
      <c r="U193" s="1"/>
      <c r="V193" s="1"/>
      <c r="W193" s="1"/>
      <c r="X193" s="1"/>
      <c r="Y193" s="1"/>
      <c r="Z193" s="1"/>
    </row>
    <row r="194" spans="1:26" ht="33.75" customHeight="1">
      <c r="A194" s="1">
        <v>438</v>
      </c>
      <c r="B194" s="1" t="s">
        <v>705</v>
      </c>
      <c r="C194" s="1" t="s">
        <v>160</v>
      </c>
      <c r="D194" s="4">
        <v>39848.661805555559</v>
      </c>
      <c r="E194" s="1" t="s">
        <v>320</v>
      </c>
      <c r="F194" s="1" t="s">
        <v>706</v>
      </c>
      <c r="G194" s="1" t="s">
        <v>64</v>
      </c>
      <c r="H194" s="1" t="s">
        <v>263</v>
      </c>
      <c r="I194" s="1" t="s">
        <v>603</v>
      </c>
      <c r="J194" s="1"/>
      <c r="K194" s="1"/>
      <c r="L194" s="2" t="s">
        <v>707</v>
      </c>
      <c r="M194" s="1"/>
      <c r="N194" s="1"/>
      <c r="O194" s="1"/>
      <c r="P194" s="1"/>
      <c r="Q194" s="1"/>
      <c r="R194" s="1"/>
      <c r="S194" s="1"/>
      <c r="T194" s="1"/>
      <c r="U194" s="1"/>
      <c r="V194" s="1"/>
      <c r="W194" s="1"/>
      <c r="X194" s="1"/>
      <c r="Y194" s="1"/>
      <c r="Z194" s="1"/>
    </row>
    <row r="195" spans="1:26" ht="33.75" customHeight="1">
      <c r="A195" s="1">
        <v>439</v>
      </c>
      <c r="B195" s="1" t="s">
        <v>708</v>
      </c>
      <c r="C195" s="1" t="s">
        <v>160</v>
      </c>
      <c r="D195" s="4">
        <v>39848.694444444445</v>
      </c>
      <c r="E195" s="1" t="s">
        <v>84</v>
      </c>
      <c r="F195" s="1" t="s">
        <v>709</v>
      </c>
      <c r="G195" s="1" t="s">
        <v>64</v>
      </c>
      <c r="H195" s="1" t="s">
        <v>375</v>
      </c>
      <c r="I195" s="1" t="s">
        <v>710</v>
      </c>
      <c r="J195" s="1"/>
      <c r="K195" s="1"/>
      <c r="L195" s="2" t="s">
        <v>711</v>
      </c>
      <c r="M195" s="1"/>
      <c r="N195" s="1"/>
      <c r="O195" s="1"/>
      <c r="P195" s="1"/>
      <c r="Q195" s="1"/>
      <c r="R195" s="1"/>
      <c r="S195" s="1"/>
      <c r="T195" s="1"/>
      <c r="U195" s="1"/>
      <c r="V195" s="1"/>
      <c r="W195" s="1"/>
      <c r="X195" s="1"/>
      <c r="Y195" s="1"/>
      <c r="Z195" s="1"/>
    </row>
    <row r="196" spans="1:26" ht="33.75" customHeight="1">
      <c r="A196" s="1">
        <v>537</v>
      </c>
      <c r="B196" s="1" t="s">
        <v>712</v>
      </c>
      <c r="C196" s="1" t="s">
        <v>680</v>
      </c>
      <c r="D196" s="4">
        <v>39848.697916666664</v>
      </c>
      <c r="E196" s="1" t="s">
        <v>84</v>
      </c>
      <c r="F196" s="1"/>
      <c r="G196" s="5" t="s">
        <v>64</v>
      </c>
      <c r="H196" s="1" t="s">
        <v>65</v>
      </c>
      <c r="I196" s="1" t="s">
        <v>64</v>
      </c>
      <c r="J196" s="1" t="s">
        <v>673</v>
      </c>
      <c r="K196" s="1" t="s">
        <v>713</v>
      </c>
      <c r="L196" s="2" t="s">
        <v>714</v>
      </c>
      <c r="M196" s="1"/>
      <c r="N196" s="1"/>
      <c r="O196" s="1"/>
      <c r="P196" s="1"/>
      <c r="Q196" s="1"/>
      <c r="R196" s="1"/>
      <c r="S196" s="1"/>
      <c r="T196" s="1"/>
      <c r="U196" s="1"/>
      <c r="V196" s="1"/>
      <c r="W196" s="1"/>
      <c r="X196" s="1"/>
      <c r="Y196" s="1"/>
      <c r="Z196" s="1"/>
    </row>
    <row r="197" spans="1:26" ht="33.75" customHeight="1">
      <c r="A197" s="1">
        <v>440</v>
      </c>
      <c r="B197" s="1" t="s">
        <v>715</v>
      </c>
      <c r="C197" s="1" t="s">
        <v>160</v>
      </c>
      <c r="D197" s="4">
        <v>39848.722916666666</v>
      </c>
      <c r="E197" s="1" t="s">
        <v>14</v>
      </c>
      <c r="F197" s="1" t="s">
        <v>700</v>
      </c>
      <c r="G197" s="5" t="s">
        <v>26</v>
      </c>
      <c r="H197" s="5" t="s">
        <v>27</v>
      </c>
      <c r="I197" s="1" t="s">
        <v>28</v>
      </c>
      <c r="J197" s="1" t="s">
        <v>29</v>
      </c>
      <c r="K197" s="1"/>
      <c r="L197" s="2" t="s">
        <v>716</v>
      </c>
      <c r="M197" s="1"/>
      <c r="N197" s="1"/>
      <c r="O197" s="1"/>
      <c r="P197" s="1"/>
      <c r="Q197" s="1"/>
      <c r="R197" s="1"/>
      <c r="S197" s="1"/>
      <c r="T197" s="1"/>
      <c r="U197" s="1"/>
      <c r="V197" s="1"/>
      <c r="W197" s="1"/>
      <c r="X197" s="1"/>
      <c r="Y197" s="1"/>
      <c r="Z197" s="1"/>
    </row>
    <row r="198" spans="1:26" ht="33.75" customHeight="1">
      <c r="A198" s="1">
        <v>538</v>
      </c>
      <c r="B198" s="1" t="s">
        <v>717</v>
      </c>
      <c r="C198" s="1" t="s">
        <v>680</v>
      </c>
      <c r="D198" s="4">
        <v>39848.743055555555</v>
      </c>
      <c r="E198" s="1" t="s">
        <v>416</v>
      </c>
      <c r="F198" s="1"/>
      <c r="G198" s="5" t="s">
        <v>33</v>
      </c>
      <c r="H198" s="5" t="s">
        <v>34</v>
      </c>
      <c r="I198" s="1" t="s">
        <v>35</v>
      </c>
      <c r="J198" s="1"/>
      <c r="K198" s="1" t="s">
        <v>718</v>
      </c>
      <c r="L198" s="2" t="s">
        <v>719</v>
      </c>
      <c r="M198" s="1"/>
      <c r="N198" s="1"/>
      <c r="O198" s="1"/>
      <c r="P198" s="1"/>
      <c r="Q198" s="1"/>
      <c r="R198" s="1"/>
      <c r="S198" s="1"/>
      <c r="T198" s="1"/>
      <c r="U198" s="1"/>
      <c r="V198" s="1"/>
      <c r="W198" s="1"/>
      <c r="X198" s="1"/>
      <c r="Y198" s="1"/>
      <c r="Z198" s="1"/>
    </row>
    <row r="199" spans="1:26" ht="33.75" customHeight="1">
      <c r="A199" s="1">
        <v>441</v>
      </c>
      <c r="B199" s="1" t="s">
        <v>720</v>
      </c>
      <c r="C199" s="1" t="s">
        <v>160</v>
      </c>
      <c r="D199" s="4">
        <v>39848.75</v>
      </c>
      <c r="E199" s="1" t="s">
        <v>14</v>
      </c>
      <c r="F199" s="1" t="s">
        <v>721</v>
      </c>
      <c r="G199" s="1" t="s">
        <v>64</v>
      </c>
      <c r="H199" s="1" t="s">
        <v>263</v>
      </c>
      <c r="I199" s="1" t="s">
        <v>315</v>
      </c>
      <c r="J199" s="1" t="s">
        <v>722</v>
      </c>
      <c r="K199" s="1"/>
      <c r="L199" s="2" t="s">
        <v>723</v>
      </c>
      <c r="M199" s="1"/>
      <c r="N199" s="1"/>
      <c r="O199" s="1"/>
      <c r="P199" s="1"/>
      <c r="Q199" s="1"/>
      <c r="R199" s="1"/>
      <c r="S199" s="1"/>
      <c r="T199" s="1"/>
      <c r="U199" s="1"/>
      <c r="V199" s="1"/>
      <c r="W199" s="1"/>
      <c r="X199" s="1"/>
      <c r="Y199" s="1"/>
      <c r="Z199" s="1"/>
    </row>
    <row r="200" spans="1:26" ht="33.75" customHeight="1">
      <c r="A200" s="1">
        <v>442</v>
      </c>
      <c r="B200" s="1" t="s">
        <v>724</v>
      </c>
      <c r="C200" s="1" t="s">
        <v>160</v>
      </c>
      <c r="D200" s="4">
        <v>39848.761805555558</v>
      </c>
      <c r="E200" s="1" t="s">
        <v>320</v>
      </c>
      <c r="F200" s="1" t="s">
        <v>715</v>
      </c>
      <c r="G200" s="1" t="s">
        <v>64</v>
      </c>
      <c r="H200" s="1" t="s">
        <v>263</v>
      </c>
      <c r="I200" s="1" t="s">
        <v>603</v>
      </c>
      <c r="J200" s="1"/>
      <c r="K200" s="1"/>
      <c r="L200" s="2" t="s">
        <v>725</v>
      </c>
      <c r="M200" s="1"/>
      <c r="N200" s="1"/>
      <c r="O200" s="1"/>
      <c r="P200" s="1"/>
      <c r="Q200" s="1"/>
      <c r="R200" s="1"/>
      <c r="S200" s="1"/>
      <c r="T200" s="1"/>
      <c r="U200" s="1"/>
      <c r="V200" s="1"/>
      <c r="W200" s="1"/>
      <c r="X200" s="1"/>
      <c r="Y200" s="1"/>
      <c r="Z200" s="1"/>
    </row>
    <row r="201" spans="1:26" ht="33.75" customHeight="1">
      <c r="A201" s="1">
        <v>443</v>
      </c>
      <c r="B201" s="1" t="s">
        <v>726</v>
      </c>
      <c r="C201" s="1" t="s">
        <v>160</v>
      </c>
      <c r="D201" s="4">
        <v>39848.770138888889</v>
      </c>
      <c r="E201" s="1" t="s">
        <v>54</v>
      </c>
      <c r="F201" s="1" t="s">
        <v>727</v>
      </c>
      <c r="G201" s="5" t="s">
        <v>64</v>
      </c>
      <c r="H201" s="5" t="s">
        <v>263</v>
      </c>
      <c r="I201" s="1" t="s">
        <v>277</v>
      </c>
      <c r="J201" s="1" t="s">
        <v>728</v>
      </c>
      <c r="K201" s="1"/>
      <c r="L201" s="2" t="s">
        <v>729</v>
      </c>
      <c r="M201" s="1"/>
      <c r="N201" s="1"/>
      <c r="O201" s="1"/>
      <c r="P201" s="1"/>
      <c r="Q201" s="1"/>
      <c r="R201" s="1"/>
      <c r="S201" s="1"/>
      <c r="T201" s="1"/>
      <c r="U201" s="1"/>
      <c r="V201" s="1"/>
      <c r="W201" s="1"/>
      <c r="X201" s="1"/>
      <c r="Y201" s="1"/>
      <c r="Z201" s="1"/>
    </row>
    <row r="202" spans="1:26" ht="33.75" customHeight="1">
      <c r="A202" s="1">
        <v>444</v>
      </c>
      <c r="B202" s="1" t="s">
        <v>730</v>
      </c>
      <c r="C202" s="1" t="s">
        <v>160</v>
      </c>
      <c r="D202" s="4">
        <v>39848.772916666669</v>
      </c>
      <c r="E202" s="1" t="s">
        <v>14</v>
      </c>
      <c r="F202" s="1" t="s">
        <v>731</v>
      </c>
      <c r="G202" s="5" t="s">
        <v>26</v>
      </c>
      <c r="H202" s="5" t="s">
        <v>133</v>
      </c>
      <c r="I202" s="1" t="s">
        <v>28</v>
      </c>
      <c r="J202" s="1" t="s">
        <v>134</v>
      </c>
      <c r="K202" s="1"/>
      <c r="L202" s="2" t="s">
        <v>732</v>
      </c>
      <c r="M202" s="1"/>
      <c r="N202" s="1"/>
      <c r="O202" s="1"/>
      <c r="P202" s="1"/>
      <c r="Q202" s="1"/>
      <c r="R202" s="1"/>
      <c r="S202" s="1"/>
      <c r="T202" s="1"/>
      <c r="U202" s="1"/>
      <c r="V202" s="1"/>
      <c r="W202" s="1"/>
      <c r="X202" s="1"/>
      <c r="Y202" s="1"/>
      <c r="Z202" s="1"/>
    </row>
    <row r="203" spans="1:26" ht="33.75" customHeight="1">
      <c r="A203" s="1">
        <v>445</v>
      </c>
      <c r="B203" s="1" t="s">
        <v>733</v>
      </c>
      <c r="C203" s="1" t="s">
        <v>160</v>
      </c>
      <c r="D203" s="4">
        <v>39848.776388888888</v>
      </c>
      <c r="E203" s="1" t="s">
        <v>54</v>
      </c>
      <c r="F203" s="1" t="s">
        <v>724</v>
      </c>
      <c r="G203" s="5" t="s">
        <v>26</v>
      </c>
      <c r="H203" s="5" t="s">
        <v>27</v>
      </c>
      <c r="I203" s="1" t="s">
        <v>28</v>
      </c>
      <c r="J203" s="1" t="s">
        <v>29</v>
      </c>
      <c r="K203" s="1"/>
      <c r="L203" s="2" t="s">
        <v>734</v>
      </c>
      <c r="M203" s="1"/>
      <c r="N203" s="1"/>
      <c r="O203" s="1"/>
      <c r="P203" s="1"/>
      <c r="Q203" s="1"/>
      <c r="R203" s="1"/>
      <c r="S203" s="1"/>
      <c r="T203" s="1"/>
      <c r="U203" s="1"/>
      <c r="V203" s="1"/>
      <c r="W203" s="1"/>
      <c r="X203" s="1"/>
      <c r="Y203" s="1"/>
      <c r="Z203" s="1"/>
    </row>
    <row r="204" spans="1:26" ht="33.75" customHeight="1">
      <c r="A204" s="1">
        <v>446</v>
      </c>
      <c r="B204" s="1" t="s">
        <v>735</v>
      </c>
      <c r="C204" s="1" t="s">
        <v>160</v>
      </c>
      <c r="D204" s="4">
        <v>39848.789583333331</v>
      </c>
      <c r="E204" s="1" t="s">
        <v>54</v>
      </c>
      <c r="F204" s="1" t="s">
        <v>733</v>
      </c>
      <c r="G204" s="5" t="s">
        <v>78</v>
      </c>
      <c r="H204" s="1" t="s">
        <v>79</v>
      </c>
      <c r="I204" s="1" t="s">
        <v>64</v>
      </c>
      <c r="J204" s="1" t="s">
        <v>736</v>
      </c>
      <c r="K204" s="1" t="s">
        <v>737</v>
      </c>
      <c r="L204" s="2" t="s">
        <v>738</v>
      </c>
      <c r="M204" s="1"/>
      <c r="N204" s="1"/>
      <c r="O204" s="1"/>
      <c r="P204" s="1"/>
      <c r="Q204" s="1"/>
      <c r="R204" s="1"/>
      <c r="S204" s="1"/>
      <c r="T204" s="1"/>
      <c r="U204" s="1"/>
      <c r="V204" s="1"/>
      <c r="W204" s="1"/>
      <c r="X204" s="1"/>
      <c r="Y204" s="1"/>
      <c r="Z204" s="1"/>
    </row>
    <row r="205" spans="1:26" ht="33.75" customHeight="1">
      <c r="A205" s="1">
        <v>447</v>
      </c>
      <c r="B205" s="1" t="s">
        <v>739</v>
      </c>
      <c r="C205" s="1" t="s">
        <v>160</v>
      </c>
      <c r="D205" s="4">
        <v>39848.792361111111</v>
      </c>
      <c r="E205" s="1" t="s">
        <v>320</v>
      </c>
      <c r="F205" s="1" t="s">
        <v>733</v>
      </c>
      <c r="G205" s="5" t="s">
        <v>26</v>
      </c>
      <c r="H205" s="5" t="s">
        <v>133</v>
      </c>
      <c r="I205" s="1" t="s">
        <v>28</v>
      </c>
      <c r="J205" s="1" t="s">
        <v>134</v>
      </c>
      <c r="K205" s="1"/>
      <c r="L205" s="2" t="s">
        <v>740</v>
      </c>
      <c r="M205" s="1"/>
      <c r="N205" s="1"/>
      <c r="O205" s="1"/>
      <c r="P205" s="1"/>
      <c r="Q205" s="1"/>
      <c r="R205" s="1"/>
      <c r="S205" s="1"/>
      <c r="T205" s="1"/>
      <c r="U205" s="1"/>
      <c r="V205" s="1"/>
      <c r="W205" s="1"/>
      <c r="X205" s="1"/>
      <c r="Y205" s="1"/>
      <c r="Z205" s="1"/>
    </row>
    <row r="206" spans="1:26" ht="33.75" customHeight="1">
      <c r="A206" s="1">
        <v>72</v>
      </c>
      <c r="B206" s="1" t="s">
        <v>741</v>
      </c>
      <c r="C206" s="3" t="s">
        <v>13</v>
      </c>
      <c r="D206" s="4">
        <v>39848.79583333333</v>
      </c>
      <c r="E206" s="1" t="s">
        <v>742</v>
      </c>
      <c r="F206" s="1"/>
      <c r="G206" s="1" t="s">
        <v>15</v>
      </c>
      <c r="H206" s="1" t="s">
        <v>50</v>
      </c>
      <c r="I206" s="1" t="s">
        <v>166</v>
      </c>
      <c r="J206" s="1"/>
      <c r="K206" s="1" t="s">
        <v>743</v>
      </c>
      <c r="L206" s="2" t="s">
        <v>744</v>
      </c>
      <c r="M206" s="1"/>
      <c r="N206" s="1"/>
      <c r="O206" s="1"/>
      <c r="P206" s="1"/>
      <c r="Q206" s="1"/>
      <c r="R206" s="1"/>
      <c r="S206" s="1"/>
      <c r="T206" s="1"/>
      <c r="U206" s="1"/>
      <c r="V206" s="1"/>
      <c r="W206" s="1"/>
      <c r="X206" s="1"/>
      <c r="Y206" s="1"/>
      <c r="Z206" s="1"/>
    </row>
    <row r="207" spans="1:26" ht="33.75" customHeight="1">
      <c r="A207" s="1">
        <v>448</v>
      </c>
      <c r="B207" s="1" t="s">
        <v>745</v>
      </c>
      <c r="C207" s="1" t="s">
        <v>160</v>
      </c>
      <c r="D207" s="4">
        <v>39848.801388888889</v>
      </c>
      <c r="E207" s="1" t="s">
        <v>320</v>
      </c>
      <c r="F207" s="1"/>
      <c r="G207" s="5" t="s">
        <v>15</v>
      </c>
      <c r="H207" s="5" t="s">
        <v>150</v>
      </c>
      <c r="I207" s="1" t="s">
        <v>746</v>
      </c>
      <c r="J207" s="1"/>
      <c r="K207" s="1"/>
      <c r="L207" s="2" t="s">
        <v>747</v>
      </c>
      <c r="M207" s="1"/>
      <c r="N207" s="1"/>
      <c r="O207" s="1"/>
      <c r="P207" s="1"/>
      <c r="Q207" s="1"/>
      <c r="R207" s="1"/>
      <c r="S207" s="1"/>
      <c r="T207" s="1"/>
      <c r="U207" s="1"/>
      <c r="V207" s="1"/>
      <c r="W207" s="1"/>
      <c r="X207" s="1"/>
      <c r="Y207" s="1"/>
      <c r="Z207" s="1"/>
    </row>
    <row r="208" spans="1:26" ht="33.75" customHeight="1">
      <c r="A208" s="1">
        <v>539</v>
      </c>
      <c r="B208" s="1" t="s">
        <v>748</v>
      </c>
      <c r="C208" s="1" t="s">
        <v>680</v>
      </c>
      <c r="D208" s="4">
        <v>39848.811805555553</v>
      </c>
      <c r="E208" s="1" t="s">
        <v>688</v>
      </c>
      <c r="F208" s="1" t="s">
        <v>717</v>
      </c>
      <c r="G208" s="5" t="s">
        <v>15</v>
      </c>
      <c r="H208" s="5" t="s">
        <v>402</v>
      </c>
      <c r="I208" s="1" t="s">
        <v>576</v>
      </c>
      <c r="J208" s="1"/>
      <c r="K208" s="1" t="s">
        <v>749</v>
      </c>
      <c r="L208" s="2" t="s">
        <v>750</v>
      </c>
      <c r="M208" s="1"/>
      <c r="N208" s="1"/>
      <c r="O208" s="1"/>
      <c r="P208" s="1"/>
      <c r="Q208" s="1"/>
      <c r="R208" s="1"/>
      <c r="S208" s="1"/>
      <c r="T208" s="1"/>
      <c r="U208" s="1"/>
      <c r="V208" s="1"/>
      <c r="W208" s="1"/>
      <c r="X208" s="1"/>
      <c r="Y208" s="1"/>
      <c r="Z208" s="1"/>
    </row>
    <row r="209" spans="1:26" ht="33.75" customHeight="1">
      <c r="A209" s="1">
        <v>449</v>
      </c>
      <c r="B209" s="1" t="s">
        <v>751</v>
      </c>
      <c r="C209" s="1" t="s">
        <v>160</v>
      </c>
      <c r="D209" s="4">
        <v>39848.820138888892</v>
      </c>
      <c r="E209" s="1" t="s">
        <v>196</v>
      </c>
      <c r="F209" s="1" t="s">
        <v>667</v>
      </c>
      <c r="G209" s="6" t="s">
        <v>78</v>
      </c>
      <c r="H209" s="5" t="s">
        <v>79</v>
      </c>
      <c r="I209" s="1" t="s">
        <v>649</v>
      </c>
      <c r="J209" s="1"/>
      <c r="K209" s="1"/>
      <c r="L209" s="2" t="s">
        <v>752</v>
      </c>
      <c r="M209" s="1"/>
      <c r="N209" s="1"/>
      <c r="O209" s="1"/>
      <c r="P209" s="1"/>
      <c r="Q209" s="1"/>
      <c r="R209" s="1"/>
      <c r="S209" s="1"/>
      <c r="T209" s="1"/>
      <c r="U209" s="1"/>
      <c r="V209" s="1"/>
      <c r="W209" s="1"/>
      <c r="X209" s="1"/>
      <c r="Y209" s="1"/>
      <c r="Z209" s="1"/>
    </row>
    <row r="210" spans="1:26" ht="33.75" customHeight="1">
      <c r="A210" s="1">
        <v>450</v>
      </c>
      <c r="B210" s="1" t="s">
        <v>753</v>
      </c>
      <c r="C210" s="1" t="s">
        <v>160</v>
      </c>
      <c r="D210" s="4">
        <v>39848.824999999997</v>
      </c>
      <c r="E210" s="1" t="s">
        <v>255</v>
      </c>
      <c r="F210" s="1">
        <v>111</v>
      </c>
      <c r="G210" s="5" t="s">
        <v>64</v>
      </c>
      <c r="H210" s="5" t="s">
        <v>282</v>
      </c>
      <c r="I210" s="1" t="s">
        <v>283</v>
      </c>
      <c r="J210" s="1"/>
      <c r="K210" s="1" t="s">
        <v>754</v>
      </c>
      <c r="L210" s="2" t="s">
        <v>755</v>
      </c>
      <c r="M210" s="1"/>
      <c r="N210" s="1"/>
      <c r="O210" s="1"/>
      <c r="P210" s="1"/>
      <c r="Q210" s="1"/>
      <c r="R210" s="1"/>
      <c r="S210" s="1"/>
      <c r="T210" s="1"/>
      <c r="U210" s="1"/>
      <c r="V210" s="1"/>
      <c r="W210" s="1"/>
      <c r="X210" s="1"/>
      <c r="Y210" s="1"/>
      <c r="Z210" s="1"/>
    </row>
    <row r="211" spans="1:26" ht="33.75" customHeight="1">
      <c r="A211" s="1">
        <v>73</v>
      </c>
      <c r="B211" s="1" t="s">
        <v>756</v>
      </c>
      <c r="C211" s="3" t="s">
        <v>13</v>
      </c>
      <c r="D211" s="4">
        <v>39848.838194444441</v>
      </c>
      <c r="E211" s="1" t="s">
        <v>688</v>
      </c>
      <c r="F211" s="1"/>
      <c r="G211" s="1" t="s">
        <v>15</v>
      </c>
      <c r="H211" s="1" t="s">
        <v>50</v>
      </c>
      <c r="I211" s="1" t="s">
        <v>166</v>
      </c>
      <c r="J211" s="1"/>
      <c r="K211" s="1" t="s">
        <v>757</v>
      </c>
      <c r="L211" s="2" t="s">
        <v>758</v>
      </c>
      <c r="M211" s="1"/>
      <c r="N211" s="1"/>
      <c r="O211" s="1"/>
      <c r="P211" s="1"/>
      <c r="Q211" s="1"/>
      <c r="R211" s="1"/>
      <c r="S211" s="1"/>
      <c r="T211" s="1"/>
      <c r="U211" s="1"/>
      <c r="V211" s="1"/>
      <c r="W211" s="1"/>
      <c r="X211" s="1"/>
      <c r="Y211" s="1"/>
      <c r="Z211" s="1"/>
    </row>
    <row r="212" spans="1:26" ht="33.75" customHeight="1">
      <c r="A212" s="1">
        <v>451</v>
      </c>
      <c r="B212" s="1" t="s">
        <v>759</v>
      </c>
      <c r="C212" s="1" t="s">
        <v>160</v>
      </c>
      <c r="D212" s="4">
        <v>39848.84652777778</v>
      </c>
      <c r="E212" s="1" t="s">
        <v>760</v>
      </c>
      <c r="F212" s="1" t="s">
        <v>398</v>
      </c>
      <c r="G212" s="5" t="s">
        <v>15</v>
      </c>
      <c r="H212" s="5" t="s">
        <v>402</v>
      </c>
      <c r="I212" s="1" t="s">
        <v>576</v>
      </c>
      <c r="J212" s="1"/>
      <c r="K212" s="1"/>
      <c r="L212" s="2" t="s">
        <v>761</v>
      </c>
      <c r="M212" s="1"/>
      <c r="N212" s="1"/>
      <c r="O212" s="1"/>
      <c r="P212" s="1"/>
      <c r="Q212" s="1"/>
      <c r="R212" s="1"/>
      <c r="S212" s="1"/>
      <c r="T212" s="1"/>
      <c r="U212" s="1"/>
      <c r="V212" s="1"/>
      <c r="W212" s="1"/>
      <c r="X212" s="1"/>
      <c r="Y212" s="1"/>
      <c r="Z212" s="1"/>
    </row>
    <row r="213" spans="1:26" ht="33.75" customHeight="1">
      <c r="A213" s="1">
        <v>452</v>
      </c>
      <c r="B213" s="1" t="s">
        <v>762</v>
      </c>
      <c r="C213" s="1" t="s">
        <v>160</v>
      </c>
      <c r="D213" s="4">
        <v>39848.854166666664</v>
      </c>
      <c r="E213" s="1" t="s">
        <v>54</v>
      </c>
      <c r="F213" s="1" t="s">
        <v>739</v>
      </c>
      <c r="G213" s="5" t="s">
        <v>64</v>
      </c>
      <c r="H213" s="5" t="s">
        <v>282</v>
      </c>
      <c r="I213" s="1" t="s">
        <v>283</v>
      </c>
      <c r="J213" s="1"/>
      <c r="K213" s="1" t="s">
        <v>754</v>
      </c>
      <c r="L213" s="2" t="s">
        <v>763</v>
      </c>
      <c r="M213" s="1"/>
      <c r="N213" s="1"/>
      <c r="O213" s="1"/>
      <c r="P213" s="1"/>
      <c r="Q213" s="1"/>
      <c r="R213" s="1"/>
      <c r="S213" s="1"/>
      <c r="T213" s="1"/>
      <c r="U213" s="1"/>
      <c r="V213" s="1"/>
      <c r="W213" s="1"/>
      <c r="X213" s="1"/>
      <c r="Y213" s="1"/>
      <c r="Z213" s="1"/>
    </row>
    <row r="214" spans="1:26" ht="33.75" customHeight="1">
      <c r="A214" s="1">
        <v>540</v>
      </c>
      <c r="B214" s="1" t="s">
        <v>764</v>
      </c>
      <c r="C214" s="1" t="s">
        <v>680</v>
      </c>
      <c r="D214" s="4">
        <v>39848.857638888891</v>
      </c>
      <c r="E214" s="1" t="s">
        <v>54</v>
      </c>
      <c r="F214" s="1"/>
      <c r="G214" s="5" t="s">
        <v>64</v>
      </c>
      <c r="H214" s="5" t="s">
        <v>65</v>
      </c>
      <c r="I214" s="1" t="s">
        <v>56</v>
      </c>
      <c r="J214" s="1"/>
      <c r="K214" s="1"/>
      <c r="L214" s="2" t="s">
        <v>765</v>
      </c>
      <c r="M214" s="1"/>
      <c r="N214" s="1"/>
      <c r="O214" s="1"/>
      <c r="P214" s="1"/>
      <c r="Q214" s="1"/>
      <c r="R214" s="1"/>
      <c r="S214" s="1"/>
      <c r="T214" s="1"/>
      <c r="U214" s="1"/>
      <c r="V214" s="1"/>
      <c r="W214" s="1"/>
      <c r="X214" s="1"/>
      <c r="Y214" s="1"/>
      <c r="Z214" s="1"/>
    </row>
    <row r="215" spans="1:26" ht="33.75" customHeight="1">
      <c r="A215" s="1">
        <v>453</v>
      </c>
      <c r="B215" s="1" t="s">
        <v>766</v>
      </c>
      <c r="C215" s="1" t="s">
        <v>160</v>
      </c>
      <c r="D215" s="4">
        <v>39848.87777777778</v>
      </c>
      <c r="E215" s="1" t="s">
        <v>54</v>
      </c>
      <c r="F215" s="1" t="s">
        <v>767</v>
      </c>
      <c r="G215" s="5" t="s">
        <v>15</v>
      </c>
      <c r="H215" s="5" t="s">
        <v>150</v>
      </c>
      <c r="I215" s="1" t="s">
        <v>768</v>
      </c>
      <c r="J215" s="1"/>
      <c r="K215" s="1" t="s">
        <v>769</v>
      </c>
      <c r="L215" s="2" t="s">
        <v>770</v>
      </c>
      <c r="M215" s="1"/>
      <c r="N215" s="1"/>
      <c r="O215" s="1"/>
      <c r="P215" s="1"/>
      <c r="Q215" s="1"/>
      <c r="R215" s="1"/>
      <c r="S215" s="1"/>
      <c r="T215" s="1"/>
      <c r="U215" s="1"/>
      <c r="V215" s="1"/>
      <c r="W215" s="1"/>
      <c r="X215" s="1"/>
      <c r="Y215" s="1"/>
      <c r="Z215" s="1"/>
    </row>
    <row r="216" spans="1:26" ht="33.75" customHeight="1">
      <c r="A216" s="1">
        <v>541</v>
      </c>
      <c r="B216" s="1" t="s">
        <v>771</v>
      </c>
      <c r="C216" s="1" t="s">
        <v>680</v>
      </c>
      <c r="D216" s="4">
        <v>39848.911111111112</v>
      </c>
      <c r="E216" s="1" t="s">
        <v>772</v>
      </c>
      <c r="F216" s="1"/>
      <c r="G216" s="5" t="s">
        <v>64</v>
      </c>
      <c r="H216" s="5" t="s">
        <v>65</v>
      </c>
      <c r="I216" s="1" t="s">
        <v>35</v>
      </c>
      <c r="J216" s="1"/>
      <c r="K216" s="1"/>
      <c r="L216" s="2" t="s">
        <v>773</v>
      </c>
      <c r="M216" s="1"/>
      <c r="N216" s="1"/>
      <c r="O216" s="1"/>
      <c r="P216" s="1"/>
      <c r="Q216" s="1"/>
      <c r="R216" s="1"/>
      <c r="S216" s="1"/>
      <c r="T216" s="1"/>
      <c r="U216" s="1"/>
      <c r="V216" s="1"/>
      <c r="W216" s="1"/>
      <c r="X216" s="1"/>
      <c r="Y216" s="1"/>
      <c r="Z216" s="1"/>
    </row>
    <row r="217" spans="1:26" ht="33.75" customHeight="1">
      <c r="A217" s="1">
        <v>542</v>
      </c>
      <c r="B217" s="1" t="s">
        <v>774</v>
      </c>
      <c r="C217" s="1" t="s">
        <v>680</v>
      </c>
      <c r="D217" s="4">
        <v>39848.953472222223</v>
      </c>
      <c r="E217" s="1" t="s">
        <v>101</v>
      </c>
      <c r="F217" s="1"/>
      <c r="G217" s="5" t="s">
        <v>33</v>
      </c>
      <c r="H217" s="5" t="s">
        <v>34</v>
      </c>
      <c r="I217" s="1" t="s">
        <v>35</v>
      </c>
      <c r="J217" s="1"/>
      <c r="K217" s="1" t="s">
        <v>122</v>
      </c>
      <c r="L217" s="2" t="s">
        <v>775</v>
      </c>
      <c r="M217" s="1"/>
      <c r="N217" s="1"/>
      <c r="O217" s="1"/>
      <c r="P217" s="1"/>
      <c r="Q217" s="1"/>
      <c r="R217" s="1"/>
      <c r="S217" s="1"/>
      <c r="T217" s="1"/>
      <c r="U217" s="1"/>
      <c r="V217" s="1"/>
      <c r="W217" s="1"/>
      <c r="X217" s="1"/>
      <c r="Y217" s="1"/>
      <c r="Z217" s="1"/>
    </row>
    <row r="218" spans="1:26" ht="33.75" customHeight="1">
      <c r="A218" s="1">
        <v>454</v>
      </c>
      <c r="B218" s="1" t="s">
        <v>776</v>
      </c>
      <c r="C218" s="1" t="s">
        <v>160</v>
      </c>
      <c r="D218" s="4">
        <v>39848.954861111109</v>
      </c>
      <c r="E218" s="1" t="s">
        <v>14</v>
      </c>
      <c r="F218" s="1" t="s">
        <v>751</v>
      </c>
      <c r="G218" s="5" t="s">
        <v>26</v>
      </c>
      <c r="H218" s="5" t="s">
        <v>27</v>
      </c>
      <c r="I218" s="1" t="s">
        <v>777</v>
      </c>
      <c r="J218" s="1"/>
      <c r="K218" s="1"/>
      <c r="L218" s="2" t="s">
        <v>778</v>
      </c>
      <c r="M218" s="1"/>
      <c r="N218" s="1"/>
      <c r="O218" s="1"/>
      <c r="P218" s="1"/>
      <c r="Q218" s="1"/>
      <c r="R218" s="1"/>
      <c r="S218" s="1"/>
      <c r="T218" s="1"/>
      <c r="U218" s="1"/>
      <c r="V218" s="1"/>
      <c r="W218" s="1"/>
      <c r="X218" s="1"/>
      <c r="Y218" s="1"/>
      <c r="Z218" s="1"/>
    </row>
    <row r="219" spans="1:26" ht="33.75" customHeight="1">
      <c r="A219" s="1">
        <v>455</v>
      </c>
      <c r="B219" s="1" t="s">
        <v>779</v>
      </c>
      <c r="C219" s="1" t="s">
        <v>160</v>
      </c>
      <c r="D219" s="4">
        <v>39848.959027777775</v>
      </c>
      <c r="E219" s="1" t="s">
        <v>14</v>
      </c>
      <c r="F219" s="1"/>
      <c r="G219" s="5" t="s">
        <v>64</v>
      </c>
      <c r="H219" s="5" t="s">
        <v>65</v>
      </c>
      <c r="I219" s="1" t="s">
        <v>35</v>
      </c>
      <c r="J219" s="1"/>
      <c r="K219" s="1" t="s">
        <v>780</v>
      </c>
      <c r="L219" s="2" t="s">
        <v>781</v>
      </c>
      <c r="M219" s="1"/>
      <c r="N219" s="1"/>
      <c r="O219" s="1"/>
      <c r="P219" s="1"/>
      <c r="Q219" s="1"/>
      <c r="R219" s="1"/>
      <c r="S219" s="1"/>
      <c r="T219" s="1"/>
      <c r="U219" s="1"/>
      <c r="V219" s="1"/>
      <c r="W219" s="1"/>
      <c r="X219" s="1"/>
      <c r="Y219" s="1"/>
      <c r="Z219" s="1"/>
    </row>
    <row r="220" spans="1:26" ht="33.75" customHeight="1">
      <c r="A220" s="1">
        <v>543</v>
      </c>
      <c r="B220" s="1" t="s">
        <v>782</v>
      </c>
      <c r="C220" s="1" t="s">
        <v>680</v>
      </c>
      <c r="D220" s="4">
        <v>39848.963888888888</v>
      </c>
      <c r="E220" s="1" t="s">
        <v>14</v>
      </c>
      <c r="F220" s="1"/>
      <c r="G220" s="5" t="s">
        <v>64</v>
      </c>
      <c r="H220" s="5" t="s">
        <v>65</v>
      </c>
      <c r="I220" s="1" t="s">
        <v>35</v>
      </c>
      <c r="J220" s="1"/>
      <c r="K220" s="1" t="s">
        <v>783</v>
      </c>
      <c r="L220" s="2" t="s">
        <v>784</v>
      </c>
      <c r="M220" s="1"/>
      <c r="N220" s="1"/>
      <c r="O220" s="1"/>
      <c r="P220" s="1"/>
      <c r="Q220" s="1"/>
      <c r="R220" s="1"/>
      <c r="S220" s="1"/>
      <c r="T220" s="1"/>
      <c r="U220" s="1"/>
      <c r="V220" s="1"/>
      <c r="W220" s="1"/>
      <c r="X220" s="1"/>
      <c r="Y220" s="1"/>
      <c r="Z220" s="1"/>
    </row>
    <row r="221" spans="1:26" ht="33.75" customHeight="1">
      <c r="A221" s="1">
        <v>296</v>
      </c>
      <c r="B221" s="1" t="s">
        <v>785</v>
      </c>
      <c r="C221" s="1" t="s">
        <v>156</v>
      </c>
      <c r="D221" s="4">
        <v>39848.970138888886</v>
      </c>
      <c r="E221" s="1" t="s">
        <v>14</v>
      </c>
      <c r="F221" s="1"/>
      <c r="G221" s="6" t="s">
        <v>78</v>
      </c>
      <c r="H221" s="5" t="s">
        <v>88</v>
      </c>
      <c r="I221" s="1" t="s">
        <v>35</v>
      </c>
      <c r="J221" s="1"/>
      <c r="K221" s="1" t="s">
        <v>786</v>
      </c>
      <c r="L221" s="2" t="s">
        <v>787</v>
      </c>
      <c r="M221" s="1"/>
      <c r="N221" s="1"/>
      <c r="O221" s="1"/>
      <c r="P221" s="1"/>
      <c r="Q221" s="1"/>
      <c r="R221" s="1"/>
      <c r="S221" s="1"/>
      <c r="T221" s="1"/>
      <c r="U221" s="1"/>
      <c r="V221" s="1"/>
      <c r="W221" s="1"/>
      <c r="X221" s="1"/>
      <c r="Y221" s="1"/>
      <c r="Z221" s="1"/>
    </row>
    <row r="222" spans="1:26" ht="33.75" customHeight="1">
      <c r="A222" s="1">
        <v>544</v>
      </c>
      <c r="B222" s="1" t="s">
        <v>788</v>
      </c>
      <c r="C222" s="1" t="s">
        <v>680</v>
      </c>
      <c r="D222" s="4">
        <v>39849.026388888888</v>
      </c>
      <c r="E222" s="1" t="s">
        <v>54</v>
      </c>
      <c r="F222" s="1"/>
      <c r="G222" s="5" t="s">
        <v>64</v>
      </c>
      <c r="H222" s="5" t="s">
        <v>65</v>
      </c>
      <c r="I222" s="1" t="s">
        <v>35</v>
      </c>
      <c r="J222" s="1"/>
      <c r="K222" s="1" t="s">
        <v>789</v>
      </c>
      <c r="L222" s="2" t="s">
        <v>790</v>
      </c>
      <c r="M222" s="1"/>
      <c r="N222" s="1"/>
      <c r="O222" s="1"/>
      <c r="P222" s="1"/>
      <c r="Q222" s="1"/>
      <c r="R222" s="1"/>
      <c r="S222" s="1"/>
      <c r="T222" s="1"/>
      <c r="U222" s="1"/>
      <c r="V222" s="1"/>
      <c r="W222" s="1"/>
      <c r="X222" s="1"/>
      <c r="Y222" s="1"/>
      <c r="Z222" s="1"/>
    </row>
    <row r="223" spans="1:26" ht="33.75" customHeight="1">
      <c r="A223" s="1">
        <v>456</v>
      </c>
      <c r="B223" s="1" t="s">
        <v>791</v>
      </c>
      <c r="C223" s="1" t="s">
        <v>160</v>
      </c>
      <c r="D223" s="4">
        <v>39849.171527777777</v>
      </c>
      <c r="E223" s="1" t="s">
        <v>54</v>
      </c>
      <c r="F223" s="1"/>
      <c r="G223" s="5" t="s">
        <v>15</v>
      </c>
      <c r="H223" s="5" t="s">
        <v>792</v>
      </c>
      <c r="I223" s="1" t="s">
        <v>793</v>
      </c>
      <c r="J223" s="1"/>
      <c r="K223" s="1" t="s">
        <v>794</v>
      </c>
      <c r="L223" s="2" t="s">
        <v>795</v>
      </c>
      <c r="M223" s="1"/>
      <c r="N223" s="1"/>
      <c r="O223" s="1"/>
      <c r="P223" s="1"/>
      <c r="Q223" s="1"/>
      <c r="R223" s="1"/>
      <c r="S223" s="1"/>
      <c r="T223" s="1"/>
      <c r="U223" s="1"/>
      <c r="V223" s="1"/>
      <c r="W223" s="1"/>
      <c r="X223" s="1"/>
      <c r="Y223" s="1"/>
      <c r="Z223" s="1"/>
    </row>
    <row r="224" spans="1:26" ht="33.75" customHeight="1">
      <c r="A224" s="1">
        <v>457</v>
      </c>
      <c r="B224" s="1" t="s">
        <v>796</v>
      </c>
      <c r="C224" s="1" t="s">
        <v>160</v>
      </c>
      <c r="D224" s="4">
        <v>39849.175000000003</v>
      </c>
      <c r="E224" s="1" t="s">
        <v>54</v>
      </c>
      <c r="F224" s="9">
        <v>86118</v>
      </c>
      <c r="G224" s="6" t="s">
        <v>78</v>
      </c>
      <c r="H224" s="5" t="s">
        <v>223</v>
      </c>
      <c r="I224" s="1" t="s">
        <v>64</v>
      </c>
      <c r="J224" s="1" t="s">
        <v>450</v>
      </c>
      <c r="K224" s="1"/>
      <c r="L224" s="2" t="s">
        <v>797</v>
      </c>
      <c r="M224" s="1"/>
      <c r="N224" s="1"/>
      <c r="O224" s="1"/>
      <c r="P224" s="1"/>
      <c r="Q224" s="1"/>
      <c r="R224" s="1"/>
      <c r="S224" s="1"/>
      <c r="T224" s="1"/>
      <c r="U224" s="1"/>
      <c r="V224" s="1"/>
      <c r="W224" s="1"/>
      <c r="X224" s="1"/>
      <c r="Y224" s="1"/>
      <c r="Z224" s="1"/>
    </row>
    <row r="225" spans="1:26" ht="33.75" customHeight="1">
      <c r="A225" s="1">
        <v>458</v>
      </c>
      <c r="B225" s="1" t="s">
        <v>798</v>
      </c>
      <c r="C225" s="1" t="s">
        <v>160</v>
      </c>
      <c r="D225" s="4">
        <v>39849.226388888892</v>
      </c>
      <c r="E225" s="1" t="s">
        <v>320</v>
      </c>
      <c r="F225" s="1" t="s">
        <v>799</v>
      </c>
      <c r="G225" s="5" t="s">
        <v>64</v>
      </c>
      <c r="H225" s="1"/>
      <c r="I225" s="1" t="s">
        <v>64</v>
      </c>
      <c r="J225" s="1" t="s">
        <v>800</v>
      </c>
      <c r="K225" s="1" t="s">
        <v>801</v>
      </c>
      <c r="L225" s="2" t="s">
        <v>802</v>
      </c>
      <c r="M225" s="1"/>
      <c r="N225" s="1"/>
      <c r="O225" s="1"/>
      <c r="P225" s="1"/>
      <c r="Q225" s="1"/>
      <c r="R225" s="1"/>
      <c r="S225" s="1"/>
      <c r="T225" s="1"/>
      <c r="U225" s="1"/>
      <c r="V225" s="1"/>
      <c r="W225" s="1"/>
      <c r="X225" s="1"/>
      <c r="Y225" s="1"/>
      <c r="Z225" s="1"/>
    </row>
    <row r="226" spans="1:26" ht="33.75" customHeight="1">
      <c r="A226" s="1">
        <v>459</v>
      </c>
      <c r="B226" s="1" t="s">
        <v>803</v>
      </c>
      <c r="C226" s="1" t="s">
        <v>160</v>
      </c>
      <c r="D226" s="4">
        <v>39849.240277777775</v>
      </c>
      <c r="E226" s="1" t="s">
        <v>393</v>
      </c>
      <c r="F226" s="1" t="s">
        <v>791</v>
      </c>
      <c r="G226" s="6" t="s">
        <v>78</v>
      </c>
      <c r="H226" s="5" t="s">
        <v>223</v>
      </c>
      <c r="I226" s="1" t="s">
        <v>64</v>
      </c>
      <c r="J226" s="1" t="s">
        <v>450</v>
      </c>
      <c r="K226" s="1"/>
      <c r="L226" s="2" t="s">
        <v>804</v>
      </c>
      <c r="M226" s="1"/>
      <c r="N226" s="1"/>
      <c r="O226" s="1"/>
      <c r="P226" s="1"/>
      <c r="Q226" s="1"/>
      <c r="R226" s="1"/>
      <c r="S226" s="1"/>
      <c r="T226" s="1"/>
      <c r="U226" s="1"/>
      <c r="V226" s="1"/>
      <c r="W226" s="1"/>
      <c r="X226" s="1"/>
      <c r="Y226" s="1"/>
      <c r="Z226" s="1"/>
    </row>
    <row r="227" spans="1:26" ht="33.75" customHeight="1">
      <c r="A227" s="1">
        <v>460</v>
      </c>
      <c r="B227" s="1" t="s">
        <v>805</v>
      </c>
      <c r="C227" s="1" t="s">
        <v>160</v>
      </c>
      <c r="D227" s="4">
        <v>39849.249305555553</v>
      </c>
      <c r="E227" s="1" t="s">
        <v>320</v>
      </c>
      <c r="F227" s="1" t="s">
        <v>806</v>
      </c>
      <c r="G227" s="5" t="s">
        <v>26</v>
      </c>
      <c r="H227" s="5" t="s">
        <v>27</v>
      </c>
      <c r="I227" s="1" t="s">
        <v>28</v>
      </c>
      <c r="J227" s="1" t="s">
        <v>259</v>
      </c>
      <c r="K227" s="1"/>
      <c r="L227" s="2" t="s">
        <v>807</v>
      </c>
      <c r="M227" s="1"/>
      <c r="N227" s="1"/>
      <c r="O227" s="1"/>
      <c r="P227" s="1"/>
      <c r="Q227" s="1"/>
      <c r="R227" s="1"/>
      <c r="S227" s="1"/>
      <c r="T227" s="1"/>
      <c r="U227" s="1"/>
      <c r="V227" s="1"/>
      <c r="W227" s="1"/>
      <c r="X227" s="1"/>
      <c r="Y227" s="1"/>
      <c r="Z227" s="1"/>
    </row>
    <row r="228" spans="1:26" ht="33.75" customHeight="1">
      <c r="A228" s="1">
        <v>461</v>
      </c>
      <c r="B228" s="1" t="s">
        <v>808</v>
      </c>
      <c r="C228" s="1" t="s">
        <v>160</v>
      </c>
      <c r="D228" s="4">
        <v>39849.253472222219</v>
      </c>
      <c r="E228" s="1" t="s">
        <v>320</v>
      </c>
      <c r="F228" s="1"/>
      <c r="G228" s="6" t="s">
        <v>78</v>
      </c>
      <c r="H228" s="5" t="s">
        <v>479</v>
      </c>
      <c r="I228" s="1" t="s">
        <v>64</v>
      </c>
      <c r="J228" s="1" t="s">
        <v>800</v>
      </c>
      <c r="K228" s="1" t="s">
        <v>809</v>
      </c>
      <c r="L228" s="2" t="s">
        <v>810</v>
      </c>
      <c r="M228" s="1"/>
      <c r="N228" s="1"/>
      <c r="O228" s="1"/>
      <c r="P228" s="1"/>
      <c r="Q228" s="1"/>
      <c r="R228" s="1"/>
      <c r="S228" s="1"/>
      <c r="T228" s="1"/>
      <c r="U228" s="1"/>
      <c r="V228" s="1"/>
      <c r="W228" s="1"/>
      <c r="X228" s="1"/>
      <c r="Y228" s="1"/>
      <c r="Z228" s="1"/>
    </row>
    <row r="229" spans="1:26" ht="33.75" customHeight="1">
      <c r="A229" s="1">
        <v>462</v>
      </c>
      <c r="B229" s="1" t="s">
        <v>811</v>
      </c>
      <c r="C229" s="1" t="s">
        <v>160</v>
      </c>
      <c r="D229" s="4">
        <v>39849.3125</v>
      </c>
      <c r="E229" s="1" t="s">
        <v>196</v>
      </c>
      <c r="F229" s="1"/>
      <c r="G229" s="1" t="s">
        <v>64</v>
      </c>
      <c r="H229" s="1" t="s">
        <v>263</v>
      </c>
      <c r="I229" s="1" t="s">
        <v>321</v>
      </c>
      <c r="J229" s="1" t="s">
        <v>278</v>
      </c>
      <c r="K229" s="1" t="s">
        <v>812</v>
      </c>
      <c r="L229" s="2" t="s">
        <v>813</v>
      </c>
      <c r="M229" s="1"/>
      <c r="N229" s="1"/>
      <c r="O229" s="1"/>
      <c r="P229" s="1"/>
      <c r="Q229" s="1"/>
      <c r="R229" s="1"/>
      <c r="S229" s="1"/>
      <c r="T229" s="1"/>
      <c r="U229" s="1"/>
      <c r="V229" s="1"/>
      <c r="W229" s="1"/>
      <c r="X229" s="1"/>
      <c r="Y229" s="1"/>
      <c r="Z229" s="1"/>
    </row>
    <row r="230" spans="1:26" ht="33.75" customHeight="1">
      <c r="A230" s="1">
        <v>463</v>
      </c>
      <c r="B230" s="1" t="s">
        <v>814</v>
      </c>
      <c r="C230" s="1" t="s">
        <v>160</v>
      </c>
      <c r="D230" s="4">
        <v>39849.322916666664</v>
      </c>
      <c r="E230" s="1" t="s">
        <v>196</v>
      </c>
      <c r="F230" s="1" t="s">
        <v>811</v>
      </c>
      <c r="G230" s="5" t="s">
        <v>15</v>
      </c>
      <c r="H230" s="5" t="s">
        <v>402</v>
      </c>
      <c r="I230" s="1" t="s">
        <v>576</v>
      </c>
      <c r="J230" s="1"/>
      <c r="K230" s="1"/>
      <c r="L230" s="2" t="s">
        <v>815</v>
      </c>
      <c r="M230" s="1"/>
      <c r="N230" s="1"/>
      <c r="O230" s="1"/>
      <c r="P230" s="1"/>
      <c r="Q230" s="1"/>
      <c r="R230" s="1"/>
      <c r="S230" s="1"/>
      <c r="T230" s="1"/>
      <c r="U230" s="1"/>
      <c r="V230" s="1"/>
      <c r="W230" s="1"/>
      <c r="X230" s="1"/>
      <c r="Y230" s="1"/>
      <c r="Z230" s="1"/>
    </row>
    <row r="231" spans="1:26" ht="33.75" customHeight="1">
      <c r="A231" s="1">
        <v>464</v>
      </c>
      <c r="B231" s="1" t="s">
        <v>816</v>
      </c>
      <c r="C231" s="1" t="s">
        <v>160</v>
      </c>
      <c r="D231" s="4">
        <v>39849.338888888888</v>
      </c>
      <c r="E231" s="1" t="s">
        <v>196</v>
      </c>
      <c r="F231" s="1"/>
      <c r="G231" s="5" t="s">
        <v>26</v>
      </c>
      <c r="H231" s="5" t="s">
        <v>27</v>
      </c>
      <c r="I231" s="1" t="s">
        <v>28</v>
      </c>
      <c r="J231" s="1" t="s">
        <v>29</v>
      </c>
      <c r="K231" s="1"/>
      <c r="L231" s="2" t="s">
        <v>817</v>
      </c>
      <c r="M231" s="1"/>
      <c r="N231" s="1"/>
      <c r="O231" s="1"/>
      <c r="P231" s="1"/>
      <c r="Q231" s="1"/>
      <c r="R231" s="1"/>
      <c r="S231" s="1"/>
      <c r="T231" s="1"/>
      <c r="U231" s="1"/>
      <c r="V231" s="1"/>
      <c r="W231" s="1"/>
      <c r="X231" s="1"/>
      <c r="Y231" s="1"/>
      <c r="Z231" s="1"/>
    </row>
    <row r="232" spans="1:26" ht="33.75" customHeight="1">
      <c r="A232" s="1">
        <v>465</v>
      </c>
      <c r="B232" s="1" t="s">
        <v>818</v>
      </c>
      <c r="C232" s="1" t="s">
        <v>160</v>
      </c>
      <c r="D232" s="4">
        <v>39849.356944444444</v>
      </c>
      <c r="E232" s="1" t="s">
        <v>196</v>
      </c>
      <c r="F232" s="1" t="s">
        <v>819</v>
      </c>
      <c r="G232" s="5" t="s">
        <v>15</v>
      </c>
      <c r="H232" s="5" t="s">
        <v>150</v>
      </c>
      <c r="I232" s="1" t="s">
        <v>603</v>
      </c>
      <c r="J232" s="1"/>
      <c r="K232" s="1" t="s">
        <v>820</v>
      </c>
      <c r="L232" s="2" t="s">
        <v>821</v>
      </c>
      <c r="M232" s="1"/>
      <c r="N232" s="1"/>
      <c r="O232" s="1"/>
      <c r="P232" s="1"/>
      <c r="Q232" s="1"/>
      <c r="R232" s="1"/>
      <c r="S232" s="1"/>
      <c r="T232" s="1"/>
      <c r="U232" s="1"/>
      <c r="V232" s="1"/>
      <c r="W232" s="1"/>
      <c r="X232" s="1"/>
      <c r="Y232" s="1"/>
      <c r="Z232" s="1"/>
    </row>
    <row r="233" spans="1:26" ht="33.75" customHeight="1">
      <c r="A233" s="1">
        <v>466</v>
      </c>
      <c r="B233" s="1" t="s">
        <v>822</v>
      </c>
      <c r="C233" s="1" t="s">
        <v>160</v>
      </c>
      <c r="D233" s="4">
        <v>39849.455555555556</v>
      </c>
      <c r="E233" s="1" t="s">
        <v>14</v>
      </c>
      <c r="F233" s="1"/>
      <c r="G233" s="5" t="s">
        <v>15</v>
      </c>
      <c r="H233" s="5" t="s">
        <v>150</v>
      </c>
      <c r="I233" s="1" t="s">
        <v>453</v>
      </c>
      <c r="J233" s="1"/>
      <c r="K233" s="1" t="s">
        <v>823</v>
      </c>
      <c r="L233" s="2" t="s">
        <v>824</v>
      </c>
      <c r="M233" s="1"/>
      <c r="N233" s="1"/>
      <c r="O233" s="1"/>
      <c r="P233" s="1"/>
      <c r="Q233" s="1"/>
      <c r="R233" s="1"/>
      <c r="S233" s="1"/>
      <c r="T233" s="1"/>
      <c r="U233" s="1"/>
      <c r="V233" s="1"/>
      <c r="W233" s="1"/>
      <c r="X233" s="1"/>
      <c r="Y233" s="1"/>
      <c r="Z233" s="1"/>
    </row>
    <row r="234" spans="1:26" ht="33.75" customHeight="1">
      <c r="A234" s="1">
        <v>467</v>
      </c>
      <c r="B234" s="1" t="s">
        <v>825</v>
      </c>
      <c r="C234" s="1" t="s">
        <v>160</v>
      </c>
      <c r="D234" s="4">
        <v>39849.480555555558</v>
      </c>
      <c r="E234" s="1" t="s">
        <v>14</v>
      </c>
      <c r="F234" s="1"/>
      <c r="G234" s="5" t="s">
        <v>64</v>
      </c>
      <c r="H234" s="5" t="s">
        <v>263</v>
      </c>
      <c r="I234" s="1" t="s">
        <v>826</v>
      </c>
      <c r="J234" s="1"/>
      <c r="K234" s="1" t="s">
        <v>827</v>
      </c>
      <c r="L234" s="2" t="s">
        <v>828</v>
      </c>
      <c r="M234" s="1"/>
      <c r="N234" s="1"/>
      <c r="O234" s="1"/>
      <c r="P234" s="1"/>
      <c r="Q234" s="1"/>
      <c r="R234" s="1"/>
      <c r="S234" s="1"/>
      <c r="T234" s="1"/>
      <c r="U234" s="1"/>
      <c r="V234" s="1"/>
      <c r="W234" s="1"/>
      <c r="X234" s="1"/>
      <c r="Y234" s="1"/>
      <c r="Z234" s="1"/>
    </row>
    <row r="235" spans="1:26" ht="33.75" customHeight="1">
      <c r="A235" s="1">
        <v>545</v>
      </c>
      <c r="B235" s="1" t="s">
        <v>829</v>
      </c>
      <c r="C235" s="1" t="s">
        <v>680</v>
      </c>
      <c r="D235" s="4">
        <v>39849.693749999999</v>
      </c>
      <c r="E235" s="1" t="s">
        <v>830</v>
      </c>
      <c r="F235" s="1"/>
      <c r="G235" s="5" t="s">
        <v>33</v>
      </c>
      <c r="H235" s="5" t="s">
        <v>34</v>
      </c>
      <c r="I235" s="1" t="s">
        <v>35</v>
      </c>
      <c r="J235" s="1"/>
      <c r="K235" s="1" t="s">
        <v>831</v>
      </c>
      <c r="L235" s="2" t="s">
        <v>832</v>
      </c>
      <c r="M235" s="1"/>
      <c r="N235" s="1"/>
      <c r="O235" s="1"/>
      <c r="P235" s="1"/>
      <c r="Q235" s="1"/>
      <c r="R235" s="1"/>
      <c r="S235" s="1"/>
      <c r="T235" s="1"/>
      <c r="U235" s="1"/>
      <c r="V235" s="1"/>
      <c r="W235" s="1"/>
      <c r="X235" s="1"/>
      <c r="Y235" s="1"/>
      <c r="Z235" s="1"/>
    </row>
    <row r="236" spans="1:26" ht="33.75" customHeight="1">
      <c r="A236" s="1">
        <v>469</v>
      </c>
      <c r="B236" s="1" t="s">
        <v>833</v>
      </c>
      <c r="C236" s="1" t="s">
        <v>160</v>
      </c>
      <c r="D236" s="4">
        <v>39849.715277777781</v>
      </c>
      <c r="E236" s="1" t="s">
        <v>14</v>
      </c>
      <c r="F236" s="1"/>
      <c r="G236" s="5" t="s">
        <v>26</v>
      </c>
      <c r="H236" s="5" t="s">
        <v>133</v>
      </c>
      <c r="I236" s="1" t="s">
        <v>28</v>
      </c>
      <c r="J236" s="1" t="s">
        <v>134</v>
      </c>
      <c r="K236" s="1" t="s">
        <v>834</v>
      </c>
      <c r="L236" s="2" t="s">
        <v>835</v>
      </c>
      <c r="M236" s="1"/>
      <c r="N236" s="1"/>
      <c r="O236" s="1"/>
      <c r="P236" s="1"/>
      <c r="Q236" s="1"/>
      <c r="R236" s="1"/>
      <c r="S236" s="1"/>
      <c r="T236" s="1"/>
      <c r="U236" s="1"/>
      <c r="V236" s="1"/>
      <c r="W236" s="1"/>
      <c r="X236" s="1"/>
      <c r="Y236" s="1"/>
      <c r="Z236" s="1"/>
    </row>
    <row r="237" spans="1:26" ht="33.75" customHeight="1">
      <c r="A237" s="1">
        <v>470</v>
      </c>
      <c r="B237" s="1" t="s">
        <v>836</v>
      </c>
      <c r="C237" s="1" t="s">
        <v>160</v>
      </c>
      <c r="D237" s="4">
        <v>39849.738888888889</v>
      </c>
      <c r="E237" s="1" t="s">
        <v>14</v>
      </c>
      <c r="F237" s="1" t="s">
        <v>833</v>
      </c>
      <c r="G237" s="6" t="s">
        <v>78</v>
      </c>
      <c r="H237" s="5" t="s">
        <v>223</v>
      </c>
      <c r="I237" s="1" t="s">
        <v>64</v>
      </c>
      <c r="J237" s="1" t="s">
        <v>450</v>
      </c>
      <c r="K237" s="1" t="s">
        <v>837</v>
      </c>
      <c r="L237" s="2" t="s">
        <v>838</v>
      </c>
      <c r="M237" s="1"/>
      <c r="N237" s="1"/>
      <c r="O237" s="1"/>
      <c r="P237" s="1"/>
      <c r="Q237" s="1"/>
      <c r="R237" s="1"/>
      <c r="S237" s="1"/>
      <c r="T237" s="1"/>
      <c r="U237" s="1"/>
      <c r="V237" s="1"/>
      <c r="W237" s="1"/>
      <c r="X237" s="1"/>
      <c r="Y237" s="1"/>
      <c r="Z237" s="1"/>
    </row>
    <row r="238" spans="1:26" ht="33.75" customHeight="1">
      <c r="A238" s="1">
        <v>471</v>
      </c>
      <c r="B238" s="1" t="s">
        <v>839</v>
      </c>
      <c r="C238" s="1" t="s">
        <v>160</v>
      </c>
      <c r="D238" s="4">
        <v>39849.747916666667</v>
      </c>
      <c r="E238" s="1" t="s">
        <v>14</v>
      </c>
      <c r="F238" s="1"/>
      <c r="G238" s="1" t="s">
        <v>64</v>
      </c>
      <c r="H238" s="1" t="s">
        <v>263</v>
      </c>
      <c r="I238" s="1" t="s">
        <v>840</v>
      </c>
      <c r="J238" s="1" t="s">
        <v>450</v>
      </c>
      <c r="K238" s="1"/>
      <c r="L238" s="2" t="s">
        <v>841</v>
      </c>
      <c r="M238" s="1"/>
      <c r="N238" s="1"/>
      <c r="O238" s="1"/>
      <c r="P238" s="1"/>
      <c r="Q238" s="1"/>
      <c r="R238" s="1"/>
      <c r="S238" s="1"/>
      <c r="T238" s="1"/>
      <c r="U238" s="1"/>
      <c r="V238" s="1"/>
      <c r="W238" s="1"/>
      <c r="X238" s="1"/>
      <c r="Y238" s="1"/>
      <c r="Z238" s="1"/>
    </row>
    <row r="239" spans="1:26" ht="33.75" customHeight="1">
      <c r="A239" s="1">
        <v>472</v>
      </c>
      <c r="B239" s="1" t="s">
        <v>842</v>
      </c>
      <c r="C239" s="1" t="s">
        <v>160</v>
      </c>
      <c r="D239" s="4">
        <v>39849.770833333336</v>
      </c>
      <c r="E239" s="1" t="s">
        <v>54</v>
      </c>
      <c r="F239" s="1" t="s">
        <v>843</v>
      </c>
      <c r="G239" s="6" t="s">
        <v>78</v>
      </c>
      <c r="H239" s="5" t="s">
        <v>479</v>
      </c>
      <c r="I239" s="1" t="s">
        <v>480</v>
      </c>
      <c r="J239" s="1" t="s">
        <v>481</v>
      </c>
      <c r="K239" s="1"/>
      <c r="L239" s="2" t="s">
        <v>844</v>
      </c>
      <c r="M239" s="1"/>
      <c r="N239" s="1"/>
      <c r="O239" s="1"/>
      <c r="P239" s="1"/>
      <c r="Q239" s="1"/>
      <c r="R239" s="1"/>
      <c r="S239" s="1"/>
      <c r="T239" s="1"/>
      <c r="U239" s="1"/>
      <c r="V239" s="1"/>
      <c r="W239" s="1"/>
      <c r="X239" s="1"/>
      <c r="Y239" s="1"/>
      <c r="Z239" s="1"/>
    </row>
    <row r="240" spans="1:26" ht="33.75" customHeight="1">
      <c r="A240" s="1">
        <v>1643</v>
      </c>
      <c r="B240" s="1" t="s">
        <v>845</v>
      </c>
      <c r="C240" s="1" t="s">
        <v>846</v>
      </c>
      <c r="D240" s="4">
        <v>39849.779861111114</v>
      </c>
      <c r="E240" s="1" t="s">
        <v>847</v>
      </c>
      <c r="F240" s="1"/>
      <c r="G240" s="6" t="s">
        <v>78</v>
      </c>
      <c r="H240" s="5" t="s">
        <v>223</v>
      </c>
      <c r="I240" s="1" t="s">
        <v>64</v>
      </c>
      <c r="J240" s="1" t="s">
        <v>450</v>
      </c>
      <c r="K240" s="1"/>
      <c r="L240" s="2" t="s">
        <v>848</v>
      </c>
      <c r="M240" s="1"/>
      <c r="N240" s="1"/>
      <c r="O240" s="1"/>
      <c r="P240" s="1"/>
      <c r="Q240" s="1"/>
      <c r="R240" s="1"/>
      <c r="S240" s="1"/>
      <c r="T240" s="1"/>
      <c r="U240" s="1"/>
      <c r="V240" s="1"/>
      <c r="W240" s="1"/>
      <c r="X240" s="1"/>
      <c r="Y240" s="1"/>
      <c r="Z240" s="1"/>
    </row>
    <row r="241" spans="1:26" ht="33.75" customHeight="1">
      <c r="A241" s="1">
        <v>473</v>
      </c>
      <c r="B241" s="1" t="s">
        <v>849</v>
      </c>
      <c r="C241" s="1" t="s">
        <v>160</v>
      </c>
      <c r="D241" s="4">
        <v>39849.790972222225</v>
      </c>
      <c r="E241" s="1" t="s">
        <v>196</v>
      </c>
      <c r="F241" s="1" t="s">
        <v>822</v>
      </c>
      <c r="G241" s="5" t="s">
        <v>26</v>
      </c>
      <c r="H241" s="5" t="s">
        <v>27</v>
      </c>
      <c r="I241" s="1" t="s">
        <v>28</v>
      </c>
      <c r="J241" s="1" t="s">
        <v>29</v>
      </c>
      <c r="K241" s="1"/>
      <c r="L241" s="2" t="s">
        <v>850</v>
      </c>
      <c r="M241" s="1"/>
      <c r="N241" s="1"/>
      <c r="O241" s="1"/>
      <c r="P241" s="1"/>
      <c r="Q241" s="1"/>
      <c r="R241" s="1"/>
      <c r="S241" s="1"/>
      <c r="T241" s="1"/>
      <c r="U241" s="1"/>
      <c r="V241" s="1"/>
      <c r="W241" s="1"/>
      <c r="X241" s="1"/>
      <c r="Y241" s="1"/>
      <c r="Z241" s="1"/>
    </row>
    <row r="242" spans="1:26" ht="33.75" customHeight="1">
      <c r="A242" s="1">
        <v>474</v>
      </c>
      <c r="B242" s="1" t="s">
        <v>851</v>
      </c>
      <c r="C242" s="1" t="s">
        <v>160</v>
      </c>
      <c r="D242" s="4">
        <v>39849.793055555558</v>
      </c>
      <c r="E242" s="1" t="s">
        <v>196</v>
      </c>
      <c r="F242" s="1" t="s">
        <v>849</v>
      </c>
      <c r="G242" s="5" t="s">
        <v>64</v>
      </c>
      <c r="H242" s="5" t="s">
        <v>179</v>
      </c>
      <c r="I242" s="1" t="s">
        <v>179</v>
      </c>
      <c r="J242" s="1"/>
      <c r="K242" s="1"/>
      <c r="L242" s="2" t="s">
        <v>852</v>
      </c>
      <c r="M242" s="1"/>
      <c r="N242" s="1"/>
      <c r="O242" s="1"/>
      <c r="P242" s="1"/>
      <c r="Q242" s="1"/>
      <c r="R242" s="1"/>
      <c r="S242" s="1"/>
      <c r="T242" s="1"/>
      <c r="U242" s="1"/>
      <c r="V242" s="1"/>
      <c r="W242" s="1"/>
      <c r="X242" s="1"/>
      <c r="Y242" s="1"/>
      <c r="Z242" s="1"/>
    </row>
    <row r="243" spans="1:26" ht="33.75" customHeight="1">
      <c r="A243" s="1">
        <v>475</v>
      </c>
      <c r="B243" s="1" t="s">
        <v>853</v>
      </c>
      <c r="C243" s="1" t="s">
        <v>160</v>
      </c>
      <c r="D243" s="4">
        <v>39849.79791666667</v>
      </c>
      <c r="E243" s="1" t="s">
        <v>854</v>
      </c>
      <c r="F243" s="1" t="s">
        <v>839</v>
      </c>
      <c r="G243" s="5" t="s">
        <v>15</v>
      </c>
      <c r="H243" s="5" t="s">
        <v>402</v>
      </c>
      <c r="I243" s="1" t="s">
        <v>576</v>
      </c>
      <c r="J243" s="1"/>
      <c r="K243" s="1"/>
      <c r="L243" s="2" t="s">
        <v>855</v>
      </c>
      <c r="M243" s="1"/>
      <c r="N243" s="1"/>
      <c r="O243" s="1"/>
      <c r="P243" s="1"/>
      <c r="Q243" s="1"/>
      <c r="R243" s="1"/>
      <c r="S243" s="1"/>
      <c r="T243" s="1"/>
      <c r="U243" s="1"/>
      <c r="V243" s="1"/>
      <c r="W243" s="1"/>
      <c r="X243" s="1"/>
      <c r="Y243" s="1"/>
      <c r="Z243" s="1"/>
    </row>
    <row r="244" spans="1:26" ht="33.75" customHeight="1">
      <c r="A244" s="1">
        <v>476</v>
      </c>
      <c r="B244" s="1" t="s">
        <v>856</v>
      </c>
      <c r="C244" s="1" t="s">
        <v>160</v>
      </c>
      <c r="D244" s="4">
        <v>39849.806250000001</v>
      </c>
      <c r="E244" s="1" t="s">
        <v>196</v>
      </c>
      <c r="F244" s="1" t="s">
        <v>857</v>
      </c>
      <c r="G244" s="5" t="s">
        <v>26</v>
      </c>
      <c r="H244" s="5" t="s">
        <v>27</v>
      </c>
      <c r="I244" s="1" t="s">
        <v>28</v>
      </c>
      <c r="J244" s="1" t="s">
        <v>29</v>
      </c>
      <c r="K244" s="1" t="s">
        <v>858</v>
      </c>
      <c r="L244" s="2" t="s">
        <v>859</v>
      </c>
      <c r="M244" s="1"/>
      <c r="N244" s="1"/>
      <c r="O244" s="1"/>
      <c r="P244" s="1"/>
      <c r="Q244" s="1"/>
      <c r="R244" s="1"/>
      <c r="S244" s="1"/>
      <c r="T244" s="1"/>
      <c r="U244" s="1"/>
      <c r="V244" s="1"/>
      <c r="W244" s="1"/>
      <c r="X244" s="1"/>
      <c r="Y244" s="1"/>
      <c r="Z244" s="1"/>
    </row>
    <row r="245" spans="1:26" ht="33.75" customHeight="1">
      <c r="A245" s="1">
        <v>477</v>
      </c>
      <c r="B245" s="1" t="s">
        <v>860</v>
      </c>
      <c r="C245" s="1" t="s">
        <v>160</v>
      </c>
      <c r="D245" s="4">
        <v>39849.830555555556</v>
      </c>
      <c r="E245" s="1" t="s">
        <v>14</v>
      </c>
      <c r="F245" s="1" t="s">
        <v>833</v>
      </c>
      <c r="G245" s="6" t="s">
        <v>78</v>
      </c>
      <c r="H245" s="5" t="s">
        <v>223</v>
      </c>
      <c r="I245" s="1" t="s">
        <v>861</v>
      </c>
      <c r="J245" s="1"/>
      <c r="K245" s="1" t="s">
        <v>862</v>
      </c>
      <c r="L245" s="2" t="s">
        <v>863</v>
      </c>
      <c r="M245" s="1"/>
      <c r="N245" s="1"/>
      <c r="O245" s="1"/>
      <c r="P245" s="1"/>
      <c r="Q245" s="1"/>
      <c r="R245" s="1"/>
      <c r="S245" s="1"/>
      <c r="T245" s="1"/>
      <c r="U245" s="1"/>
      <c r="V245" s="1"/>
      <c r="W245" s="1"/>
      <c r="X245" s="1"/>
      <c r="Y245" s="1"/>
      <c r="Z245" s="1"/>
    </row>
    <row r="246" spans="1:26" ht="33.75" customHeight="1">
      <c r="A246" s="1">
        <v>478</v>
      </c>
      <c r="B246" s="1" t="s">
        <v>864</v>
      </c>
      <c r="C246" s="1" t="s">
        <v>160</v>
      </c>
      <c r="D246" s="4">
        <v>39849.85</v>
      </c>
      <c r="E246" s="1" t="s">
        <v>14</v>
      </c>
      <c r="F246" s="9">
        <v>124104</v>
      </c>
      <c r="G246" s="5" t="s">
        <v>15</v>
      </c>
      <c r="H246" s="5" t="s">
        <v>150</v>
      </c>
      <c r="I246" s="1" t="s">
        <v>865</v>
      </c>
      <c r="J246" s="1"/>
      <c r="K246" s="1" t="s">
        <v>866</v>
      </c>
      <c r="L246" s="2" t="s">
        <v>867</v>
      </c>
      <c r="M246" s="1"/>
      <c r="N246" s="1"/>
      <c r="O246" s="1"/>
      <c r="P246" s="1"/>
      <c r="Q246" s="1"/>
      <c r="R246" s="1"/>
      <c r="S246" s="1"/>
      <c r="T246" s="1"/>
      <c r="U246" s="1"/>
      <c r="V246" s="1"/>
      <c r="W246" s="1"/>
      <c r="X246" s="1"/>
      <c r="Y246" s="1"/>
      <c r="Z246" s="1"/>
    </row>
    <row r="247" spans="1:26" ht="33.75" customHeight="1">
      <c r="A247" s="1">
        <v>479</v>
      </c>
      <c r="B247" s="1" t="s">
        <v>868</v>
      </c>
      <c r="C247" s="1" t="s">
        <v>160</v>
      </c>
      <c r="D247" s="4">
        <v>39849.852777777778</v>
      </c>
      <c r="E247" s="1" t="s">
        <v>54</v>
      </c>
      <c r="F247" s="1" t="s">
        <v>869</v>
      </c>
      <c r="G247" s="6" t="s">
        <v>78</v>
      </c>
      <c r="H247" s="1" t="s">
        <v>870</v>
      </c>
      <c r="I247" s="1" t="s">
        <v>480</v>
      </c>
      <c r="J247" s="1" t="s">
        <v>481</v>
      </c>
      <c r="K247" s="1"/>
      <c r="L247" s="2" t="s">
        <v>871</v>
      </c>
      <c r="M247" s="1"/>
      <c r="N247" s="1"/>
      <c r="O247" s="1"/>
      <c r="P247" s="1"/>
      <c r="Q247" s="1"/>
      <c r="R247" s="1"/>
      <c r="S247" s="1"/>
      <c r="T247" s="1"/>
      <c r="U247" s="1"/>
      <c r="V247" s="1"/>
      <c r="W247" s="1"/>
      <c r="X247" s="1"/>
      <c r="Y247" s="1"/>
      <c r="Z247" s="1"/>
    </row>
    <row r="248" spans="1:26" ht="33.75" customHeight="1">
      <c r="A248" s="1">
        <v>480</v>
      </c>
      <c r="B248" s="1" t="s">
        <v>872</v>
      </c>
      <c r="C248" s="1" t="s">
        <v>160</v>
      </c>
      <c r="D248" s="4">
        <v>39849.868055555555</v>
      </c>
      <c r="E248" s="1" t="s">
        <v>14</v>
      </c>
      <c r="F248" s="1" t="s">
        <v>720</v>
      </c>
      <c r="G248" s="5" t="s">
        <v>26</v>
      </c>
      <c r="H248" s="5" t="s">
        <v>27</v>
      </c>
      <c r="I248" s="1" t="s">
        <v>28</v>
      </c>
      <c r="J248" s="1" t="s">
        <v>29</v>
      </c>
      <c r="K248" s="1"/>
      <c r="L248" s="2" t="s">
        <v>873</v>
      </c>
      <c r="M248" s="1"/>
      <c r="N248" s="1"/>
      <c r="O248" s="1"/>
      <c r="P248" s="1"/>
      <c r="Q248" s="1"/>
      <c r="R248" s="1"/>
      <c r="S248" s="1"/>
      <c r="T248" s="1"/>
      <c r="U248" s="1"/>
      <c r="V248" s="1"/>
      <c r="W248" s="1"/>
      <c r="X248" s="1"/>
      <c r="Y248" s="1"/>
      <c r="Z248" s="1"/>
    </row>
    <row r="249" spans="1:26" ht="33.75" customHeight="1">
      <c r="A249" s="1">
        <v>481</v>
      </c>
      <c r="B249" s="1" t="s">
        <v>874</v>
      </c>
      <c r="C249" s="1" t="s">
        <v>160</v>
      </c>
      <c r="D249" s="4">
        <v>39849.905555555553</v>
      </c>
      <c r="E249" s="1" t="s">
        <v>320</v>
      </c>
      <c r="F249" s="1" t="s">
        <v>875</v>
      </c>
      <c r="G249" s="5" t="s">
        <v>15</v>
      </c>
      <c r="H249" s="5" t="s">
        <v>402</v>
      </c>
      <c r="I249" s="1" t="s">
        <v>576</v>
      </c>
      <c r="J249" s="1"/>
      <c r="K249" s="1"/>
      <c r="L249" s="2" t="s">
        <v>876</v>
      </c>
      <c r="M249" s="1"/>
      <c r="N249" s="1"/>
      <c r="O249" s="1"/>
      <c r="P249" s="1"/>
      <c r="Q249" s="1"/>
      <c r="R249" s="1"/>
      <c r="S249" s="1"/>
      <c r="T249" s="1"/>
      <c r="U249" s="1"/>
      <c r="V249" s="1"/>
      <c r="W249" s="1"/>
      <c r="X249" s="1"/>
      <c r="Y249" s="1"/>
      <c r="Z249" s="1"/>
    </row>
    <row r="250" spans="1:26" ht="33.75" customHeight="1">
      <c r="A250" s="1">
        <v>482</v>
      </c>
      <c r="B250" s="1" t="s">
        <v>877</v>
      </c>
      <c r="C250" s="1" t="s">
        <v>160</v>
      </c>
      <c r="D250" s="4">
        <v>39849.95416666667</v>
      </c>
      <c r="E250" s="1" t="s">
        <v>14</v>
      </c>
      <c r="F250" s="1" t="s">
        <v>574</v>
      </c>
      <c r="G250" s="6" t="s">
        <v>78</v>
      </c>
      <c r="H250" s="5" t="s">
        <v>79</v>
      </c>
      <c r="I250" s="1" t="s">
        <v>213</v>
      </c>
      <c r="J250" s="1" t="s">
        <v>878</v>
      </c>
      <c r="K250" s="1"/>
      <c r="L250" s="2" t="s">
        <v>879</v>
      </c>
      <c r="M250" s="1"/>
      <c r="N250" s="1"/>
      <c r="O250" s="1"/>
      <c r="P250" s="1"/>
      <c r="Q250" s="1"/>
      <c r="R250" s="1"/>
      <c r="S250" s="1"/>
      <c r="T250" s="1"/>
      <c r="U250" s="1"/>
      <c r="V250" s="1"/>
      <c r="W250" s="1"/>
      <c r="X250" s="1"/>
      <c r="Y250" s="1"/>
      <c r="Z250" s="1"/>
    </row>
    <row r="251" spans="1:26" ht="33.75" customHeight="1">
      <c r="A251" s="1">
        <v>546</v>
      </c>
      <c r="B251" s="1" t="s">
        <v>880</v>
      </c>
      <c r="C251" s="1" t="s">
        <v>680</v>
      </c>
      <c r="D251" s="4">
        <v>39849.965277777781</v>
      </c>
      <c r="E251" s="1" t="s">
        <v>14</v>
      </c>
      <c r="F251" s="1" t="s">
        <v>881</v>
      </c>
      <c r="G251" s="5" t="s">
        <v>33</v>
      </c>
      <c r="H251" s="5" t="s">
        <v>34</v>
      </c>
      <c r="I251" s="1" t="s">
        <v>35</v>
      </c>
      <c r="J251" s="1"/>
      <c r="K251" s="1" t="s">
        <v>882</v>
      </c>
      <c r="L251" s="2" t="s">
        <v>883</v>
      </c>
      <c r="M251" s="1"/>
      <c r="N251" s="1"/>
      <c r="O251" s="1"/>
      <c r="P251" s="1"/>
      <c r="Q251" s="1"/>
      <c r="R251" s="1"/>
      <c r="S251" s="1"/>
      <c r="T251" s="1"/>
      <c r="U251" s="1"/>
      <c r="V251" s="1"/>
      <c r="W251" s="1"/>
      <c r="X251" s="1"/>
      <c r="Y251" s="1"/>
      <c r="Z251" s="1"/>
    </row>
    <row r="252" spans="1:26" ht="33.75" customHeight="1">
      <c r="A252" s="1">
        <v>483</v>
      </c>
      <c r="B252" s="1" t="s">
        <v>884</v>
      </c>
      <c r="C252" s="1" t="s">
        <v>160</v>
      </c>
      <c r="D252" s="4">
        <v>39849.993055555555</v>
      </c>
      <c r="E252" s="1" t="s">
        <v>320</v>
      </c>
      <c r="F252" s="1"/>
      <c r="G252" s="5" t="s">
        <v>15</v>
      </c>
      <c r="H252" s="5" t="s">
        <v>402</v>
      </c>
      <c r="I252" s="1" t="s">
        <v>576</v>
      </c>
      <c r="J252" s="1"/>
      <c r="K252" s="1"/>
      <c r="L252" s="2" t="s">
        <v>885</v>
      </c>
      <c r="M252" s="1"/>
      <c r="N252" s="1"/>
      <c r="O252" s="1"/>
      <c r="P252" s="1"/>
      <c r="Q252" s="1"/>
      <c r="R252" s="1"/>
      <c r="S252" s="1"/>
      <c r="T252" s="1"/>
      <c r="U252" s="1"/>
      <c r="V252" s="1"/>
      <c r="W252" s="1"/>
      <c r="X252" s="1"/>
      <c r="Y252" s="1"/>
      <c r="Z252" s="1"/>
    </row>
    <row r="253" spans="1:26" ht="33.75" customHeight="1">
      <c r="A253" s="1">
        <v>1564</v>
      </c>
      <c r="B253" s="1" t="s">
        <v>12</v>
      </c>
      <c r="C253" s="1" t="s">
        <v>846</v>
      </c>
      <c r="D253" s="4">
        <v>39850.045520833337</v>
      </c>
      <c r="E253" s="1" t="s">
        <v>175</v>
      </c>
      <c r="F253" s="1"/>
      <c r="G253" s="1" t="s">
        <v>64</v>
      </c>
      <c r="H253" s="1" t="s">
        <v>65</v>
      </c>
      <c r="I253" s="1" t="s">
        <v>886</v>
      </c>
      <c r="J253" s="1"/>
      <c r="K253" s="1" t="s">
        <v>887</v>
      </c>
      <c r="L253" s="2" t="s">
        <v>888</v>
      </c>
      <c r="M253" s="1"/>
      <c r="N253" s="1"/>
      <c r="O253" s="1"/>
      <c r="P253" s="1"/>
      <c r="Q253" s="1"/>
      <c r="R253" s="1"/>
      <c r="S253" s="1"/>
      <c r="T253" s="1"/>
      <c r="U253" s="1"/>
      <c r="V253" s="1"/>
      <c r="W253" s="1"/>
      <c r="X253" s="1"/>
      <c r="Y253" s="1"/>
      <c r="Z253" s="1"/>
    </row>
    <row r="254" spans="1:26" ht="33.75" customHeight="1">
      <c r="A254" s="1">
        <v>484</v>
      </c>
      <c r="B254" s="1" t="s">
        <v>889</v>
      </c>
      <c r="C254" s="1" t="s">
        <v>160</v>
      </c>
      <c r="D254" s="4">
        <v>39850.086111111108</v>
      </c>
      <c r="E254" s="1" t="s">
        <v>14</v>
      </c>
      <c r="F254" s="1"/>
      <c r="G254" s="1" t="s">
        <v>64</v>
      </c>
      <c r="H254" s="1" t="s">
        <v>65</v>
      </c>
      <c r="I254" s="1" t="s">
        <v>890</v>
      </c>
      <c r="J254" s="1"/>
      <c r="K254" s="1" t="s">
        <v>891</v>
      </c>
      <c r="L254" s="2" t="s">
        <v>892</v>
      </c>
      <c r="M254" s="1"/>
      <c r="N254" s="1"/>
      <c r="O254" s="1"/>
      <c r="P254" s="1"/>
      <c r="Q254" s="1"/>
      <c r="R254" s="1"/>
      <c r="S254" s="1"/>
      <c r="T254" s="1"/>
      <c r="U254" s="1"/>
      <c r="V254" s="1"/>
      <c r="W254" s="1"/>
      <c r="X254" s="1"/>
      <c r="Y254" s="1"/>
      <c r="Z254" s="1"/>
    </row>
    <row r="255" spans="1:26" ht="33.75" customHeight="1">
      <c r="A255" s="1">
        <v>486</v>
      </c>
      <c r="B255" s="1" t="s">
        <v>893</v>
      </c>
      <c r="C255" s="1" t="s">
        <v>160</v>
      </c>
      <c r="D255" s="4">
        <v>39850.087500000001</v>
      </c>
      <c r="E255" s="1" t="s">
        <v>54</v>
      </c>
      <c r="F255" s="1"/>
      <c r="G255" s="5" t="s">
        <v>64</v>
      </c>
      <c r="H255" s="5" t="s">
        <v>65</v>
      </c>
      <c r="I255" s="1" t="s">
        <v>35</v>
      </c>
      <c r="J255" s="1"/>
      <c r="K255" s="1" t="s">
        <v>894</v>
      </c>
      <c r="L255" s="2" t="s">
        <v>895</v>
      </c>
      <c r="M255" s="1"/>
      <c r="N255" s="1"/>
      <c r="O255" s="1"/>
      <c r="P255" s="1"/>
      <c r="Q255" s="1"/>
      <c r="R255" s="1"/>
      <c r="S255" s="1"/>
      <c r="T255" s="1"/>
      <c r="U255" s="1"/>
      <c r="V255" s="1"/>
      <c r="W255" s="1"/>
      <c r="X255" s="1"/>
      <c r="Y255" s="1"/>
      <c r="Z255" s="1"/>
    </row>
    <row r="256" spans="1:26" ht="33.75" customHeight="1">
      <c r="A256" s="1">
        <v>487</v>
      </c>
      <c r="B256" s="1" t="s">
        <v>896</v>
      </c>
      <c r="C256" s="1" t="s">
        <v>160</v>
      </c>
      <c r="D256" s="4">
        <v>39850.095833333333</v>
      </c>
      <c r="E256" s="1" t="s">
        <v>54</v>
      </c>
      <c r="F256" s="1" t="s">
        <v>897</v>
      </c>
      <c r="G256" s="1" t="s">
        <v>64</v>
      </c>
      <c r="H256" s="1" t="s">
        <v>263</v>
      </c>
      <c r="I256" s="1" t="s">
        <v>321</v>
      </c>
      <c r="J256" s="1" t="s">
        <v>450</v>
      </c>
      <c r="K256" s="1"/>
      <c r="L256" s="2" t="s">
        <v>898</v>
      </c>
      <c r="M256" s="1"/>
      <c r="N256" s="1"/>
      <c r="O256" s="1"/>
      <c r="P256" s="1"/>
      <c r="Q256" s="1"/>
      <c r="R256" s="1"/>
      <c r="S256" s="1"/>
      <c r="T256" s="1"/>
      <c r="U256" s="1"/>
      <c r="V256" s="1"/>
      <c r="W256" s="1"/>
      <c r="X256" s="1"/>
      <c r="Y256" s="1"/>
      <c r="Z256" s="1"/>
    </row>
    <row r="257" spans="1:26" ht="33.75" customHeight="1">
      <c r="A257" s="1">
        <v>1644</v>
      </c>
      <c r="B257" s="1" t="s">
        <v>899</v>
      </c>
      <c r="C257" s="1" t="s">
        <v>846</v>
      </c>
      <c r="D257" s="4">
        <v>39850.097222222219</v>
      </c>
      <c r="E257" s="1" t="s">
        <v>416</v>
      </c>
      <c r="F257" s="1"/>
      <c r="G257" s="5" t="s">
        <v>64</v>
      </c>
      <c r="H257" s="5" t="s">
        <v>375</v>
      </c>
      <c r="I257" s="1" t="s">
        <v>900</v>
      </c>
      <c r="J257" s="1"/>
      <c r="K257" s="1" t="s">
        <v>901</v>
      </c>
      <c r="L257" s="2" t="s">
        <v>902</v>
      </c>
      <c r="M257" s="1"/>
      <c r="N257" s="1"/>
      <c r="O257" s="1"/>
      <c r="P257" s="1"/>
      <c r="Q257" s="1"/>
      <c r="R257" s="1"/>
      <c r="S257" s="1"/>
      <c r="T257" s="1"/>
      <c r="U257" s="1"/>
      <c r="V257" s="1"/>
      <c r="W257" s="1"/>
      <c r="X257" s="1"/>
      <c r="Y257" s="1"/>
      <c r="Z257" s="1"/>
    </row>
    <row r="258" spans="1:26" ht="33.75" customHeight="1">
      <c r="A258" s="1">
        <v>1645</v>
      </c>
      <c r="B258" s="1" t="s">
        <v>903</v>
      </c>
      <c r="C258" s="1" t="s">
        <v>846</v>
      </c>
      <c r="D258" s="4">
        <v>39850.156944444447</v>
      </c>
      <c r="E258" s="1" t="s">
        <v>416</v>
      </c>
      <c r="F258" s="1">
        <v>83</v>
      </c>
      <c r="G258" s="5" t="s">
        <v>64</v>
      </c>
      <c r="H258" s="5" t="s">
        <v>179</v>
      </c>
      <c r="I258" s="1" t="s">
        <v>179</v>
      </c>
      <c r="J258" s="1"/>
      <c r="K258" s="1"/>
      <c r="L258" s="2" t="s">
        <v>904</v>
      </c>
      <c r="M258" s="1"/>
      <c r="N258" s="1"/>
      <c r="O258" s="1"/>
      <c r="P258" s="1"/>
      <c r="Q258" s="1"/>
      <c r="R258" s="1"/>
      <c r="S258" s="1"/>
      <c r="T258" s="1"/>
      <c r="U258" s="1"/>
      <c r="V258" s="1"/>
      <c r="W258" s="1"/>
      <c r="X258" s="1"/>
      <c r="Y258" s="1"/>
      <c r="Z258" s="1"/>
    </row>
    <row r="259" spans="1:26" ht="33.75" customHeight="1">
      <c r="A259" s="1">
        <v>488</v>
      </c>
      <c r="B259" s="1" t="s">
        <v>905</v>
      </c>
      <c r="C259" s="1" t="s">
        <v>160</v>
      </c>
      <c r="D259" s="4">
        <v>39850.255555555559</v>
      </c>
      <c r="E259" s="1" t="s">
        <v>906</v>
      </c>
      <c r="F259" s="1"/>
      <c r="G259" s="5" t="s">
        <v>33</v>
      </c>
      <c r="H259" s="5" t="s">
        <v>34</v>
      </c>
      <c r="I259" s="1" t="s">
        <v>35</v>
      </c>
      <c r="J259" s="1"/>
      <c r="K259" s="1" t="s">
        <v>907</v>
      </c>
      <c r="L259" s="2" t="s">
        <v>908</v>
      </c>
      <c r="M259" s="1"/>
      <c r="N259" s="1"/>
      <c r="O259" s="1"/>
      <c r="P259" s="1"/>
      <c r="Q259" s="1"/>
      <c r="R259" s="1"/>
      <c r="S259" s="1"/>
      <c r="T259" s="1"/>
      <c r="U259" s="1"/>
      <c r="V259" s="1"/>
      <c r="W259" s="1"/>
      <c r="X259" s="1"/>
      <c r="Y259" s="1"/>
      <c r="Z259" s="1"/>
    </row>
    <row r="260" spans="1:26" ht="33.75" customHeight="1">
      <c r="A260" s="1">
        <v>489</v>
      </c>
      <c r="B260" s="1" t="s">
        <v>909</v>
      </c>
      <c r="C260" s="1" t="s">
        <v>160</v>
      </c>
      <c r="D260" s="4">
        <v>39850.283333333333</v>
      </c>
      <c r="E260" s="1" t="s">
        <v>196</v>
      </c>
      <c r="F260" s="1"/>
      <c r="G260" s="5" t="s">
        <v>15</v>
      </c>
      <c r="H260" s="5" t="s">
        <v>150</v>
      </c>
      <c r="I260" s="1" t="s">
        <v>910</v>
      </c>
      <c r="J260" s="1"/>
      <c r="K260" s="1" t="s">
        <v>317</v>
      </c>
      <c r="L260" s="2" t="s">
        <v>911</v>
      </c>
      <c r="M260" s="1"/>
      <c r="N260" s="1"/>
      <c r="O260" s="1"/>
      <c r="P260" s="1"/>
      <c r="Q260" s="1"/>
      <c r="R260" s="1"/>
      <c r="S260" s="1"/>
      <c r="T260" s="1"/>
      <c r="U260" s="1"/>
      <c r="V260" s="1"/>
      <c r="W260" s="1"/>
      <c r="X260" s="1"/>
      <c r="Y260" s="1"/>
      <c r="Z260" s="1"/>
    </row>
    <row r="261" spans="1:26" ht="33.75" customHeight="1">
      <c r="A261" s="1">
        <v>490</v>
      </c>
      <c r="B261" s="1" t="s">
        <v>912</v>
      </c>
      <c r="C261" s="1" t="s">
        <v>160</v>
      </c>
      <c r="D261" s="4">
        <v>39850.286805555559</v>
      </c>
      <c r="E261" s="1" t="s">
        <v>913</v>
      </c>
      <c r="F261" s="1"/>
      <c r="G261" s="1" t="s">
        <v>15</v>
      </c>
      <c r="H261" s="5" t="s">
        <v>16</v>
      </c>
      <c r="I261" s="1" t="s">
        <v>914</v>
      </c>
      <c r="J261" s="1"/>
      <c r="K261" s="1"/>
      <c r="L261" s="2" t="s">
        <v>915</v>
      </c>
      <c r="M261" s="1"/>
      <c r="N261" s="1"/>
      <c r="O261" s="1"/>
      <c r="P261" s="1"/>
      <c r="Q261" s="1"/>
      <c r="R261" s="1"/>
      <c r="S261" s="1"/>
      <c r="T261" s="1"/>
      <c r="U261" s="1"/>
      <c r="V261" s="1"/>
      <c r="W261" s="1"/>
      <c r="X261" s="1"/>
      <c r="Y261" s="1"/>
      <c r="Z261" s="1"/>
    </row>
    <row r="262" spans="1:26" ht="33.75" customHeight="1">
      <c r="A262" s="1">
        <v>491</v>
      </c>
      <c r="B262" s="1" t="s">
        <v>916</v>
      </c>
      <c r="C262" s="1" t="s">
        <v>160</v>
      </c>
      <c r="D262" s="4">
        <v>39850.300000000003</v>
      </c>
      <c r="E262" s="1" t="s">
        <v>196</v>
      </c>
      <c r="F262" s="1" t="s">
        <v>909</v>
      </c>
      <c r="G262" s="5" t="s">
        <v>64</v>
      </c>
      <c r="H262" s="5" t="s">
        <v>282</v>
      </c>
      <c r="I262" s="1" t="s">
        <v>283</v>
      </c>
      <c r="J262" s="1"/>
      <c r="K262" s="1" t="s">
        <v>917</v>
      </c>
      <c r="L262" s="2" t="s">
        <v>918</v>
      </c>
      <c r="M262" s="1"/>
      <c r="N262" s="1"/>
      <c r="O262" s="1"/>
      <c r="P262" s="1"/>
      <c r="Q262" s="1"/>
      <c r="R262" s="1"/>
      <c r="S262" s="1"/>
      <c r="T262" s="1"/>
      <c r="U262" s="1"/>
      <c r="V262" s="1"/>
      <c r="W262" s="1"/>
      <c r="X262" s="1"/>
      <c r="Y262" s="1"/>
      <c r="Z262" s="1"/>
    </row>
    <row r="263" spans="1:26" ht="33.75" customHeight="1">
      <c r="A263" s="1">
        <v>1646</v>
      </c>
      <c r="B263" s="1" t="s">
        <v>919</v>
      </c>
      <c r="C263" s="1" t="s">
        <v>846</v>
      </c>
      <c r="D263" s="4">
        <v>39850.3125</v>
      </c>
      <c r="E263" s="1" t="s">
        <v>84</v>
      </c>
      <c r="F263" s="1" t="s">
        <v>899</v>
      </c>
      <c r="G263" s="5" t="s">
        <v>26</v>
      </c>
      <c r="H263" s="5" t="s">
        <v>133</v>
      </c>
      <c r="I263" s="1" t="s">
        <v>28</v>
      </c>
      <c r="J263" s="1" t="s">
        <v>134</v>
      </c>
      <c r="K263" s="1"/>
      <c r="L263" s="2" t="s">
        <v>920</v>
      </c>
      <c r="M263" s="1"/>
      <c r="N263" s="1"/>
      <c r="O263" s="1"/>
      <c r="P263" s="1"/>
      <c r="Q263" s="1"/>
      <c r="R263" s="1"/>
      <c r="S263" s="1"/>
      <c r="T263" s="1"/>
      <c r="U263" s="1"/>
      <c r="V263" s="1"/>
      <c r="W263" s="1"/>
      <c r="X263" s="1"/>
      <c r="Y263" s="1"/>
      <c r="Z263" s="1"/>
    </row>
    <row r="264" spans="1:26" ht="33.75" customHeight="1">
      <c r="A264" s="1">
        <v>492</v>
      </c>
      <c r="B264" s="1" t="s">
        <v>921</v>
      </c>
      <c r="C264" s="1" t="s">
        <v>160</v>
      </c>
      <c r="D264" s="4">
        <v>39850.361111111109</v>
      </c>
      <c r="E264" s="1" t="s">
        <v>196</v>
      </c>
      <c r="F264" s="1" t="s">
        <v>909</v>
      </c>
      <c r="G264" s="5" t="s">
        <v>64</v>
      </c>
      <c r="H264" s="5" t="s">
        <v>282</v>
      </c>
      <c r="I264" s="1" t="s">
        <v>283</v>
      </c>
      <c r="J264" s="1"/>
      <c r="K264" s="1" t="s">
        <v>754</v>
      </c>
      <c r="L264" s="2" t="s">
        <v>922</v>
      </c>
      <c r="M264" s="1"/>
      <c r="N264" s="1"/>
      <c r="O264" s="1"/>
      <c r="P264" s="1"/>
      <c r="Q264" s="1"/>
      <c r="R264" s="1"/>
      <c r="S264" s="1"/>
      <c r="T264" s="1"/>
      <c r="U264" s="1"/>
      <c r="V264" s="1"/>
      <c r="W264" s="1"/>
      <c r="X264" s="1"/>
      <c r="Y264" s="1"/>
      <c r="Z264" s="1"/>
    </row>
    <row r="265" spans="1:26" ht="33.75" customHeight="1">
      <c r="A265" s="1">
        <v>493</v>
      </c>
      <c r="B265" s="1" t="s">
        <v>923</v>
      </c>
      <c r="C265" s="1" t="s">
        <v>160</v>
      </c>
      <c r="D265" s="4">
        <v>39850.365277777775</v>
      </c>
      <c r="E265" s="1" t="s">
        <v>196</v>
      </c>
      <c r="F265" s="1" t="s">
        <v>921</v>
      </c>
      <c r="G265" s="5" t="s">
        <v>64</v>
      </c>
      <c r="H265" s="5" t="s">
        <v>282</v>
      </c>
      <c r="I265" s="1" t="s">
        <v>283</v>
      </c>
      <c r="J265" s="1"/>
      <c r="K265" s="1" t="s">
        <v>924</v>
      </c>
      <c r="L265" s="2" t="s">
        <v>925</v>
      </c>
      <c r="M265" s="1"/>
      <c r="N265" s="1"/>
      <c r="O265" s="1"/>
      <c r="P265" s="1"/>
      <c r="Q265" s="1"/>
      <c r="R265" s="1"/>
      <c r="S265" s="1"/>
      <c r="T265" s="1"/>
      <c r="U265" s="1"/>
      <c r="V265" s="1"/>
      <c r="W265" s="1"/>
      <c r="X265" s="1"/>
      <c r="Y265" s="1"/>
      <c r="Z265" s="1"/>
    </row>
    <row r="266" spans="1:26" ht="33.75" customHeight="1">
      <c r="A266" s="1">
        <v>6</v>
      </c>
      <c r="B266" s="1" t="s">
        <v>12</v>
      </c>
      <c r="C266" s="1" t="s">
        <v>926</v>
      </c>
      <c r="D266" s="4">
        <v>39850.377500000002</v>
      </c>
      <c r="E266" s="1" t="s">
        <v>14</v>
      </c>
      <c r="F266" s="1" t="s">
        <v>927</v>
      </c>
      <c r="G266" s="6" t="s">
        <v>78</v>
      </c>
      <c r="H266" s="5" t="s">
        <v>88</v>
      </c>
      <c r="I266" s="1" t="s">
        <v>56</v>
      </c>
      <c r="J266" s="1"/>
      <c r="K266" s="1"/>
      <c r="L266" s="2" t="s">
        <v>928</v>
      </c>
      <c r="M266" s="1"/>
      <c r="N266" s="1"/>
      <c r="O266" s="1"/>
      <c r="P266" s="1"/>
      <c r="Q266" s="1"/>
      <c r="R266" s="1"/>
      <c r="S266" s="1"/>
      <c r="T266" s="1"/>
      <c r="U266" s="1"/>
      <c r="V266" s="1"/>
      <c r="W266" s="1"/>
      <c r="X266" s="1"/>
      <c r="Y266" s="1"/>
      <c r="Z266" s="1"/>
    </row>
    <row r="267" spans="1:26" ht="33.75" customHeight="1">
      <c r="A267" s="1">
        <v>494</v>
      </c>
      <c r="B267" s="1" t="s">
        <v>929</v>
      </c>
      <c r="C267" s="1" t="s">
        <v>160</v>
      </c>
      <c r="D267" s="4">
        <v>39850.380555555559</v>
      </c>
      <c r="E267" s="1" t="s">
        <v>14</v>
      </c>
      <c r="F267" s="1" t="s">
        <v>921</v>
      </c>
      <c r="G267" s="5" t="s">
        <v>15</v>
      </c>
      <c r="H267" s="5" t="s">
        <v>792</v>
      </c>
      <c r="I267" s="1" t="s">
        <v>930</v>
      </c>
      <c r="J267" s="1"/>
      <c r="K267" s="1"/>
      <c r="L267" s="2" t="s">
        <v>931</v>
      </c>
      <c r="M267" s="1"/>
      <c r="N267" s="1"/>
      <c r="O267" s="1"/>
      <c r="P267" s="1"/>
      <c r="Q267" s="1"/>
      <c r="R267" s="1"/>
      <c r="S267" s="1"/>
      <c r="T267" s="1"/>
      <c r="U267" s="1"/>
      <c r="V267" s="1"/>
      <c r="W267" s="1"/>
      <c r="X267" s="1"/>
      <c r="Y267" s="1"/>
      <c r="Z267" s="1"/>
    </row>
    <row r="268" spans="1:26" ht="33.75" customHeight="1">
      <c r="A268" s="1">
        <v>496</v>
      </c>
      <c r="B268" s="1" t="s">
        <v>932</v>
      </c>
      <c r="C268" s="1" t="s">
        <v>160</v>
      </c>
      <c r="D268" s="4">
        <v>39850.42083333333</v>
      </c>
      <c r="E268" s="1" t="s">
        <v>14</v>
      </c>
      <c r="F268" s="1"/>
      <c r="G268" s="5" t="s">
        <v>64</v>
      </c>
      <c r="H268" s="5" t="s">
        <v>65</v>
      </c>
      <c r="I268" s="1" t="s">
        <v>56</v>
      </c>
      <c r="J268" s="1"/>
      <c r="K268" s="1"/>
      <c r="L268" s="2" t="s">
        <v>933</v>
      </c>
      <c r="M268" s="1"/>
      <c r="N268" s="1"/>
      <c r="O268" s="1"/>
      <c r="P268" s="1"/>
      <c r="Q268" s="1"/>
      <c r="R268" s="1"/>
      <c r="S268" s="1"/>
      <c r="T268" s="1"/>
      <c r="U268" s="1"/>
      <c r="V268" s="1"/>
      <c r="W268" s="1"/>
      <c r="X268" s="1"/>
      <c r="Y268" s="1"/>
      <c r="Z268" s="1"/>
    </row>
    <row r="269" spans="1:26" ht="33.75" customHeight="1">
      <c r="A269" s="1">
        <v>550</v>
      </c>
      <c r="B269" s="1" t="s">
        <v>934</v>
      </c>
      <c r="C269" s="1" t="s">
        <v>926</v>
      </c>
      <c r="D269" s="4">
        <v>39850.469444444447</v>
      </c>
      <c r="E269" s="1" t="s">
        <v>14</v>
      </c>
      <c r="F269" s="1"/>
      <c r="G269" s="5" t="s">
        <v>64</v>
      </c>
      <c r="H269" s="5" t="s">
        <v>65</v>
      </c>
      <c r="I269" s="1" t="s">
        <v>35</v>
      </c>
      <c r="J269" s="1"/>
      <c r="K269" s="1" t="s">
        <v>935</v>
      </c>
      <c r="L269" s="2" t="s">
        <v>936</v>
      </c>
      <c r="M269" s="1"/>
      <c r="N269" s="1"/>
      <c r="O269" s="1"/>
      <c r="P269" s="1"/>
      <c r="Q269" s="1"/>
      <c r="R269" s="1"/>
      <c r="S269" s="1"/>
      <c r="T269" s="1"/>
      <c r="U269" s="1"/>
      <c r="V269" s="1"/>
      <c r="W269" s="1"/>
      <c r="X269" s="1"/>
      <c r="Y269" s="1"/>
      <c r="Z269" s="1"/>
    </row>
    <row r="270" spans="1:26" ht="33.75" customHeight="1">
      <c r="A270" s="1">
        <v>551</v>
      </c>
      <c r="B270" s="1" t="s">
        <v>937</v>
      </c>
      <c r="C270" s="1" t="s">
        <v>926</v>
      </c>
      <c r="D270" s="4">
        <v>39850.478472222225</v>
      </c>
      <c r="E270" s="1" t="s">
        <v>14</v>
      </c>
      <c r="F270" s="1"/>
      <c r="G270" s="6" t="s">
        <v>78</v>
      </c>
      <c r="H270" s="5" t="s">
        <v>223</v>
      </c>
      <c r="I270" s="1" t="s">
        <v>64</v>
      </c>
      <c r="J270" s="1" t="s">
        <v>450</v>
      </c>
      <c r="K270" s="1"/>
      <c r="L270" s="2" t="s">
        <v>938</v>
      </c>
      <c r="M270" s="1"/>
      <c r="N270" s="1"/>
      <c r="O270" s="1"/>
      <c r="P270" s="1"/>
      <c r="Q270" s="1"/>
      <c r="R270" s="1"/>
      <c r="S270" s="1"/>
      <c r="T270" s="1"/>
      <c r="U270" s="1"/>
      <c r="V270" s="1"/>
      <c r="W270" s="1"/>
      <c r="X270" s="1"/>
      <c r="Y270" s="1"/>
      <c r="Z270" s="1"/>
    </row>
    <row r="271" spans="1:26" ht="33.75" customHeight="1">
      <c r="A271" s="1">
        <v>552</v>
      </c>
      <c r="B271" s="1" t="s">
        <v>939</v>
      </c>
      <c r="C271" s="1" t="s">
        <v>926</v>
      </c>
      <c r="D271" s="4">
        <v>39850.489583333336</v>
      </c>
      <c r="E271" s="1" t="s">
        <v>14</v>
      </c>
      <c r="F271" s="1" t="s">
        <v>937</v>
      </c>
      <c r="G271" s="5" t="s">
        <v>64</v>
      </c>
      <c r="H271" s="5" t="s">
        <v>282</v>
      </c>
      <c r="I271" s="1" t="s">
        <v>283</v>
      </c>
      <c r="J271" s="1"/>
      <c r="K271" s="1" t="s">
        <v>754</v>
      </c>
      <c r="L271" s="2" t="s">
        <v>940</v>
      </c>
      <c r="M271" s="1"/>
      <c r="N271" s="1"/>
      <c r="O271" s="1"/>
      <c r="P271" s="1"/>
      <c r="Q271" s="1"/>
      <c r="R271" s="1"/>
      <c r="S271" s="1"/>
      <c r="T271" s="1"/>
      <c r="U271" s="1"/>
      <c r="V271" s="1"/>
      <c r="W271" s="1"/>
      <c r="X271" s="1"/>
      <c r="Y271" s="1"/>
      <c r="Z271" s="1"/>
    </row>
    <row r="272" spans="1:26" ht="33.75" customHeight="1">
      <c r="A272" s="1">
        <v>553</v>
      </c>
      <c r="B272" s="1" t="s">
        <v>941</v>
      </c>
      <c r="C272" s="1" t="s">
        <v>926</v>
      </c>
      <c r="D272" s="4">
        <v>39850.518055555556</v>
      </c>
      <c r="E272" s="1" t="s">
        <v>14</v>
      </c>
      <c r="F272" s="1"/>
      <c r="G272" s="5" t="s">
        <v>64</v>
      </c>
      <c r="H272" s="5" t="s">
        <v>282</v>
      </c>
      <c r="I272" s="1" t="s">
        <v>283</v>
      </c>
      <c r="J272" s="1"/>
      <c r="K272" s="1" t="s">
        <v>754</v>
      </c>
      <c r="L272" s="2" t="s">
        <v>942</v>
      </c>
      <c r="M272" s="1"/>
      <c r="N272" s="1"/>
      <c r="O272" s="1"/>
      <c r="P272" s="1"/>
      <c r="Q272" s="1"/>
      <c r="R272" s="1"/>
      <c r="S272" s="1"/>
      <c r="T272" s="1"/>
      <c r="U272" s="1"/>
      <c r="V272" s="1"/>
      <c r="W272" s="1"/>
      <c r="X272" s="1"/>
      <c r="Y272" s="1"/>
      <c r="Z272" s="1"/>
    </row>
    <row r="273" spans="1:26" ht="33.75" customHeight="1">
      <c r="A273" s="1">
        <v>554</v>
      </c>
      <c r="B273" s="1" t="s">
        <v>943</v>
      </c>
      <c r="C273" s="1" t="s">
        <v>926</v>
      </c>
      <c r="D273" s="4">
        <v>39850.525000000001</v>
      </c>
      <c r="E273" s="1" t="s">
        <v>14</v>
      </c>
      <c r="F273" s="1"/>
      <c r="G273" s="5" t="s">
        <v>64</v>
      </c>
      <c r="H273" s="5" t="s">
        <v>282</v>
      </c>
      <c r="I273" s="1" t="s">
        <v>283</v>
      </c>
      <c r="J273" s="1"/>
      <c r="K273" s="1" t="s">
        <v>754</v>
      </c>
      <c r="L273" s="2" t="s">
        <v>944</v>
      </c>
      <c r="M273" s="1"/>
      <c r="N273" s="1"/>
      <c r="O273" s="1"/>
      <c r="P273" s="1"/>
      <c r="Q273" s="1"/>
      <c r="R273" s="1"/>
      <c r="S273" s="1"/>
      <c r="T273" s="1"/>
      <c r="U273" s="1"/>
      <c r="V273" s="1"/>
      <c r="W273" s="1"/>
      <c r="X273" s="1"/>
      <c r="Y273" s="1"/>
      <c r="Z273" s="1"/>
    </row>
    <row r="274" spans="1:26" ht="33.75" customHeight="1">
      <c r="A274" s="1">
        <v>555</v>
      </c>
      <c r="B274" s="1" t="s">
        <v>945</v>
      </c>
      <c r="C274" s="1" t="s">
        <v>926</v>
      </c>
      <c r="D274" s="4">
        <v>39850.538888888892</v>
      </c>
      <c r="E274" s="1" t="s">
        <v>14</v>
      </c>
      <c r="F274" s="1"/>
      <c r="G274" s="6" t="s">
        <v>78</v>
      </c>
      <c r="H274" s="5" t="s">
        <v>223</v>
      </c>
      <c r="I274" s="1" t="s">
        <v>64</v>
      </c>
      <c r="J274" s="1"/>
      <c r="K274" s="1"/>
      <c r="L274" s="2" t="s">
        <v>946</v>
      </c>
      <c r="M274" s="1"/>
      <c r="N274" s="1"/>
      <c r="O274" s="1"/>
      <c r="P274" s="1"/>
      <c r="Q274" s="1"/>
      <c r="R274" s="1"/>
      <c r="S274" s="1"/>
      <c r="T274" s="1"/>
      <c r="U274" s="1"/>
      <c r="V274" s="1"/>
      <c r="W274" s="1"/>
      <c r="X274" s="1"/>
      <c r="Y274" s="1"/>
      <c r="Z274" s="1"/>
    </row>
    <row r="275" spans="1:26" ht="33.75" customHeight="1">
      <c r="A275" s="1">
        <v>556</v>
      </c>
      <c r="B275" s="1" t="s">
        <v>947</v>
      </c>
      <c r="C275" s="1" t="s">
        <v>926</v>
      </c>
      <c r="D275" s="4">
        <v>39850.552777777775</v>
      </c>
      <c r="E275" s="1" t="s">
        <v>14</v>
      </c>
      <c r="F275" s="1"/>
      <c r="G275" s="5" t="s">
        <v>64</v>
      </c>
      <c r="H275" s="5" t="s">
        <v>282</v>
      </c>
      <c r="I275" s="1" t="s">
        <v>283</v>
      </c>
      <c r="J275" s="1"/>
      <c r="K275" s="1" t="s">
        <v>754</v>
      </c>
      <c r="L275" s="2" t="s">
        <v>948</v>
      </c>
      <c r="M275" s="1"/>
      <c r="N275" s="1"/>
      <c r="O275" s="1"/>
      <c r="P275" s="1"/>
      <c r="Q275" s="1"/>
      <c r="R275" s="1"/>
      <c r="S275" s="1"/>
      <c r="T275" s="1"/>
      <c r="U275" s="1"/>
      <c r="V275" s="1"/>
      <c r="W275" s="1"/>
      <c r="X275" s="1"/>
      <c r="Y275" s="1"/>
      <c r="Z275" s="1"/>
    </row>
    <row r="276" spans="1:26" ht="33.75" customHeight="1">
      <c r="A276" s="1">
        <v>557</v>
      </c>
      <c r="B276" s="1" t="s">
        <v>949</v>
      </c>
      <c r="C276" s="1" t="s">
        <v>926</v>
      </c>
      <c r="D276" s="4">
        <v>39850.568055555559</v>
      </c>
      <c r="E276" s="1" t="s">
        <v>14</v>
      </c>
      <c r="F276" s="1"/>
      <c r="G276" s="5" t="s">
        <v>64</v>
      </c>
      <c r="H276" s="5" t="s">
        <v>282</v>
      </c>
      <c r="I276" s="1" t="s">
        <v>283</v>
      </c>
      <c r="J276" s="1"/>
      <c r="K276" s="1" t="s">
        <v>754</v>
      </c>
      <c r="L276" s="2" t="s">
        <v>950</v>
      </c>
      <c r="M276" s="1"/>
      <c r="N276" s="1"/>
      <c r="O276" s="1"/>
      <c r="P276" s="1"/>
      <c r="Q276" s="1"/>
      <c r="R276" s="1"/>
      <c r="S276" s="1"/>
      <c r="T276" s="1"/>
      <c r="U276" s="1"/>
      <c r="V276" s="1"/>
      <c r="W276" s="1"/>
      <c r="X276" s="1"/>
      <c r="Y276" s="1"/>
      <c r="Z276" s="1"/>
    </row>
    <row r="277" spans="1:26" ht="33.75" customHeight="1">
      <c r="A277" s="1">
        <v>558</v>
      </c>
      <c r="B277" s="1" t="s">
        <v>951</v>
      </c>
      <c r="C277" s="1" t="s">
        <v>926</v>
      </c>
      <c r="D277" s="4">
        <v>39850.582638888889</v>
      </c>
      <c r="E277" s="1" t="s">
        <v>14</v>
      </c>
      <c r="F277" s="1"/>
      <c r="G277" s="5" t="s">
        <v>64</v>
      </c>
      <c r="H277" s="5" t="s">
        <v>282</v>
      </c>
      <c r="I277" s="1" t="s">
        <v>283</v>
      </c>
      <c r="J277" s="1"/>
      <c r="K277" s="1" t="s">
        <v>754</v>
      </c>
      <c r="L277" s="2" t="s">
        <v>952</v>
      </c>
      <c r="M277" s="1"/>
      <c r="N277" s="1"/>
      <c r="O277" s="1"/>
      <c r="P277" s="1"/>
      <c r="Q277" s="1"/>
      <c r="R277" s="1"/>
      <c r="S277" s="1"/>
      <c r="T277" s="1"/>
      <c r="U277" s="1"/>
      <c r="V277" s="1"/>
      <c r="W277" s="1"/>
      <c r="X277" s="1"/>
      <c r="Y277" s="1"/>
      <c r="Z277" s="1"/>
    </row>
    <row r="278" spans="1:26" ht="33.75" customHeight="1">
      <c r="A278" s="1">
        <v>559</v>
      </c>
      <c r="B278" s="1" t="s">
        <v>953</v>
      </c>
      <c r="C278" s="1" t="s">
        <v>926</v>
      </c>
      <c r="D278" s="4">
        <v>39850.634722222225</v>
      </c>
      <c r="E278" s="1" t="s">
        <v>320</v>
      </c>
      <c r="F278" s="1"/>
      <c r="G278" s="5" t="s">
        <v>26</v>
      </c>
      <c r="H278" s="5" t="s">
        <v>133</v>
      </c>
      <c r="I278" s="1" t="s">
        <v>954</v>
      </c>
      <c r="J278" s="1"/>
      <c r="K278" s="1" t="s">
        <v>955</v>
      </c>
      <c r="L278" s="2" t="s">
        <v>956</v>
      </c>
      <c r="M278" s="1"/>
      <c r="N278" s="1"/>
      <c r="O278" s="1"/>
      <c r="P278" s="1"/>
      <c r="Q278" s="1"/>
      <c r="R278" s="1"/>
      <c r="S278" s="1"/>
      <c r="T278" s="1"/>
      <c r="U278" s="1"/>
      <c r="V278" s="1"/>
      <c r="W278" s="1"/>
      <c r="X278" s="1"/>
      <c r="Y278" s="1"/>
      <c r="Z278" s="1"/>
    </row>
    <row r="279" spans="1:26" ht="33.75" customHeight="1">
      <c r="A279" s="1">
        <v>1647</v>
      </c>
      <c r="B279" s="1" t="s">
        <v>957</v>
      </c>
      <c r="C279" s="1" t="s">
        <v>846</v>
      </c>
      <c r="D279" s="4">
        <v>39850.677777777775</v>
      </c>
      <c r="E279" s="1" t="s">
        <v>416</v>
      </c>
      <c r="F279" s="1" t="s">
        <v>919</v>
      </c>
      <c r="G279" s="5" t="s">
        <v>26</v>
      </c>
      <c r="H279" s="5" t="s">
        <v>27</v>
      </c>
      <c r="I279" s="1" t="s">
        <v>28</v>
      </c>
      <c r="J279" s="1" t="s">
        <v>259</v>
      </c>
      <c r="K279" s="1"/>
      <c r="L279" s="2" t="s">
        <v>958</v>
      </c>
      <c r="M279" s="1"/>
      <c r="N279" s="1"/>
      <c r="O279" s="1"/>
      <c r="P279" s="1"/>
      <c r="Q279" s="1"/>
      <c r="R279" s="1"/>
      <c r="S279" s="1"/>
      <c r="T279" s="1"/>
      <c r="U279" s="1"/>
      <c r="V279" s="1"/>
      <c r="W279" s="1"/>
      <c r="X279" s="1"/>
      <c r="Y279" s="1"/>
      <c r="Z279" s="1"/>
    </row>
    <row r="280" spans="1:26" ht="33.75" customHeight="1">
      <c r="A280" s="1">
        <v>560</v>
      </c>
      <c r="B280" s="1" t="s">
        <v>959</v>
      </c>
      <c r="C280" s="1" t="s">
        <v>926</v>
      </c>
      <c r="D280" s="4">
        <v>39850.700694444444</v>
      </c>
      <c r="E280" s="1" t="s">
        <v>14</v>
      </c>
      <c r="F280" s="1"/>
      <c r="G280" s="5" t="s">
        <v>15</v>
      </c>
      <c r="H280" s="5" t="s">
        <v>792</v>
      </c>
      <c r="I280" s="1" t="s">
        <v>28</v>
      </c>
      <c r="J280" s="1" t="s">
        <v>259</v>
      </c>
      <c r="K280" s="1" t="s">
        <v>960</v>
      </c>
      <c r="L280" s="2" t="s">
        <v>961</v>
      </c>
      <c r="M280" s="1"/>
      <c r="N280" s="1"/>
      <c r="O280" s="1"/>
      <c r="P280" s="1"/>
      <c r="Q280" s="1"/>
      <c r="R280" s="1"/>
      <c r="S280" s="1"/>
      <c r="T280" s="1"/>
      <c r="U280" s="1"/>
      <c r="V280" s="1"/>
      <c r="W280" s="1"/>
      <c r="X280" s="1"/>
      <c r="Y280" s="1"/>
      <c r="Z280" s="1"/>
    </row>
    <row r="281" spans="1:26" ht="33.75" customHeight="1">
      <c r="A281" s="1">
        <v>561</v>
      </c>
      <c r="B281" s="1" t="s">
        <v>962</v>
      </c>
      <c r="C281" s="1" t="s">
        <v>926</v>
      </c>
      <c r="D281" s="4">
        <v>39850.715277777781</v>
      </c>
      <c r="E281" s="1" t="s">
        <v>320</v>
      </c>
      <c r="F281" s="1" t="s">
        <v>959</v>
      </c>
      <c r="G281" s="5" t="s">
        <v>26</v>
      </c>
      <c r="H281" s="5" t="s">
        <v>27</v>
      </c>
      <c r="I281" s="1" t="s">
        <v>28</v>
      </c>
      <c r="J281" s="1" t="s">
        <v>29</v>
      </c>
      <c r="K281" s="1"/>
      <c r="L281" s="2" t="s">
        <v>963</v>
      </c>
      <c r="M281" s="1"/>
      <c r="N281" s="1"/>
      <c r="O281" s="1"/>
      <c r="P281" s="1"/>
      <c r="Q281" s="1"/>
      <c r="R281" s="1"/>
      <c r="S281" s="1"/>
      <c r="T281" s="1"/>
      <c r="U281" s="1"/>
      <c r="V281" s="1"/>
      <c r="W281" s="1"/>
      <c r="X281" s="1"/>
      <c r="Y281" s="1"/>
      <c r="Z281" s="1"/>
    </row>
    <row r="282" spans="1:26" ht="33.75" customHeight="1">
      <c r="A282" s="1">
        <v>562</v>
      </c>
      <c r="B282" s="1" t="s">
        <v>964</v>
      </c>
      <c r="C282" s="1" t="s">
        <v>926</v>
      </c>
      <c r="D282" s="4">
        <v>39850.71597222222</v>
      </c>
      <c r="E282" s="1" t="s">
        <v>84</v>
      </c>
      <c r="F282" s="1"/>
      <c r="G282" s="1" t="s">
        <v>26</v>
      </c>
      <c r="H282" s="1" t="s">
        <v>133</v>
      </c>
      <c r="I282" s="1" t="s">
        <v>965</v>
      </c>
      <c r="J282" s="1"/>
      <c r="K282" s="1"/>
      <c r="L282" s="2" t="s">
        <v>966</v>
      </c>
      <c r="M282" s="1"/>
      <c r="N282" s="1"/>
      <c r="O282" s="1"/>
      <c r="P282" s="1"/>
      <c r="Q282" s="1"/>
      <c r="R282" s="1"/>
      <c r="S282" s="1"/>
      <c r="T282" s="1"/>
      <c r="U282" s="1"/>
      <c r="V282" s="1"/>
      <c r="W282" s="1"/>
      <c r="X282" s="1"/>
      <c r="Y282" s="1"/>
      <c r="Z282" s="1"/>
    </row>
    <row r="283" spans="1:26" ht="33.75" customHeight="1">
      <c r="A283" s="1">
        <v>563</v>
      </c>
      <c r="B283" s="1" t="s">
        <v>967</v>
      </c>
      <c r="C283" s="1" t="s">
        <v>926</v>
      </c>
      <c r="D283" s="4">
        <v>39850.717361111114</v>
      </c>
      <c r="E283" s="1" t="s">
        <v>14</v>
      </c>
      <c r="F283" s="1"/>
      <c r="G283" s="5" t="s">
        <v>26</v>
      </c>
      <c r="H283" s="5" t="s">
        <v>27</v>
      </c>
      <c r="I283" s="1" t="s">
        <v>968</v>
      </c>
      <c r="J283" s="1"/>
      <c r="K283" s="1"/>
      <c r="L283" s="2" t="s">
        <v>969</v>
      </c>
      <c r="M283" s="1"/>
      <c r="N283" s="1"/>
      <c r="O283" s="1"/>
      <c r="P283" s="1"/>
      <c r="Q283" s="1"/>
      <c r="R283" s="1"/>
      <c r="S283" s="1"/>
      <c r="T283" s="1"/>
      <c r="U283" s="1"/>
      <c r="V283" s="1"/>
      <c r="W283" s="1"/>
      <c r="X283" s="1"/>
      <c r="Y283" s="1"/>
      <c r="Z283" s="1"/>
    </row>
    <row r="284" spans="1:26" ht="33.75" customHeight="1">
      <c r="A284" s="1">
        <v>564</v>
      </c>
      <c r="B284" s="1" t="s">
        <v>970</v>
      </c>
      <c r="C284" s="1" t="s">
        <v>926</v>
      </c>
      <c r="D284" s="4">
        <v>39850.71875</v>
      </c>
      <c r="E284" s="1" t="s">
        <v>84</v>
      </c>
      <c r="F284" s="1"/>
      <c r="G284" s="5" t="s">
        <v>33</v>
      </c>
      <c r="H284" s="5" t="s">
        <v>34</v>
      </c>
      <c r="I284" s="1" t="s">
        <v>35</v>
      </c>
      <c r="J284" s="1"/>
      <c r="K284" s="1"/>
      <c r="L284" s="2" t="s">
        <v>971</v>
      </c>
      <c r="M284" s="1"/>
      <c r="N284" s="1"/>
      <c r="O284" s="1"/>
      <c r="P284" s="1"/>
      <c r="Q284" s="1"/>
      <c r="R284" s="1"/>
      <c r="S284" s="1"/>
      <c r="T284" s="1"/>
      <c r="U284" s="1"/>
      <c r="V284" s="1"/>
      <c r="W284" s="1"/>
      <c r="X284" s="1"/>
      <c r="Y284" s="1"/>
      <c r="Z284" s="1"/>
    </row>
    <row r="285" spans="1:26" ht="33.75" customHeight="1">
      <c r="A285" s="1">
        <v>565</v>
      </c>
      <c r="B285" s="1" t="s">
        <v>972</v>
      </c>
      <c r="C285" s="1" t="s">
        <v>926</v>
      </c>
      <c r="D285" s="4">
        <v>39850.729861111111</v>
      </c>
      <c r="E285" s="1" t="s">
        <v>14</v>
      </c>
      <c r="F285" s="1">
        <v>308</v>
      </c>
      <c r="G285" s="5" t="s">
        <v>15</v>
      </c>
      <c r="H285" s="5" t="s">
        <v>150</v>
      </c>
      <c r="I285" s="1" t="s">
        <v>973</v>
      </c>
      <c r="J285" s="1"/>
      <c r="K285" s="1"/>
      <c r="L285" s="2" t="s">
        <v>974</v>
      </c>
      <c r="M285" s="1"/>
      <c r="N285" s="1"/>
      <c r="O285" s="1"/>
      <c r="P285" s="1"/>
      <c r="Q285" s="1"/>
      <c r="R285" s="1"/>
      <c r="S285" s="1"/>
      <c r="T285" s="1"/>
      <c r="U285" s="1"/>
      <c r="V285" s="1"/>
      <c r="W285" s="1"/>
      <c r="X285" s="1"/>
      <c r="Y285" s="1"/>
      <c r="Z285" s="1"/>
    </row>
    <row r="286" spans="1:26" ht="33.75" customHeight="1">
      <c r="A286" s="1">
        <v>566</v>
      </c>
      <c r="B286" s="1" t="s">
        <v>975</v>
      </c>
      <c r="C286" s="1" t="s">
        <v>926</v>
      </c>
      <c r="D286" s="4">
        <v>39850.742361111108</v>
      </c>
      <c r="E286" s="1" t="s">
        <v>14</v>
      </c>
      <c r="F286" s="1">
        <v>308</v>
      </c>
      <c r="G286" s="5" t="s">
        <v>64</v>
      </c>
      <c r="H286" s="5" t="s">
        <v>282</v>
      </c>
      <c r="I286" s="1" t="s">
        <v>64</v>
      </c>
      <c r="J286" s="1" t="s">
        <v>673</v>
      </c>
      <c r="K286" s="1" t="s">
        <v>976</v>
      </c>
      <c r="L286" s="2" t="s">
        <v>977</v>
      </c>
      <c r="M286" s="1"/>
      <c r="N286" s="1"/>
      <c r="O286" s="1"/>
      <c r="P286" s="1"/>
      <c r="Q286" s="1"/>
      <c r="R286" s="1"/>
      <c r="S286" s="1"/>
      <c r="T286" s="1"/>
      <c r="U286" s="1"/>
      <c r="V286" s="1"/>
      <c r="W286" s="1"/>
      <c r="X286" s="1"/>
      <c r="Y286" s="1"/>
      <c r="Z286" s="1"/>
    </row>
    <row r="287" spans="1:26" ht="33.75" customHeight="1">
      <c r="A287" s="1">
        <v>567</v>
      </c>
      <c r="B287" s="1" t="s">
        <v>978</v>
      </c>
      <c r="C287" s="1" t="s">
        <v>926</v>
      </c>
      <c r="D287" s="4">
        <v>39850.759722222225</v>
      </c>
      <c r="E287" s="1" t="s">
        <v>14</v>
      </c>
      <c r="F287" s="1"/>
      <c r="G287" s="1" t="s">
        <v>64</v>
      </c>
      <c r="H287" s="1" t="s">
        <v>263</v>
      </c>
      <c r="I287" s="1" t="s">
        <v>166</v>
      </c>
      <c r="J287" s="1"/>
      <c r="K287" s="1" t="s">
        <v>979</v>
      </c>
      <c r="L287" s="2" t="s">
        <v>980</v>
      </c>
      <c r="M287" s="1"/>
      <c r="N287" s="1"/>
      <c r="O287" s="1"/>
      <c r="P287" s="1"/>
      <c r="Q287" s="1"/>
      <c r="R287" s="1"/>
      <c r="S287" s="1"/>
      <c r="T287" s="1"/>
      <c r="U287" s="1"/>
      <c r="V287" s="1"/>
      <c r="W287" s="1"/>
      <c r="X287" s="1"/>
      <c r="Y287" s="1"/>
      <c r="Z287" s="1"/>
    </row>
    <row r="288" spans="1:26" ht="33.75" customHeight="1">
      <c r="A288" s="1">
        <v>74</v>
      </c>
      <c r="B288" s="1" t="s">
        <v>981</v>
      </c>
      <c r="C288" s="3" t="s">
        <v>13</v>
      </c>
      <c r="D288" s="4">
        <v>39850.771527777775</v>
      </c>
      <c r="E288" s="1" t="s">
        <v>982</v>
      </c>
      <c r="F288" s="1"/>
      <c r="G288" s="1" t="s">
        <v>15</v>
      </c>
      <c r="H288" s="1" t="s">
        <v>50</v>
      </c>
      <c r="I288" s="1" t="s">
        <v>166</v>
      </c>
      <c r="J288" s="1"/>
      <c r="K288" s="1" t="s">
        <v>983</v>
      </c>
      <c r="L288" s="2" t="s">
        <v>984</v>
      </c>
      <c r="M288" s="1"/>
      <c r="N288" s="1"/>
      <c r="O288" s="1"/>
      <c r="P288" s="1"/>
      <c r="Q288" s="1"/>
      <c r="R288" s="1"/>
      <c r="S288" s="1"/>
      <c r="T288" s="1"/>
      <c r="U288" s="1"/>
      <c r="V288" s="1"/>
      <c r="W288" s="1"/>
      <c r="X288" s="1"/>
      <c r="Y288" s="1"/>
      <c r="Z288" s="1"/>
    </row>
    <row r="289" spans="1:26" ht="33.75" customHeight="1">
      <c r="A289" s="1">
        <v>1648</v>
      </c>
      <c r="B289" s="1" t="s">
        <v>985</v>
      </c>
      <c r="C289" s="1" t="s">
        <v>846</v>
      </c>
      <c r="D289" s="4">
        <v>39850.771527777775</v>
      </c>
      <c r="E289" s="1" t="s">
        <v>84</v>
      </c>
      <c r="F289" s="1"/>
      <c r="G289" s="6" t="s">
        <v>78</v>
      </c>
      <c r="H289" s="5" t="s">
        <v>223</v>
      </c>
      <c r="I289" s="1" t="s">
        <v>840</v>
      </c>
      <c r="J289" s="1" t="s">
        <v>450</v>
      </c>
      <c r="K289" s="1" t="s">
        <v>986</v>
      </c>
      <c r="L289" s="2" t="s">
        <v>987</v>
      </c>
      <c r="M289" s="1"/>
      <c r="N289" s="1"/>
      <c r="O289" s="1"/>
      <c r="P289" s="1"/>
      <c r="Q289" s="1"/>
      <c r="R289" s="1"/>
      <c r="S289" s="1"/>
      <c r="T289" s="1"/>
      <c r="U289" s="1"/>
      <c r="V289" s="1"/>
      <c r="W289" s="1"/>
      <c r="X289" s="1"/>
      <c r="Y289" s="1"/>
      <c r="Z289" s="1"/>
    </row>
    <row r="290" spans="1:26" ht="33.75" customHeight="1">
      <c r="A290" s="1">
        <v>568</v>
      </c>
      <c r="B290" s="1" t="s">
        <v>988</v>
      </c>
      <c r="C290" s="1" t="s">
        <v>926</v>
      </c>
      <c r="D290" s="4">
        <v>39850.772916666669</v>
      </c>
      <c r="E290" s="1" t="s">
        <v>196</v>
      </c>
      <c r="F290" s="1"/>
      <c r="G290" s="6" t="s">
        <v>78</v>
      </c>
      <c r="H290" s="5" t="s">
        <v>479</v>
      </c>
      <c r="I290" s="1" t="s">
        <v>64</v>
      </c>
      <c r="J290" s="1"/>
      <c r="K290" s="1" t="s">
        <v>989</v>
      </c>
      <c r="L290" s="2" t="s">
        <v>990</v>
      </c>
      <c r="M290" s="1"/>
      <c r="N290" s="1"/>
      <c r="O290" s="1"/>
      <c r="P290" s="1"/>
      <c r="Q290" s="1"/>
      <c r="R290" s="1"/>
      <c r="S290" s="1"/>
      <c r="T290" s="1"/>
      <c r="U290" s="1"/>
      <c r="V290" s="1"/>
      <c r="W290" s="1"/>
      <c r="X290" s="1"/>
      <c r="Y290" s="1"/>
      <c r="Z290" s="1"/>
    </row>
    <row r="291" spans="1:26" ht="33.75" customHeight="1">
      <c r="A291" s="1">
        <v>569</v>
      </c>
      <c r="B291" s="1" t="s">
        <v>991</v>
      </c>
      <c r="C291" s="1" t="s">
        <v>926</v>
      </c>
      <c r="D291" s="4">
        <v>39850.802083333336</v>
      </c>
      <c r="E291" s="1" t="s">
        <v>14</v>
      </c>
      <c r="F291" s="1" t="s">
        <v>988</v>
      </c>
      <c r="G291" s="5" t="s">
        <v>15</v>
      </c>
      <c r="H291" s="5" t="s">
        <v>150</v>
      </c>
      <c r="I291" s="1" t="s">
        <v>992</v>
      </c>
      <c r="J291" s="1"/>
      <c r="K291" s="1"/>
      <c r="L291" s="2" t="s">
        <v>993</v>
      </c>
      <c r="M291" s="1"/>
      <c r="N291" s="1"/>
      <c r="O291" s="1"/>
      <c r="P291" s="1"/>
      <c r="Q291" s="1"/>
      <c r="R291" s="1"/>
      <c r="S291" s="1"/>
      <c r="T291" s="1"/>
      <c r="U291" s="1"/>
      <c r="V291" s="1"/>
      <c r="W291" s="1"/>
      <c r="X291" s="1"/>
      <c r="Y291" s="1"/>
      <c r="Z291" s="1"/>
    </row>
    <row r="292" spans="1:26" ht="33.75" customHeight="1">
      <c r="A292" s="1">
        <v>1649</v>
      </c>
      <c r="B292" s="1" t="s">
        <v>994</v>
      </c>
      <c r="C292" s="1" t="s">
        <v>846</v>
      </c>
      <c r="D292" s="4">
        <v>39850.803472222222</v>
      </c>
      <c r="E292" s="1" t="s">
        <v>54</v>
      </c>
      <c r="F292" s="1"/>
      <c r="G292" s="1" t="s">
        <v>64</v>
      </c>
      <c r="H292" s="1" t="s">
        <v>263</v>
      </c>
      <c r="I292" s="1" t="s">
        <v>840</v>
      </c>
      <c r="J292" s="1" t="s">
        <v>450</v>
      </c>
      <c r="K292" s="1"/>
      <c r="L292" s="2" t="s">
        <v>995</v>
      </c>
      <c r="M292" s="1"/>
      <c r="N292" s="1"/>
      <c r="O292" s="1"/>
      <c r="P292" s="1"/>
      <c r="Q292" s="1"/>
      <c r="R292" s="1"/>
      <c r="S292" s="1"/>
      <c r="T292" s="1"/>
      <c r="U292" s="1"/>
      <c r="V292" s="1"/>
      <c r="W292" s="1"/>
      <c r="X292" s="1"/>
      <c r="Y292" s="1"/>
      <c r="Z292" s="1"/>
    </row>
    <row r="293" spans="1:26" ht="33.75" customHeight="1">
      <c r="A293" s="1">
        <v>570</v>
      </c>
      <c r="B293" s="1" t="s">
        <v>996</v>
      </c>
      <c r="C293" s="1" t="s">
        <v>926</v>
      </c>
      <c r="D293" s="4">
        <v>39850.809027777781</v>
      </c>
      <c r="E293" s="1" t="s">
        <v>320</v>
      </c>
      <c r="F293" s="1"/>
      <c r="G293" s="5" t="s">
        <v>26</v>
      </c>
      <c r="H293" s="5" t="s">
        <v>133</v>
      </c>
      <c r="I293" s="1" t="s">
        <v>28</v>
      </c>
      <c r="J293" s="1" t="s">
        <v>134</v>
      </c>
      <c r="K293" s="1"/>
      <c r="L293" s="2" t="s">
        <v>997</v>
      </c>
      <c r="M293" s="1"/>
      <c r="N293" s="1"/>
      <c r="O293" s="1"/>
      <c r="P293" s="1"/>
      <c r="Q293" s="1"/>
      <c r="R293" s="1"/>
      <c r="S293" s="1"/>
      <c r="T293" s="1"/>
      <c r="U293" s="1"/>
      <c r="V293" s="1"/>
      <c r="W293" s="1"/>
      <c r="X293" s="1"/>
      <c r="Y293" s="1"/>
      <c r="Z293" s="1"/>
    </row>
    <row r="294" spans="1:26" ht="33.75" customHeight="1">
      <c r="A294" s="1">
        <v>571</v>
      </c>
      <c r="B294" s="1" t="s">
        <v>998</v>
      </c>
      <c r="C294" s="1" t="s">
        <v>926</v>
      </c>
      <c r="D294" s="4">
        <v>39850.811111111114</v>
      </c>
      <c r="E294" s="1" t="s">
        <v>196</v>
      </c>
      <c r="F294" s="1"/>
      <c r="G294" s="5" t="s">
        <v>26</v>
      </c>
      <c r="H294" s="5" t="s">
        <v>133</v>
      </c>
      <c r="I294" s="1" t="s">
        <v>999</v>
      </c>
      <c r="J294" s="1"/>
      <c r="K294" s="1"/>
      <c r="L294" s="2" t="s">
        <v>1000</v>
      </c>
      <c r="M294" s="1"/>
      <c r="N294" s="1"/>
      <c r="O294" s="1"/>
      <c r="P294" s="1"/>
      <c r="Q294" s="1"/>
      <c r="R294" s="1"/>
      <c r="S294" s="1"/>
      <c r="T294" s="1"/>
      <c r="U294" s="1"/>
      <c r="V294" s="1"/>
      <c r="W294" s="1"/>
      <c r="X294" s="1"/>
      <c r="Y294" s="1"/>
      <c r="Z294" s="1"/>
    </row>
    <row r="295" spans="1:26" ht="33.75" customHeight="1">
      <c r="A295" s="1">
        <v>572</v>
      </c>
      <c r="B295" s="1" t="s">
        <v>1001</v>
      </c>
      <c r="C295" s="1" t="s">
        <v>926</v>
      </c>
      <c r="D295" s="4">
        <v>39850.81527777778</v>
      </c>
      <c r="E295" s="1" t="s">
        <v>14</v>
      </c>
      <c r="F295" s="1" t="s">
        <v>941</v>
      </c>
      <c r="G295" s="5" t="s">
        <v>26</v>
      </c>
      <c r="H295" s="5" t="s">
        <v>133</v>
      </c>
      <c r="I295" s="1" t="s">
        <v>28</v>
      </c>
      <c r="J295" s="1" t="s">
        <v>134</v>
      </c>
      <c r="K295" s="1" t="s">
        <v>26</v>
      </c>
      <c r="L295" s="2" t="s">
        <v>1002</v>
      </c>
      <c r="M295" s="1"/>
      <c r="N295" s="1"/>
      <c r="O295" s="1"/>
      <c r="P295" s="1"/>
      <c r="Q295" s="1"/>
      <c r="R295" s="1"/>
      <c r="S295" s="1"/>
      <c r="T295" s="1"/>
      <c r="U295" s="1"/>
      <c r="V295" s="1"/>
      <c r="W295" s="1"/>
      <c r="X295" s="1"/>
      <c r="Y295" s="1"/>
      <c r="Z295" s="1"/>
    </row>
    <row r="296" spans="1:26" ht="33.75" customHeight="1">
      <c r="A296" s="1">
        <v>573</v>
      </c>
      <c r="B296" s="1" t="s">
        <v>1003</v>
      </c>
      <c r="C296" s="1" t="s">
        <v>926</v>
      </c>
      <c r="D296" s="4">
        <v>39850.815972222219</v>
      </c>
      <c r="E296" s="1" t="s">
        <v>84</v>
      </c>
      <c r="F296" s="1" t="s">
        <v>941</v>
      </c>
      <c r="G296" s="5" t="s">
        <v>26</v>
      </c>
      <c r="H296" s="5" t="s">
        <v>133</v>
      </c>
      <c r="I296" s="1" t="s">
        <v>28</v>
      </c>
      <c r="J296" s="1" t="s">
        <v>134</v>
      </c>
      <c r="K296" s="1" t="s">
        <v>26</v>
      </c>
      <c r="L296" s="2" t="s">
        <v>1004</v>
      </c>
      <c r="M296" s="1"/>
      <c r="N296" s="1"/>
      <c r="O296" s="1"/>
      <c r="P296" s="1"/>
      <c r="Q296" s="1"/>
      <c r="R296" s="1"/>
      <c r="S296" s="1"/>
      <c r="T296" s="1"/>
      <c r="U296" s="1"/>
      <c r="V296" s="1"/>
      <c r="W296" s="1"/>
      <c r="X296" s="1"/>
      <c r="Y296" s="1"/>
      <c r="Z296" s="1"/>
    </row>
    <row r="297" spans="1:26" ht="33.75" customHeight="1">
      <c r="A297" s="1">
        <v>574</v>
      </c>
      <c r="B297" s="1" t="s">
        <v>1005</v>
      </c>
      <c r="C297" s="1" t="s">
        <v>926</v>
      </c>
      <c r="D297" s="4">
        <v>39850.817361111112</v>
      </c>
      <c r="E297" s="1" t="s">
        <v>14</v>
      </c>
      <c r="F297" s="1" t="s">
        <v>1003</v>
      </c>
      <c r="G297" s="5" t="s">
        <v>26</v>
      </c>
      <c r="H297" s="5" t="s">
        <v>133</v>
      </c>
      <c r="I297" s="1" t="s">
        <v>28</v>
      </c>
      <c r="J297" s="1" t="s">
        <v>134</v>
      </c>
      <c r="K297" s="1"/>
      <c r="L297" s="2" t="s">
        <v>1006</v>
      </c>
      <c r="M297" s="1"/>
      <c r="N297" s="1"/>
      <c r="O297" s="1"/>
      <c r="P297" s="1"/>
      <c r="Q297" s="1"/>
      <c r="R297" s="1"/>
      <c r="S297" s="1"/>
      <c r="T297" s="1"/>
      <c r="U297" s="1"/>
      <c r="V297" s="1"/>
      <c r="W297" s="1"/>
      <c r="X297" s="1"/>
      <c r="Y297" s="1"/>
      <c r="Z297" s="1"/>
    </row>
    <row r="298" spans="1:26" ht="33.75" customHeight="1">
      <c r="A298" s="1">
        <v>575</v>
      </c>
      <c r="B298" s="1" t="s">
        <v>1007</v>
      </c>
      <c r="C298" s="1" t="s">
        <v>926</v>
      </c>
      <c r="D298" s="4">
        <v>39850.838888888888</v>
      </c>
      <c r="E298" s="1" t="s">
        <v>14</v>
      </c>
      <c r="F298" s="1"/>
      <c r="G298" s="5" t="s">
        <v>26</v>
      </c>
      <c r="H298" s="5" t="s">
        <v>133</v>
      </c>
      <c r="I298" s="1" t="s">
        <v>28</v>
      </c>
      <c r="J298" s="1" t="s">
        <v>134</v>
      </c>
      <c r="K298" s="1" t="s">
        <v>26</v>
      </c>
      <c r="L298" s="2" t="s">
        <v>1008</v>
      </c>
      <c r="M298" s="1"/>
      <c r="N298" s="1"/>
      <c r="O298" s="1"/>
      <c r="P298" s="1"/>
      <c r="Q298" s="1"/>
      <c r="R298" s="1"/>
      <c r="S298" s="1"/>
      <c r="T298" s="1"/>
      <c r="U298" s="1"/>
      <c r="V298" s="1"/>
      <c r="W298" s="1"/>
      <c r="X298" s="1"/>
      <c r="Y298" s="1"/>
      <c r="Z298" s="1"/>
    </row>
    <row r="299" spans="1:26" ht="33.75" customHeight="1">
      <c r="A299" s="1">
        <v>576</v>
      </c>
      <c r="B299" s="1" t="s">
        <v>1009</v>
      </c>
      <c r="C299" s="1" t="s">
        <v>926</v>
      </c>
      <c r="D299" s="4">
        <v>39850.854166666664</v>
      </c>
      <c r="E299" s="1" t="s">
        <v>196</v>
      </c>
      <c r="F299" s="1">
        <v>319</v>
      </c>
      <c r="G299" s="5" t="s">
        <v>26</v>
      </c>
      <c r="H299" s="5" t="s">
        <v>1010</v>
      </c>
      <c r="I299" s="1" t="s">
        <v>999</v>
      </c>
      <c r="J299" s="1"/>
      <c r="K299" s="1"/>
      <c r="L299" s="2" t="s">
        <v>1011</v>
      </c>
      <c r="M299" s="1"/>
      <c r="N299" s="1"/>
      <c r="O299" s="1"/>
      <c r="P299" s="1"/>
      <c r="Q299" s="1"/>
      <c r="R299" s="1"/>
      <c r="S299" s="1"/>
      <c r="T299" s="1"/>
      <c r="U299" s="1"/>
      <c r="V299" s="1"/>
      <c r="W299" s="1"/>
      <c r="X299" s="1"/>
      <c r="Y299" s="1"/>
      <c r="Z299" s="1"/>
    </row>
    <row r="300" spans="1:26" ht="33.75" customHeight="1">
      <c r="A300" s="1">
        <v>577</v>
      </c>
      <c r="B300" s="1" t="s">
        <v>1012</v>
      </c>
      <c r="C300" s="1" t="s">
        <v>926</v>
      </c>
      <c r="D300" s="4">
        <v>39850.895138888889</v>
      </c>
      <c r="E300" s="1" t="s">
        <v>320</v>
      </c>
      <c r="F300" s="1" t="s">
        <v>1001</v>
      </c>
      <c r="G300" s="5" t="s">
        <v>26</v>
      </c>
      <c r="H300" s="5" t="s">
        <v>133</v>
      </c>
      <c r="I300" s="1" t="s">
        <v>28</v>
      </c>
      <c r="J300" s="1" t="s">
        <v>134</v>
      </c>
      <c r="K300" s="1" t="s">
        <v>26</v>
      </c>
      <c r="L300" s="2" t="s">
        <v>1013</v>
      </c>
      <c r="M300" s="1"/>
      <c r="N300" s="1"/>
      <c r="O300" s="1"/>
      <c r="P300" s="1"/>
      <c r="Q300" s="1"/>
      <c r="R300" s="1"/>
      <c r="S300" s="1"/>
      <c r="T300" s="1"/>
      <c r="U300" s="1"/>
      <c r="V300" s="1"/>
      <c r="W300" s="1"/>
      <c r="X300" s="1"/>
      <c r="Y300" s="1"/>
      <c r="Z300" s="1"/>
    </row>
    <row r="301" spans="1:26" ht="33.75" customHeight="1">
      <c r="A301" s="1">
        <v>578</v>
      </c>
      <c r="B301" s="1" t="s">
        <v>1014</v>
      </c>
      <c r="C301" s="1" t="s">
        <v>926</v>
      </c>
      <c r="D301" s="4">
        <v>39850.900694444441</v>
      </c>
      <c r="E301" s="1" t="s">
        <v>14</v>
      </c>
      <c r="F301" s="1" t="s">
        <v>1012</v>
      </c>
      <c r="G301" s="5" t="s">
        <v>26</v>
      </c>
      <c r="H301" s="5" t="s">
        <v>27</v>
      </c>
      <c r="I301" s="1" t="s">
        <v>28</v>
      </c>
      <c r="J301" s="1" t="s">
        <v>29</v>
      </c>
      <c r="K301" s="1"/>
      <c r="L301" s="2" t="s">
        <v>1015</v>
      </c>
      <c r="M301" s="1"/>
      <c r="N301" s="1"/>
      <c r="O301" s="1"/>
      <c r="P301" s="1"/>
      <c r="Q301" s="1"/>
      <c r="R301" s="1"/>
      <c r="S301" s="1"/>
      <c r="T301" s="1"/>
      <c r="U301" s="1"/>
      <c r="V301" s="1"/>
      <c r="W301" s="1"/>
      <c r="X301" s="1"/>
      <c r="Y301" s="1"/>
      <c r="Z301" s="1"/>
    </row>
    <row r="302" spans="1:26" ht="33.75" customHeight="1">
      <c r="A302" s="1">
        <v>579</v>
      </c>
      <c r="B302" s="1" t="s">
        <v>1016</v>
      </c>
      <c r="C302" s="1" t="s">
        <v>926</v>
      </c>
      <c r="D302" s="4">
        <v>39850.904861111114</v>
      </c>
      <c r="E302" s="1" t="s">
        <v>14</v>
      </c>
      <c r="F302" s="1"/>
      <c r="G302" s="5" t="s">
        <v>15</v>
      </c>
      <c r="H302" s="5" t="s">
        <v>55</v>
      </c>
      <c r="I302" s="1" t="s">
        <v>1017</v>
      </c>
      <c r="J302" s="1"/>
      <c r="K302" s="1" t="s">
        <v>1018</v>
      </c>
      <c r="L302" s="2" t="s">
        <v>1019</v>
      </c>
      <c r="M302" s="1"/>
      <c r="N302" s="1"/>
      <c r="O302" s="1"/>
      <c r="P302" s="1"/>
      <c r="Q302" s="1"/>
      <c r="R302" s="1"/>
      <c r="S302" s="1"/>
      <c r="T302" s="1"/>
      <c r="U302" s="1"/>
      <c r="V302" s="1"/>
      <c r="W302" s="1"/>
      <c r="X302" s="1"/>
      <c r="Y302" s="1"/>
      <c r="Z302" s="1"/>
    </row>
    <row r="303" spans="1:26" ht="33.75" customHeight="1">
      <c r="A303" s="1">
        <v>580</v>
      </c>
      <c r="B303" s="1" t="s">
        <v>1020</v>
      </c>
      <c r="C303" s="1" t="s">
        <v>926</v>
      </c>
      <c r="D303" s="4">
        <v>39850.911805555559</v>
      </c>
      <c r="E303" s="1" t="s">
        <v>196</v>
      </c>
      <c r="F303" s="1" t="s">
        <v>1016</v>
      </c>
      <c r="G303" s="5" t="s">
        <v>26</v>
      </c>
      <c r="H303" s="5" t="s">
        <v>27</v>
      </c>
      <c r="I303" s="1" t="s">
        <v>1021</v>
      </c>
      <c r="J303" s="1"/>
      <c r="K303" s="1"/>
      <c r="L303" s="2" t="s">
        <v>1022</v>
      </c>
      <c r="M303" s="1"/>
      <c r="N303" s="1"/>
      <c r="O303" s="1"/>
      <c r="P303" s="1"/>
      <c r="Q303" s="1"/>
      <c r="R303" s="1"/>
      <c r="S303" s="1"/>
      <c r="T303" s="1"/>
      <c r="U303" s="1"/>
      <c r="V303" s="1"/>
      <c r="W303" s="1"/>
      <c r="X303" s="1"/>
      <c r="Y303" s="1"/>
      <c r="Z303" s="1"/>
    </row>
    <row r="304" spans="1:26" ht="33.75" customHeight="1">
      <c r="A304" s="1">
        <v>581</v>
      </c>
      <c r="B304" s="1" t="s">
        <v>1023</v>
      </c>
      <c r="C304" s="1" t="s">
        <v>926</v>
      </c>
      <c r="D304" s="4">
        <v>39850.96597222222</v>
      </c>
      <c r="E304" s="1" t="s">
        <v>14</v>
      </c>
      <c r="F304" s="1" t="s">
        <v>1020</v>
      </c>
      <c r="G304" s="5" t="s">
        <v>15</v>
      </c>
      <c r="H304" s="5" t="s">
        <v>150</v>
      </c>
      <c r="I304" s="1" t="s">
        <v>1024</v>
      </c>
      <c r="J304" s="1"/>
      <c r="K304" s="1"/>
      <c r="L304" s="2" t="s">
        <v>1025</v>
      </c>
      <c r="M304" s="1"/>
      <c r="N304" s="1"/>
      <c r="O304" s="1"/>
      <c r="P304" s="1"/>
      <c r="Q304" s="1"/>
      <c r="R304" s="1"/>
      <c r="S304" s="1"/>
      <c r="T304" s="1"/>
      <c r="U304" s="1"/>
      <c r="V304" s="1"/>
      <c r="W304" s="1"/>
      <c r="X304" s="1"/>
      <c r="Y304" s="1"/>
      <c r="Z304" s="1"/>
    </row>
    <row r="305" spans="1:26" ht="33.75" customHeight="1">
      <c r="A305" s="1">
        <v>582</v>
      </c>
      <c r="B305" s="1" t="s">
        <v>1026</v>
      </c>
      <c r="C305" s="1" t="s">
        <v>926</v>
      </c>
      <c r="D305" s="4">
        <v>39850.994444444441</v>
      </c>
      <c r="E305" s="1" t="s">
        <v>14</v>
      </c>
      <c r="F305" s="1"/>
      <c r="G305" s="1" t="s">
        <v>64</v>
      </c>
      <c r="H305" s="1" t="s">
        <v>263</v>
      </c>
      <c r="I305" s="1" t="s">
        <v>603</v>
      </c>
      <c r="J305" s="1"/>
      <c r="K305" s="1" t="s">
        <v>1027</v>
      </c>
      <c r="L305" s="2" t="s">
        <v>1028</v>
      </c>
      <c r="M305" s="1"/>
      <c r="N305" s="1"/>
      <c r="O305" s="1"/>
      <c r="P305" s="1"/>
      <c r="Q305" s="1"/>
      <c r="R305" s="1"/>
      <c r="S305" s="1"/>
      <c r="T305" s="1"/>
      <c r="U305" s="1"/>
      <c r="V305" s="1"/>
      <c r="W305" s="1"/>
      <c r="X305" s="1"/>
      <c r="Y305" s="1"/>
      <c r="Z305" s="1"/>
    </row>
    <row r="306" spans="1:26" ht="33.75" customHeight="1">
      <c r="A306" s="1">
        <v>1650</v>
      </c>
      <c r="B306" s="1" t="s">
        <v>1029</v>
      </c>
      <c r="C306" s="1" t="s">
        <v>846</v>
      </c>
      <c r="D306" s="4">
        <v>39851.022916666669</v>
      </c>
      <c r="E306" s="1" t="s">
        <v>474</v>
      </c>
      <c r="F306" s="1" t="s">
        <v>994</v>
      </c>
      <c r="G306" s="6" t="s">
        <v>78</v>
      </c>
      <c r="H306" s="5" t="s">
        <v>223</v>
      </c>
      <c r="I306" s="1" t="s">
        <v>64</v>
      </c>
      <c r="J306" s="1" t="s">
        <v>450</v>
      </c>
      <c r="K306" s="1"/>
      <c r="L306" s="2" t="s">
        <v>1030</v>
      </c>
      <c r="M306" s="1"/>
      <c r="N306" s="1"/>
      <c r="O306" s="1"/>
      <c r="P306" s="1"/>
      <c r="Q306" s="1"/>
      <c r="R306" s="1"/>
      <c r="S306" s="1"/>
      <c r="T306" s="1"/>
      <c r="U306" s="1"/>
      <c r="V306" s="1"/>
      <c r="W306" s="1"/>
      <c r="X306" s="1"/>
      <c r="Y306" s="1"/>
      <c r="Z306" s="1"/>
    </row>
    <row r="307" spans="1:26" ht="33.75" customHeight="1">
      <c r="A307" s="1">
        <v>1651</v>
      </c>
      <c r="B307" s="1" t="s">
        <v>1031</v>
      </c>
      <c r="C307" s="1" t="s">
        <v>846</v>
      </c>
      <c r="D307" s="4">
        <v>39851.027777777781</v>
      </c>
      <c r="E307" s="1" t="s">
        <v>1032</v>
      </c>
      <c r="F307" s="1"/>
      <c r="G307" s="6" t="s">
        <v>78</v>
      </c>
      <c r="H307" s="5" t="s">
        <v>197</v>
      </c>
      <c r="I307" s="1" t="s">
        <v>1033</v>
      </c>
      <c r="J307" s="1"/>
      <c r="K307" s="1"/>
      <c r="L307" s="2" t="s">
        <v>1034</v>
      </c>
      <c r="M307" s="1"/>
      <c r="N307" s="1"/>
      <c r="O307" s="1"/>
      <c r="P307" s="1"/>
      <c r="Q307" s="1"/>
      <c r="R307" s="1"/>
      <c r="S307" s="1"/>
      <c r="T307" s="1"/>
      <c r="U307" s="1"/>
      <c r="V307" s="1"/>
      <c r="W307" s="1"/>
      <c r="X307" s="1"/>
      <c r="Y307" s="1"/>
      <c r="Z307" s="1"/>
    </row>
    <row r="308" spans="1:26" ht="33.75" customHeight="1">
      <c r="A308" s="1">
        <v>583</v>
      </c>
      <c r="B308" s="1" t="s">
        <v>1035</v>
      </c>
      <c r="C308" s="1" t="s">
        <v>926</v>
      </c>
      <c r="D308" s="4">
        <v>39851.074999999997</v>
      </c>
      <c r="E308" s="1" t="s">
        <v>14</v>
      </c>
      <c r="F308" s="1"/>
      <c r="G308" s="1" t="s">
        <v>64</v>
      </c>
      <c r="H308" s="1" t="s">
        <v>263</v>
      </c>
      <c r="I308" s="1" t="s">
        <v>603</v>
      </c>
      <c r="J308" s="1"/>
      <c r="K308" s="1" t="s">
        <v>1027</v>
      </c>
      <c r="L308" s="2" t="s">
        <v>1036</v>
      </c>
      <c r="M308" s="1"/>
      <c r="N308" s="1"/>
      <c r="O308" s="1"/>
      <c r="P308" s="1"/>
      <c r="Q308" s="1"/>
      <c r="R308" s="1"/>
      <c r="S308" s="1"/>
      <c r="T308" s="1"/>
      <c r="U308" s="1"/>
      <c r="V308" s="1"/>
      <c r="W308" s="1"/>
      <c r="X308" s="1"/>
      <c r="Y308" s="1"/>
      <c r="Z308" s="1"/>
    </row>
    <row r="309" spans="1:26" ht="33.75" customHeight="1">
      <c r="A309" s="1">
        <v>1652</v>
      </c>
      <c r="B309" s="1" t="s">
        <v>1037</v>
      </c>
      <c r="C309" s="1" t="s">
        <v>846</v>
      </c>
      <c r="D309" s="4">
        <v>39851.171527777777</v>
      </c>
      <c r="E309" s="1" t="s">
        <v>474</v>
      </c>
      <c r="F309" s="1" t="s">
        <v>1029</v>
      </c>
      <c r="G309" s="5" t="s">
        <v>64</v>
      </c>
      <c r="H309" s="5" t="s">
        <v>179</v>
      </c>
      <c r="I309" s="1" t="s">
        <v>179</v>
      </c>
      <c r="J309" s="1"/>
      <c r="K309" s="1"/>
      <c r="L309" s="2" t="s">
        <v>1038</v>
      </c>
      <c r="M309" s="1"/>
      <c r="N309" s="1"/>
      <c r="O309" s="1"/>
      <c r="P309" s="1"/>
      <c r="Q309" s="1"/>
      <c r="R309" s="1"/>
      <c r="S309" s="1"/>
      <c r="T309" s="1"/>
      <c r="U309" s="1"/>
      <c r="V309" s="1"/>
      <c r="W309" s="1"/>
      <c r="X309" s="1"/>
      <c r="Y309" s="1"/>
      <c r="Z309" s="1"/>
    </row>
    <row r="310" spans="1:26" ht="33.75" customHeight="1">
      <c r="A310" s="1">
        <v>1653</v>
      </c>
      <c r="B310" s="1" t="s">
        <v>1039</v>
      </c>
      <c r="C310" s="1" t="s">
        <v>846</v>
      </c>
      <c r="D310" s="4">
        <v>39851.199305555558</v>
      </c>
      <c r="E310" s="1" t="s">
        <v>474</v>
      </c>
      <c r="F310" s="1" t="s">
        <v>994</v>
      </c>
      <c r="G310" s="6" t="s">
        <v>78</v>
      </c>
      <c r="H310" s="5" t="s">
        <v>223</v>
      </c>
      <c r="I310" s="1" t="s">
        <v>64</v>
      </c>
      <c r="J310" s="1" t="s">
        <v>450</v>
      </c>
      <c r="K310" s="1"/>
      <c r="L310" s="2" t="s">
        <v>1040</v>
      </c>
      <c r="M310" s="1"/>
      <c r="N310" s="1"/>
      <c r="O310" s="1"/>
      <c r="P310" s="1"/>
      <c r="Q310" s="1"/>
      <c r="R310" s="1"/>
      <c r="S310" s="1"/>
      <c r="T310" s="1"/>
      <c r="U310" s="1"/>
      <c r="V310" s="1"/>
      <c r="W310" s="1"/>
      <c r="X310" s="1"/>
      <c r="Y310" s="1"/>
      <c r="Z310" s="1"/>
    </row>
    <row r="311" spans="1:26" ht="33.75" customHeight="1">
      <c r="A311" s="1">
        <v>584</v>
      </c>
      <c r="B311" s="1" t="s">
        <v>1041</v>
      </c>
      <c r="C311" s="1" t="s">
        <v>926</v>
      </c>
      <c r="D311" s="4">
        <v>39851.28402777778</v>
      </c>
      <c r="E311" s="1" t="s">
        <v>196</v>
      </c>
      <c r="F311" s="1"/>
      <c r="G311" s="1" t="s">
        <v>64</v>
      </c>
      <c r="H311" s="1" t="s">
        <v>263</v>
      </c>
      <c r="I311" s="1" t="s">
        <v>968</v>
      </c>
      <c r="J311" s="1"/>
      <c r="K311" s="1" t="s">
        <v>1042</v>
      </c>
      <c r="L311" s="2" t="s">
        <v>1043</v>
      </c>
      <c r="M311" s="1"/>
      <c r="N311" s="1"/>
      <c r="O311" s="1"/>
      <c r="P311" s="1"/>
      <c r="Q311" s="1"/>
      <c r="R311" s="1"/>
      <c r="S311" s="1"/>
      <c r="T311" s="1"/>
      <c r="U311" s="1"/>
      <c r="V311" s="1"/>
      <c r="W311" s="1"/>
      <c r="X311" s="1"/>
      <c r="Y311" s="1"/>
      <c r="Z311" s="1"/>
    </row>
    <row r="312" spans="1:26" ht="33.75" customHeight="1">
      <c r="A312" s="1">
        <v>585</v>
      </c>
      <c r="B312" s="1" t="s">
        <v>1044</v>
      </c>
      <c r="C312" s="1" t="s">
        <v>926</v>
      </c>
      <c r="D312" s="4">
        <v>39851.292361111111</v>
      </c>
      <c r="E312" s="1" t="s">
        <v>196</v>
      </c>
      <c r="F312" s="1"/>
      <c r="G312" s="5" t="s">
        <v>26</v>
      </c>
      <c r="H312" s="5" t="s">
        <v>133</v>
      </c>
      <c r="I312" s="1" t="s">
        <v>28</v>
      </c>
      <c r="J312" s="1" t="s">
        <v>134</v>
      </c>
      <c r="K312" s="1"/>
      <c r="L312" s="2" t="s">
        <v>1045</v>
      </c>
      <c r="M312" s="1"/>
      <c r="N312" s="1"/>
      <c r="O312" s="1"/>
      <c r="P312" s="1"/>
      <c r="Q312" s="1"/>
      <c r="R312" s="1"/>
      <c r="S312" s="1"/>
      <c r="T312" s="1"/>
      <c r="U312" s="1"/>
      <c r="V312" s="1"/>
      <c r="W312" s="1"/>
      <c r="X312" s="1"/>
      <c r="Y312" s="1"/>
      <c r="Z312" s="1"/>
    </row>
    <row r="313" spans="1:26" ht="33.75" customHeight="1">
      <c r="A313" s="1">
        <v>1655</v>
      </c>
      <c r="B313" s="1" t="s">
        <v>1046</v>
      </c>
      <c r="C313" s="1" t="s">
        <v>846</v>
      </c>
      <c r="D313" s="4">
        <v>39851.302777777775</v>
      </c>
      <c r="E313" s="1" t="s">
        <v>84</v>
      </c>
      <c r="F313" s="1" t="s">
        <v>1029</v>
      </c>
      <c r="G313" s="6" t="s">
        <v>78</v>
      </c>
      <c r="H313" s="5" t="s">
        <v>223</v>
      </c>
      <c r="I313" s="1" t="s">
        <v>64</v>
      </c>
      <c r="J313" s="1" t="s">
        <v>450</v>
      </c>
      <c r="K313" s="1"/>
      <c r="L313" s="2" t="s">
        <v>1047</v>
      </c>
      <c r="M313" s="1"/>
      <c r="N313" s="1"/>
      <c r="O313" s="1"/>
      <c r="P313" s="1"/>
      <c r="Q313" s="1"/>
      <c r="R313" s="1"/>
      <c r="S313" s="1"/>
      <c r="T313" s="1"/>
      <c r="U313" s="1"/>
      <c r="V313" s="1"/>
      <c r="W313" s="1"/>
      <c r="X313" s="1"/>
      <c r="Y313" s="1"/>
      <c r="Z313" s="1"/>
    </row>
    <row r="314" spans="1:26" ht="33.75" customHeight="1">
      <c r="A314" s="1">
        <v>1656</v>
      </c>
      <c r="B314" s="1" t="s">
        <v>1048</v>
      </c>
      <c r="C314" s="1" t="s">
        <v>846</v>
      </c>
      <c r="D314" s="4">
        <v>39851.34097222222</v>
      </c>
      <c r="E314" s="1" t="s">
        <v>84</v>
      </c>
      <c r="F314" s="1" t="s">
        <v>1049</v>
      </c>
      <c r="G314" s="6" t="s">
        <v>78</v>
      </c>
      <c r="H314" s="5" t="s">
        <v>223</v>
      </c>
      <c r="I314" s="1" t="s">
        <v>1050</v>
      </c>
      <c r="J314" s="1"/>
      <c r="K314" s="1"/>
      <c r="L314" s="2" t="s">
        <v>1051</v>
      </c>
      <c r="M314" s="1"/>
      <c r="N314" s="1"/>
      <c r="O314" s="1"/>
      <c r="P314" s="1"/>
      <c r="Q314" s="1"/>
      <c r="R314" s="1"/>
      <c r="S314" s="1"/>
      <c r="T314" s="1"/>
      <c r="U314" s="1"/>
      <c r="V314" s="1"/>
      <c r="W314" s="1"/>
      <c r="X314" s="1"/>
      <c r="Y314" s="1"/>
      <c r="Z314" s="1"/>
    </row>
    <row r="315" spans="1:26" ht="33.75" customHeight="1">
      <c r="A315" s="1">
        <v>1657</v>
      </c>
      <c r="B315" s="1" t="s">
        <v>1052</v>
      </c>
      <c r="C315" s="1" t="s">
        <v>846</v>
      </c>
      <c r="D315" s="4">
        <v>39851.37222222222</v>
      </c>
      <c r="E315" s="1" t="s">
        <v>54</v>
      </c>
      <c r="F315" s="1"/>
      <c r="G315" s="5" t="s">
        <v>64</v>
      </c>
      <c r="H315" s="5" t="s">
        <v>1053</v>
      </c>
      <c r="I315" s="1" t="s">
        <v>64</v>
      </c>
      <c r="J315" s="1"/>
      <c r="K315" s="1"/>
      <c r="L315" s="2" t="s">
        <v>1054</v>
      </c>
      <c r="M315" s="1"/>
      <c r="N315" s="1"/>
      <c r="O315" s="1"/>
      <c r="P315" s="1"/>
      <c r="Q315" s="1"/>
      <c r="R315" s="1"/>
      <c r="S315" s="1"/>
      <c r="T315" s="1"/>
      <c r="U315" s="1"/>
      <c r="V315" s="1"/>
      <c r="W315" s="1"/>
      <c r="X315" s="1"/>
      <c r="Y315" s="1"/>
      <c r="Z315" s="1"/>
    </row>
    <row r="316" spans="1:26" ht="33.75" customHeight="1">
      <c r="A316" s="1">
        <v>1658</v>
      </c>
      <c r="B316" s="1" t="s">
        <v>1055</v>
      </c>
      <c r="C316" s="1" t="s">
        <v>846</v>
      </c>
      <c r="D316" s="4">
        <v>39851.38958333333</v>
      </c>
      <c r="E316" s="1" t="s">
        <v>84</v>
      </c>
      <c r="F316" s="1"/>
      <c r="G316" s="5" t="s">
        <v>64</v>
      </c>
      <c r="H316" s="5" t="s">
        <v>179</v>
      </c>
      <c r="I316" s="1" t="s">
        <v>179</v>
      </c>
      <c r="J316" s="1"/>
      <c r="K316" s="1"/>
      <c r="L316" s="2" t="s">
        <v>1056</v>
      </c>
      <c r="M316" s="1"/>
      <c r="N316" s="1"/>
      <c r="O316" s="1"/>
      <c r="P316" s="1"/>
      <c r="Q316" s="1"/>
      <c r="R316" s="1"/>
      <c r="S316" s="1"/>
      <c r="T316" s="1"/>
      <c r="U316" s="1"/>
      <c r="V316" s="1"/>
      <c r="W316" s="1"/>
      <c r="X316" s="1"/>
      <c r="Y316" s="1"/>
      <c r="Z316" s="1"/>
    </row>
    <row r="317" spans="1:26" ht="33.75" customHeight="1">
      <c r="A317" s="1">
        <v>1659</v>
      </c>
      <c r="B317" s="1" t="s">
        <v>1057</v>
      </c>
      <c r="C317" s="1" t="s">
        <v>846</v>
      </c>
      <c r="D317" s="4">
        <v>39851.394444444442</v>
      </c>
      <c r="E317" s="1" t="s">
        <v>474</v>
      </c>
      <c r="F317" s="1"/>
      <c r="G317" s="5" t="s">
        <v>26</v>
      </c>
      <c r="H317" s="5" t="s">
        <v>133</v>
      </c>
      <c r="I317" s="1" t="s">
        <v>28</v>
      </c>
      <c r="J317" s="1" t="s">
        <v>134</v>
      </c>
      <c r="K317" s="1" t="s">
        <v>26</v>
      </c>
      <c r="L317" s="2" t="s">
        <v>1058</v>
      </c>
      <c r="M317" s="1"/>
      <c r="N317" s="1"/>
      <c r="O317" s="1"/>
      <c r="P317" s="1"/>
      <c r="Q317" s="1"/>
      <c r="R317" s="1"/>
      <c r="S317" s="1"/>
      <c r="T317" s="1"/>
      <c r="U317" s="1"/>
      <c r="V317" s="1"/>
      <c r="W317" s="1"/>
      <c r="X317" s="1"/>
      <c r="Y317" s="1"/>
      <c r="Z317" s="1"/>
    </row>
    <row r="318" spans="1:26" ht="33.75" customHeight="1">
      <c r="A318" s="1">
        <v>1660</v>
      </c>
      <c r="B318" s="1" t="s">
        <v>1059</v>
      </c>
      <c r="C318" s="1" t="s">
        <v>846</v>
      </c>
      <c r="D318" s="4">
        <v>39851.40625</v>
      </c>
      <c r="E318" s="1" t="s">
        <v>54</v>
      </c>
      <c r="F318" s="1"/>
      <c r="G318" s="5" t="s">
        <v>64</v>
      </c>
      <c r="H318" s="5" t="s">
        <v>179</v>
      </c>
      <c r="I318" s="1" t="s">
        <v>179</v>
      </c>
      <c r="J318" s="1"/>
      <c r="K318" s="1"/>
      <c r="L318" s="2" t="s">
        <v>1060</v>
      </c>
      <c r="M318" s="1"/>
      <c r="N318" s="1"/>
      <c r="O318" s="1"/>
      <c r="P318" s="1"/>
      <c r="Q318" s="1"/>
      <c r="R318" s="1"/>
      <c r="S318" s="1"/>
      <c r="T318" s="1"/>
      <c r="U318" s="1"/>
      <c r="V318" s="1"/>
      <c r="W318" s="1"/>
      <c r="X318" s="1"/>
      <c r="Y318" s="1"/>
      <c r="Z318" s="1"/>
    </row>
    <row r="319" spans="1:26" ht="33.75" customHeight="1">
      <c r="A319" s="1">
        <v>1661</v>
      </c>
      <c r="B319" s="1" t="s">
        <v>1061</v>
      </c>
      <c r="C319" s="1" t="s">
        <v>846</v>
      </c>
      <c r="D319" s="4">
        <v>39851.425694444442</v>
      </c>
      <c r="E319" s="1" t="s">
        <v>474</v>
      </c>
      <c r="F319" s="1" t="s">
        <v>1062</v>
      </c>
      <c r="G319" s="6" t="s">
        <v>78</v>
      </c>
      <c r="H319" s="5" t="s">
        <v>870</v>
      </c>
      <c r="I319" s="1" t="s">
        <v>480</v>
      </c>
      <c r="J319" s="1" t="s">
        <v>1063</v>
      </c>
      <c r="K319" s="1" t="s">
        <v>1064</v>
      </c>
      <c r="L319" s="2" t="s">
        <v>1065</v>
      </c>
      <c r="M319" s="1"/>
      <c r="N319" s="1"/>
      <c r="O319" s="1"/>
      <c r="P319" s="1"/>
      <c r="Q319" s="1"/>
      <c r="R319" s="1"/>
      <c r="S319" s="1"/>
      <c r="T319" s="1"/>
      <c r="U319" s="1"/>
      <c r="V319" s="1"/>
      <c r="W319" s="1"/>
      <c r="X319" s="1"/>
      <c r="Y319" s="1"/>
      <c r="Z319" s="1"/>
    </row>
    <row r="320" spans="1:26" ht="33.75" customHeight="1">
      <c r="A320" s="1">
        <v>586</v>
      </c>
      <c r="B320" s="1" t="s">
        <v>1066</v>
      </c>
      <c r="C320" s="1" t="s">
        <v>926</v>
      </c>
      <c r="D320" s="4">
        <v>39851.431944444441</v>
      </c>
      <c r="E320" s="1" t="s">
        <v>14</v>
      </c>
      <c r="F320" s="1" t="s">
        <v>1044</v>
      </c>
      <c r="G320" s="5" t="s">
        <v>15</v>
      </c>
      <c r="H320" s="5" t="s">
        <v>150</v>
      </c>
      <c r="I320" s="1" t="s">
        <v>1067</v>
      </c>
      <c r="J320" s="1"/>
      <c r="K320" s="1" t="s">
        <v>1068</v>
      </c>
      <c r="L320" s="2" t="s">
        <v>1069</v>
      </c>
      <c r="M320" s="1"/>
      <c r="N320" s="1"/>
      <c r="O320" s="1"/>
      <c r="P320" s="1"/>
      <c r="Q320" s="1"/>
      <c r="R320" s="1"/>
      <c r="S320" s="1"/>
      <c r="T320" s="1"/>
      <c r="U320" s="1"/>
      <c r="V320" s="1"/>
      <c r="W320" s="1"/>
      <c r="X320" s="1"/>
      <c r="Y320" s="1"/>
      <c r="Z320" s="1"/>
    </row>
    <row r="321" spans="1:26" ht="33.75" customHeight="1">
      <c r="A321" s="1">
        <v>1662</v>
      </c>
      <c r="B321" s="1" t="s">
        <v>1070</v>
      </c>
      <c r="C321" s="1" t="s">
        <v>846</v>
      </c>
      <c r="D321" s="4">
        <v>39851.444444444445</v>
      </c>
      <c r="E321" s="1" t="s">
        <v>474</v>
      </c>
      <c r="F321" s="1" t="s">
        <v>1061</v>
      </c>
      <c r="G321" s="5" t="s">
        <v>64</v>
      </c>
      <c r="H321" s="5" t="s">
        <v>218</v>
      </c>
      <c r="I321" s="1" t="s">
        <v>840</v>
      </c>
      <c r="J321" s="1" t="s">
        <v>450</v>
      </c>
      <c r="K321" s="1"/>
      <c r="L321" s="2" t="s">
        <v>1071</v>
      </c>
      <c r="M321" s="1"/>
      <c r="N321" s="1"/>
      <c r="O321" s="1"/>
      <c r="P321" s="1"/>
      <c r="Q321" s="1"/>
      <c r="R321" s="1"/>
      <c r="S321" s="1"/>
      <c r="T321" s="1"/>
      <c r="U321" s="1"/>
      <c r="V321" s="1"/>
      <c r="W321" s="1"/>
      <c r="X321" s="1"/>
      <c r="Y321" s="1"/>
      <c r="Z321" s="1"/>
    </row>
    <row r="322" spans="1:26" ht="33.75" customHeight="1">
      <c r="A322" s="1">
        <v>75</v>
      </c>
      <c r="B322" s="1" t="s">
        <v>1072</v>
      </c>
      <c r="C322" s="3" t="s">
        <v>13</v>
      </c>
      <c r="D322" s="4">
        <v>39851.510416666664</v>
      </c>
      <c r="E322" s="1" t="s">
        <v>1073</v>
      </c>
      <c r="F322" s="1"/>
      <c r="G322" s="5" t="s">
        <v>15</v>
      </c>
      <c r="H322" s="5" t="s">
        <v>22</v>
      </c>
      <c r="I322" s="1" t="s">
        <v>23</v>
      </c>
      <c r="J322" s="1"/>
      <c r="K322" s="1"/>
      <c r="L322" s="2" t="s">
        <v>1074</v>
      </c>
      <c r="M322" s="1"/>
      <c r="N322" s="1"/>
      <c r="O322" s="1"/>
      <c r="P322" s="1"/>
      <c r="Q322" s="1"/>
      <c r="R322" s="1"/>
      <c r="S322" s="1"/>
      <c r="T322" s="1"/>
      <c r="U322" s="1"/>
      <c r="V322" s="1"/>
      <c r="W322" s="1"/>
      <c r="X322" s="1"/>
      <c r="Y322" s="1"/>
      <c r="Z322" s="1"/>
    </row>
    <row r="323" spans="1:26" ht="33.75" customHeight="1">
      <c r="A323" s="1">
        <v>76</v>
      </c>
      <c r="B323" s="1" t="s">
        <v>1075</v>
      </c>
      <c r="C323" s="3" t="s">
        <v>13</v>
      </c>
      <c r="D323" s="4">
        <v>39851.540277777778</v>
      </c>
      <c r="E323" s="1" t="s">
        <v>1073</v>
      </c>
      <c r="F323" s="1"/>
      <c r="G323" s="5" t="s">
        <v>15</v>
      </c>
      <c r="H323" s="5" t="s">
        <v>22</v>
      </c>
      <c r="I323" s="1" t="s">
        <v>23</v>
      </c>
      <c r="J323" s="1"/>
      <c r="K323" s="1"/>
      <c r="L323" s="2" t="s">
        <v>1076</v>
      </c>
      <c r="M323" s="1"/>
      <c r="N323" s="1"/>
      <c r="O323" s="1"/>
      <c r="P323" s="1"/>
      <c r="Q323" s="1"/>
      <c r="R323" s="1"/>
      <c r="S323" s="1"/>
      <c r="T323" s="1"/>
      <c r="U323" s="1"/>
      <c r="V323" s="1"/>
      <c r="W323" s="1"/>
      <c r="X323" s="1"/>
      <c r="Y323" s="1"/>
      <c r="Z323" s="1"/>
    </row>
    <row r="324" spans="1:26" ht="33.75" customHeight="1">
      <c r="A324" s="1">
        <v>77</v>
      </c>
      <c r="B324" s="1" t="s">
        <v>1077</v>
      </c>
      <c r="C324" s="3" t="s">
        <v>13</v>
      </c>
      <c r="D324" s="4">
        <v>39851.542361111111</v>
      </c>
      <c r="E324" s="1" t="s">
        <v>1078</v>
      </c>
      <c r="F324" s="1"/>
      <c r="G324" s="6" t="s">
        <v>78</v>
      </c>
      <c r="H324" s="5" t="s">
        <v>555</v>
      </c>
      <c r="I324" s="1" t="s">
        <v>555</v>
      </c>
      <c r="J324" s="1"/>
      <c r="K324" s="1" t="s">
        <v>1079</v>
      </c>
      <c r="L324" s="2" t="s">
        <v>1080</v>
      </c>
      <c r="M324" s="1"/>
      <c r="N324" s="1"/>
      <c r="O324" s="1"/>
      <c r="P324" s="1"/>
      <c r="Q324" s="1"/>
      <c r="R324" s="1"/>
      <c r="S324" s="1"/>
      <c r="T324" s="1"/>
      <c r="U324" s="1"/>
      <c r="V324" s="1"/>
      <c r="W324" s="1"/>
      <c r="X324" s="1"/>
      <c r="Y324" s="1"/>
      <c r="Z324" s="1"/>
    </row>
    <row r="325" spans="1:26" ht="33.75" customHeight="1">
      <c r="A325" s="1">
        <v>78</v>
      </c>
      <c r="B325" s="1" t="s">
        <v>1081</v>
      </c>
      <c r="C325" s="3" t="s">
        <v>13</v>
      </c>
      <c r="D325" s="4">
        <v>39851.561111111114</v>
      </c>
      <c r="E325" s="1" t="s">
        <v>1073</v>
      </c>
      <c r="F325" s="1"/>
      <c r="G325" s="5" t="s">
        <v>33</v>
      </c>
      <c r="H325" s="5" t="s">
        <v>34</v>
      </c>
      <c r="I325" s="1" t="s">
        <v>1082</v>
      </c>
      <c r="J325" s="1"/>
      <c r="K325" s="1" t="s">
        <v>1083</v>
      </c>
      <c r="L325" s="2" t="s">
        <v>1084</v>
      </c>
      <c r="M325" s="1"/>
      <c r="N325" s="1"/>
      <c r="O325" s="1"/>
      <c r="P325" s="1"/>
      <c r="Q325" s="1"/>
      <c r="R325" s="1"/>
      <c r="S325" s="1"/>
      <c r="T325" s="1"/>
      <c r="U325" s="1"/>
      <c r="V325" s="1"/>
      <c r="W325" s="1"/>
      <c r="X325" s="1"/>
      <c r="Y325" s="1"/>
      <c r="Z325" s="1"/>
    </row>
    <row r="326" spans="1:26" ht="33.75" customHeight="1">
      <c r="A326" s="1">
        <v>79</v>
      </c>
      <c r="B326" s="1" t="s">
        <v>1085</v>
      </c>
      <c r="C326" s="3" t="s">
        <v>13</v>
      </c>
      <c r="D326" s="4">
        <v>39851.574305555558</v>
      </c>
      <c r="E326" s="1" t="s">
        <v>1073</v>
      </c>
      <c r="F326" s="1" t="s">
        <v>1077</v>
      </c>
      <c r="G326" s="5" t="s">
        <v>15</v>
      </c>
      <c r="H326" s="5" t="s">
        <v>140</v>
      </c>
      <c r="I326" s="1" t="s">
        <v>1086</v>
      </c>
      <c r="J326" s="1"/>
      <c r="K326" s="1"/>
      <c r="L326" s="2" t="s">
        <v>1087</v>
      </c>
      <c r="M326" s="1"/>
      <c r="N326" s="1"/>
      <c r="O326" s="1"/>
      <c r="P326" s="1"/>
      <c r="Q326" s="1"/>
      <c r="R326" s="1"/>
      <c r="S326" s="1"/>
      <c r="T326" s="1"/>
      <c r="U326" s="1"/>
      <c r="V326" s="1"/>
      <c r="W326" s="1"/>
      <c r="X326" s="1"/>
      <c r="Y326" s="1"/>
      <c r="Z326" s="1"/>
    </row>
    <row r="327" spans="1:26" ht="33.75" customHeight="1">
      <c r="A327" s="1">
        <v>1664</v>
      </c>
      <c r="B327" s="1" t="s">
        <v>1088</v>
      </c>
      <c r="C327" s="1" t="s">
        <v>846</v>
      </c>
      <c r="D327" s="4">
        <v>39851.57916666667</v>
      </c>
      <c r="E327" s="1" t="s">
        <v>1089</v>
      </c>
      <c r="F327" s="1"/>
      <c r="G327" s="5" t="s">
        <v>64</v>
      </c>
      <c r="H327" s="5" t="s">
        <v>375</v>
      </c>
      <c r="I327" s="1" t="s">
        <v>64</v>
      </c>
      <c r="J327" s="1"/>
      <c r="K327" s="1"/>
      <c r="L327" s="2" t="s">
        <v>1090</v>
      </c>
      <c r="M327" s="1"/>
      <c r="N327" s="1"/>
      <c r="O327" s="1"/>
      <c r="P327" s="1"/>
      <c r="Q327" s="1"/>
      <c r="R327" s="1"/>
      <c r="S327" s="1"/>
      <c r="T327" s="1"/>
      <c r="U327" s="1"/>
      <c r="V327" s="1"/>
      <c r="W327" s="1"/>
      <c r="X327" s="1"/>
      <c r="Y327" s="1"/>
      <c r="Z327" s="1"/>
    </row>
    <row r="328" spans="1:26" ht="33.75" customHeight="1">
      <c r="A328" s="1">
        <v>80</v>
      </c>
      <c r="B328" s="1" t="s">
        <v>1091</v>
      </c>
      <c r="C328" s="3" t="s">
        <v>13</v>
      </c>
      <c r="D328" s="4">
        <v>39851.590277777781</v>
      </c>
      <c r="E328" s="1" t="s">
        <v>688</v>
      </c>
      <c r="F328" s="1"/>
      <c r="G328" s="5" t="s">
        <v>15</v>
      </c>
      <c r="H328" s="5" t="s">
        <v>22</v>
      </c>
      <c r="I328" s="1" t="s">
        <v>23</v>
      </c>
      <c r="J328" s="1"/>
      <c r="K328" s="1"/>
      <c r="L328" s="2" t="s">
        <v>1092</v>
      </c>
      <c r="M328" s="1"/>
      <c r="N328" s="1"/>
      <c r="O328" s="1"/>
      <c r="P328" s="1"/>
      <c r="Q328" s="1"/>
      <c r="R328" s="1"/>
      <c r="S328" s="1"/>
      <c r="T328" s="1"/>
      <c r="U328" s="1"/>
      <c r="V328" s="1"/>
      <c r="W328" s="1"/>
      <c r="X328" s="1"/>
      <c r="Y328" s="1"/>
      <c r="Z328" s="1"/>
    </row>
    <row r="329" spans="1:26" ht="33.75" customHeight="1">
      <c r="A329" s="1">
        <v>587</v>
      </c>
      <c r="B329" s="1" t="s">
        <v>1093</v>
      </c>
      <c r="C329" s="1" t="s">
        <v>926</v>
      </c>
      <c r="D329" s="4">
        <v>39851.605555555558</v>
      </c>
      <c r="E329" s="1" t="s">
        <v>14</v>
      </c>
      <c r="F329" s="1" t="s">
        <v>1094</v>
      </c>
      <c r="G329" s="5" t="s">
        <v>15</v>
      </c>
      <c r="H329" s="5" t="s">
        <v>150</v>
      </c>
      <c r="I329" s="1" t="s">
        <v>1095</v>
      </c>
      <c r="J329" s="1"/>
      <c r="K329" s="1" t="s">
        <v>1096</v>
      </c>
      <c r="L329" s="2" t="s">
        <v>1097</v>
      </c>
      <c r="M329" s="1"/>
      <c r="N329" s="1"/>
      <c r="O329" s="1"/>
      <c r="P329" s="1"/>
      <c r="Q329" s="1"/>
      <c r="R329" s="1"/>
      <c r="S329" s="1"/>
      <c r="T329" s="1"/>
      <c r="U329" s="1"/>
      <c r="V329" s="1"/>
      <c r="W329" s="1"/>
      <c r="X329" s="1"/>
      <c r="Y329" s="1"/>
      <c r="Z329" s="1"/>
    </row>
    <row r="330" spans="1:26" ht="33.75" customHeight="1">
      <c r="A330" s="1">
        <v>588</v>
      </c>
      <c r="B330" s="1" t="s">
        <v>1098</v>
      </c>
      <c r="C330" s="1" t="s">
        <v>926</v>
      </c>
      <c r="D330" s="4">
        <v>39851.670138888891</v>
      </c>
      <c r="E330" s="1" t="s">
        <v>14</v>
      </c>
      <c r="F330" s="1" t="s">
        <v>1035</v>
      </c>
      <c r="G330" s="5" t="s">
        <v>15</v>
      </c>
      <c r="H330" s="5" t="s">
        <v>150</v>
      </c>
      <c r="I330" s="1" t="s">
        <v>826</v>
      </c>
      <c r="J330" s="1"/>
      <c r="K330" s="1"/>
      <c r="L330" s="2" t="s">
        <v>1099</v>
      </c>
      <c r="M330" s="1"/>
      <c r="N330" s="1"/>
      <c r="O330" s="1"/>
      <c r="P330" s="1"/>
      <c r="Q330" s="1"/>
      <c r="R330" s="1"/>
      <c r="S330" s="1"/>
      <c r="T330" s="1"/>
      <c r="U330" s="1"/>
      <c r="V330" s="1"/>
      <c r="W330" s="1"/>
      <c r="X330" s="1"/>
      <c r="Y330" s="1"/>
      <c r="Z330" s="1"/>
    </row>
    <row r="331" spans="1:26" ht="33.75" customHeight="1">
      <c r="A331" s="1">
        <v>589</v>
      </c>
      <c r="B331" s="1" t="s">
        <v>1100</v>
      </c>
      <c r="C331" s="1" t="s">
        <v>926</v>
      </c>
      <c r="D331" s="4">
        <v>39851.675694444442</v>
      </c>
      <c r="E331" s="1" t="s">
        <v>14</v>
      </c>
      <c r="F331" s="1" t="s">
        <v>1098</v>
      </c>
      <c r="G331" s="5" t="s">
        <v>64</v>
      </c>
      <c r="H331" s="5" t="s">
        <v>282</v>
      </c>
      <c r="I331" s="1" t="s">
        <v>277</v>
      </c>
      <c r="J331" s="1" t="s">
        <v>1101</v>
      </c>
      <c r="K331" s="1"/>
      <c r="L331" s="2" t="s">
        <v>1102</v>
      </c>
      <c r="M331" s="1"/>
      <c r="N331" s="1"/>
      <c r="O331" s="1"/>
      <c r="P331" s="1"/>
      <c r="Q331" s="1"/>
      <c r="R331" s="1"/>
      <c r="S331" s="1"/>
      <c r="T331" s="1"/>
      <c r="U331" s="1"/>
      <c r="V331" s="1"/>
      <c r="W331" s="1"/>
      <c r="X331" s="1"/>
      <c r="Y331" s="1"/>
      <c r="Z331" s="1"/>
    </row>
    <row r="332" spans="1:26" ht="33.75" customHeight="1">
      <c r="A332" s="1">
        <v>590</v>
      </c>
      <c r="B332" s="1" t="s">
        <v>1103</v>
      </c>
      <c r="C332" s="1" t="s">
        <v>926</v>
      </c>
      <c r="D332" s="4">
        <v>39851.706944444442</v>
      </c>
      <c r="E332" s="1" t="s">
        <v>14</v>
      </c>
      <c r="F332" s="1" t="s">
        <v>1100</v>
      </c>
      <c r="G332" s="5" t="s">
        <v>64</v>
      </c>
      <c r="H332" s="5" t="s">
        <v>179</v>
      </c>
      <c r="I332" s="1" t="s">
        <v>179</v>
      </c>
      <c r="J332" s="1"/>
      <c r="K332" s="1" t="s">
        <v>1104</v>
      </c>
      <c r="L332" s="2" t="s">
        <v>1105</v>
      </c>
      <c r="M332" s="1"/>
      <c r="N332" s="1"/>
      <c r="O332" s="1"/>
      <c r="P332" s="1"/>
      <c r="Q332" s="1"/>
      <c r="R332" s="1"/>
      <c r="S332" s="1"/>
      <c r="T332" s="1"/>
      <c r="U332" s="1"/>
      <c r="V332" s="1"/>
      <c r="W332" s="1"/>
      <c r="X332" s="1"/>
      <c r="Y332" s="1"/>
      <c r="Z332" s="1"/>
    </row>
    <row r="333" spans="1:26" ht="33.75" customHeight="1">
      <c r="A333" s="1">
        <v>591</v>
      </c>
      <c r="B333" s="1" t="s">
        <v>1106</v>
      </c>
      <c r="C333" s="1" t="s">
        <v>926</v>
      </c>
      <c r="D333" s="4">
        <v>39851.79791666667</v>
      </c>
      <c r="E333" s="1" t="s">
        <v>474</v>
      </c>
      <c r="F333" s="1"/>
      <c r="G333" s="6" t="s">
        <v>78</v>
      </c>
      <c r="H333" s="5" t="s">
        <v>870</v>
      </c>
      <c r="I333" s="1" t="s">
        <v>1107</v>
      </c>
      <c r="J333" s="1"/>
      <c r="K333" s="1" t="s">
        <v>1108</v>
      </c>
      <c r="L333" s="2" t="s">
        <v>1109</v>
      </c>
      <c r="M333" s="1"/>
      <c r="N333" s="1"/>
      <c r="O333" s="1"/>
      <c r="P333" s="1"/>
      <c r="Q333" s="1"/>
      <c r="R333" s="1"/>
      <c r="S333" s="1"/>
      <c r="T333" s="1"/>
      <c r="U333" s="1"/>
      <c r="V333" s="1"/>
      <c r="W333" s="1"/>
      <c r="X333" s="1"/>
      <c r="Y333" s="1"/>
      <c r="Z333" s="1"/>
    </row>
    <row r="334" spans="1:26" ht="33.75" customHeight="1">
      <c r="A334" s="1">
        <v>1665</v>
      </c>
      <c r="B334" s="1" t="s">
        <v>1110</v>
      </c>
      <c r="C334" s="1" t="s">
        <v>846</v>
      </c>
      <c r="D334" s="4">
        <v>39851.893055555556</v>
      </c>
      <c r="E334" s="1" t="s">
        <v>1089</v>
      </c>
      <c r="F334" s="1"/>
      <c r="G334" s="5" t="s">
        <v>64</v>
      </c>
      <c r="H334" s="1" t="s">
        <v>263</v>
      </c>
      <c r="I334" s="1" t="s">
        <v>64</v>
      </c>
      <c r="J334" s="1"/>
      <c r="K334" s="1"/>
      <c r="L334" s="2" t="s">
        <v>1111</v>
      </c>
      <c r="M334" s="1"/>
      <c r="N334" s="1"/>
      <c r="O334" s="1"/>
      <c r="P334" s="1"/>
      <c r="Q334" s="1"/>
      <c r="R334" s="1"/>
      <c r="S334" s="1"/>
      <c r="T334" s="1"/>
      <c r="U334" s="1"/>
      <c r="V334" s="1"/>
      <c r="W334" s="1"/>
      <c r="X334" s="1"/>
      <c r="Y334" s="1"/>
      <c r="Z334" s="1"/>
    </row>
    <row r="335" spans="1:26" ht="33.75" customHeight="1">
      <c r="A335" s="1">
        <v>592</v>
      </c>
      <c r="B335" s="1" t="s">
        <v>1112</v>
      </c>
      <c r="C335" s="1" t="s">
        <v>926</v>
      </c>
      <c r="D335" s="4">
        <v>39851.913888888892</v>
      </c>
      <c r="E335" s="1" t="s">
        <v>196</v>
      </c>
      <c r="F335" s="1" t="s">
        <v>1066</v>
      </c>
      <c r="G335" s="5" t="s">
        <v>26</v>
      </c>
      <c r="H335" s="5" t="s">
        <v>133</v>
      </c>
      <c r="I335" s="1" t="s">
        <v>28</v>
      </c>
      <c r="J335" s="1" t="s">
        <v>134</v>
      </c>
      <c r="K335" s="1" t="s">
        <v>26</v>
      </c>
      <c r="L335" s="2" t="s">
        <v>1113</v>
      </c>
      <c r="M335" s="1"/>
      <c r="N335" s="1"/>
      <c r="O335" s="1"/>
      <c r="P335" s="1"/>
      <c r="Q335" s="1"/>
      <c r="R335" s="1"/>
      <c r="S335" s="1"/>
      <c r="T335" s="1"/>
      <c r="U335" s="1"/>
      <c r="V335" s="1"/>
      <c r="W335" s="1"/>
      <c r="X335" s="1"/>
      <c r="Y335" s="1"/>
      <c r="Z335" s="1"/>
    </row>
    <row r="336" spans="1:26" ht="33.75" customHeight="1">
      <c r="A336" s="1">
        <v>1666</v>
      </c>
      <c r="B336" s="1" t="s">
        <v>1114</v>
      </c>
      <c r="C336" s="1" t="s">
        <v>846</v>
      </c>
      <c r="D336" s="4">
        <v>39851.920138888891</v>
      </c>
      <c r="E336" s="1" t="s">
        <v>54</v>
      </c>
      <c r="F336" s="1" t="s">
        <v>1115</v>
      </c>
      <c r="G336" s="5" t="s">
        <v>64</v>
      </c>
      <c r="H336" s="1" t="s">
        <v>263</v>
      </c>
      <c r="I336" s="1" t="s">
        <v>64</v>
      </c>
      <c r="J336" s="1"/>
      <c r="K336" s="1"/>
      <c r="L336" s="2" t="s">
        <v>1116</v>
      </c>
      <c r="M336" s="1"/>
      <c r="N336" s="1"/>
      <c r="O336" s="1"/>
      <c r="P336" s="1"/>
      <c r="Q336" s="1"/>
      <c r="R336" s="1"/>
      <c r="S336" s="1"/>
      <c r="T336" s="1"/>
      <c r="U336" s="1"/>
      <c r="V336" s="1"/>
      <c r="W336" s="1"/>
      <c r="X336" s="1"/>
      <c r="Y336" s="1"/>
      <c r="Z336" s="1"/>
    </row>
    <row r="337" spans="1:26" ht="33.75" customHeight="1">
      <c r="A337" s="1">
        <v>593</v>
      </c>
      <c r="B337" s="1" t="s">
        <v>1117</v>
      </c>
      <c r="C337" s="1" t="s">
        <v>926</v>
      </c>
      <c r="D337" s="4">
        <v>39851.945833333331</v>
      </c>
      <c r="E337" s="1" t="s">
        <v>14</v>
      </c>
      <c r="F337" s="1" t="s">
        <v>1118</v>
      </c>
      <c r="G337" s="5" t="s">
        <v>26</v>
      </c>
      <c r="H337" s="5" t="s">
        <v>133</v>
      </c>
      <c r="I337" s="1" t="s">
        <v>28</v>
      </c>
      <c r="J337" s="1" t="s">
        <v>134</v>
      </c>
      <c r="K337" s="1"/>
      <c r="L337" s="2" t="s">
        <v>1119</v>
      </c>
      <c r="M337" s="1"/>
      <c r="N337" s="1"/>
      <c r="O337" s="1"/>
      <c r="P337" s="1"/>
      <c r="Q337" s="1"/>
      <c r="R337" s="1"/>
      <c r="S337" s="1"/>
      <c r="T337" s="1"/>
      <c r="U337" s="1"/>
      <c r="V337" s="1"/>
      <c r="W337" s="1"/>
      <c r="X337" s="1"/>
      <c r="Y337" s="1"/>
      <c r="Z337" s="1"/>
    </row>
    <row r="338" spans="1:26" ht="33.75" customHeight="1">
      <c r="A338" s="1">
        <v>594</v>
      </c>
      <c r="B338" s="1" t="s">
        <v>1120</v>
      </c>
      <c r="C338" s="1" t="s">
        <v>926</v>
      </c>
      <c r="D338" s="4">
        <v>39851.984027777777</v>
      </c>
      <c r="E338" s="1" t="s">
        <v>393</v>
      </c>
      <c r="F338" s="1"/>
      <c r="G338" s="5" t="s">
        <v>26</v>
      </c>
      <c r="H338" s="5" t="s">
        <v>133</v>
      </c>
      <c r="I338" s="1" t="s">
        <v>28</v>
      </c>
      <c r="J338" s="1" t="s">
        <v>134</v>
      </c>
      <c r="K338" s="1"/>
      <c r="L338" s="2" t="s">
        <v>1121</v>
      </c>
      <c r="M338" s="1"/>
      <c r="N338" s="1"/>
      <c r="O338" s="1"/>
      <c r="P338" s="1"/>
      <c r="Q338" s="1"/>
      <c r="R338" s="1"/>
      <c r="S338" s="1"/>
      <c r="T338" s="1"/>
      <c r="U338" s="1"/>
      <c r="V338" s="1"/>
      <c r="W338" s="1"/>
      <c r="X338" s="1"/>
      <c r="Y338" s="1"/>
      <c r="Z338" s="1"/>
    </row>
    <row r="339" spans="1:26" ht="33.75" customHeight="1">
      <c r="A339" s="1">
        <v>595</v>
      </c>
      <c r="B339" s="1" t="s">
        <v>1122</v>
      </c>
      <c r="C339" s="1" t="s">
        <v>926</v>
      </c>
      <c r="D339" s="4">
        <v>39852.001388888886</v>
      </c>
      <c r="E339" s="1" t="s">
        <v>14</v>
      </c>
      <c r="F339" s="1" t="s">
        <v>393</v>
      </c>
      <c r="G339" s="5" t="s">
        <v>64</v>
      </c>
      <c r="H339" s="5" t="s">
        <v>218</v>
      </c>
      <c r="I339" s="1" t="s">
        <v>64</v>
      </c>
      <c r="J339" s="1"/>
      <c r="K339" s="1" t="s">
        <v>1123</v>
      </c>
      <c r="L339" s="2" t="s">
        <v>1124</v>
      </c>
      <c r="M339" s="1"/>
      <c r="N339" s="1"/>
      <c r="O339" s="1"/>
      <c r="P339" s="1"/>
      <c r="Q339" s="1"/>
      <c r="R339" s="1"/>
      <c r="S339" s="1"/>
      <c r="T339" s="1"/>
      <c r="U339" s="1"/>
      <c r="V339" s="1"/>
      <c r="W339" s="1"/>
      <c r="X339" s="1"/>
      <c r="Y339" s="1"/>
      <c r="Z339" s="1"/>
    </row>
    <row r="340" spans="1:26" ht="33.75" customHeight="1">
      <c r="A340" s="1">
        <v>596</v>
      </c>
      <c r="B340" s="1" t="s">
        <v>1125</v>
      </c>
      <c r="C340" s="1" t="s">
        <v>926</v>
      </c>
      <c r="D340" s="4">
        <v>39852.002083333333</v>
      </c>
      <c r="E340" s="1" t="s">
        <v>196</v>
      </c>
      <c r="F340" s="1"/>
      <c r="G340" s="5" t="s">
        <v>15</v>
      </c>
      <c r="H340" s="5" t="s">
        <v>150</v>
      </c>
      <c r="I340" s="1" t="s">
        <v>1126</v>
      </c>
      <c r="J340" s="1"/>
      <c r="K340" s="1" t="s">
        <v>1127</v>
      </c>
      <c r="L340" s="2" t="s">
        <v>1128</v>
      </c>
      <c r="M340" s="1"/>
      <c r="N340" s="1"/>
      <c r="O340" s="1"/>
      <c r="P340" s="1"/>
      <c r="Q340" s="1"/>
      <c r="R340" s="1"/>
      <c r="S340" s="1"/>
      <c r="T340" s="1"/>
      <c r="U340" s="1"/>
      <c r="V340" s="1"/>
      <c r="W340" s="1"/>
      <c r="X340" s="1"/>
      <c r="Y340" s="1"/>
      <c r="Z340" s="1"/>
    </row>
    <row r="341" spans="1:26" ht="33.75" customHeight="1">
      <c r="A341" s="1">
        <v>1667</v>
      </c>
      <c r="B341" s="1" t="s">
        <v>1129</v>
      </c>
      <c r="C341" s="1" t="s">
        <v>846</v>
      </c>
      <c r="D341" s="4">
        <v>39852.009027777778</v>
      </c>
      <c r="E341" s="1" t="s">
        <v>1089</v>
      </c>
      <c r="F341" s="1"/>
      <c r="G341" s="5" t="s">
        <v>64</v>
      </c>
      <c r="H341" s="5" t="s">
        <v>218</v>
      </c>
      <c r="I341" s="1" t="s">
        <v>64</v>
      </c>
      <c r="J341" s="1"/>
      <c r="K341" s="1"/>
      <c r="L341" s="2" t="s">
        <v>1130</v>
      </c>
      <c r="M341" s="1"/>
      <c r="N341" s="1"/>
      <c r="O341" s="1"/>
      <c r="P341" s="1"/>
      <c r="Q341" s="1"/>
      <c r="R341" s="1"/>
      <c r="S341" s="1"/>
      <c r="T341" s="1"/>
      <c r="U341" s="1"/>
      <c r="V341" s="1"/>
      <c r="W341" s="1"/>
      <c r="X341" s="1"/>
      <c r="Y341" s="1"/>
      <c r="Z341" s="1"/>
    </row>
    <row r="342" spans="1:26" ht="33.75" customHeight="1">
      <c r="A342" s="1">
        <v>597</v>
      </c>
      <c r="B342" s="1" t="s">
        <v>1131</v>
      </c>
      <c r="C342" s="1" t="s">
        <v>926</v>
      </c>
      <c r="D342" s="4">
        <v>39852.011805555558</v>
      </c>
      <c r="E342" s="1" t="s">
        <v>393</v>
      </c>
      <c r="F342" s="1"/>
      <c r="G342" s="5" t="s">
        <v>26</v>
      </c>
      <c r="H342" s="5" t="s">
        <v>133</v>
      </c>
      <c r="I342" s="1" t="s">
        <v>28</v>
      </c>
      <c r="J342" s="1" t="s">
        <v>134</v>
      </c>
      <c r="K342" s="1" t="s">
        <v>1132</v>
      </c>
      <c r="L342" s="2" t="s">
        <v>1133</v>
      </c>
      <c r="M342" s="1"/>
      <c r="N342" s="1"/>
      <c r="O342" s="1"/>
      <c r="P342" s="1"/>
      <c r="Q342" s="1"/>
      <c r="R342" s="1"/>
      <c r="S342" s="1"/>
      <c r="T342" s="1"/>
      <c r="U342" s="1"/>
      <c r="V342" s="1"/>
      <c r="W342" s="1"/>
      <c r="X342" s="1"/>
      <c r="Y342" s="1"/>
      <c r="Z342" s="1"/>
    </row>
    <row r="343" spans="1:26" ht="33.75" customHeight="1">
      <c r="A343" s="1">
        <v>598</v>
      </c>
      <c r="B343" s="1" t="s">
        <v>1134</v>
      </c>
      <c r="C343" s="1" t="s">
        <v>926</v>
      </c>
      <c r="D343" s="4">
        <v>39852.022916666669</v>
      </c>
      <c r="E343" s="1" t="s">
        <v>14</v>
      </c>
      <c r="F343" s="1" t="s">
        <v>1131</v>
      </c>
      <c r="G343" s="5" t="s">
        <v>26</v>
      </c>
      <c r="H343" s="5" t="s">
        <v>27</v>
      </c>
      <c r="I343" s="1" t="s">
        <v>28</v>
      </c>
      <c r="J343" s="1" t="s">
        <v>29</v>
      </c>
      <c r="K343" s="1"/>
      <c r="L343" s="2" t="s">
        <v>1135</v>
      </c>
      <c r="M343" s="1"/>
      <c r="N343" s="1"/>
      <c r="O343" s="1"/>
      <c r="P343" s="1"/>
      <c r="Q343" s="1"/>
      <c r="R343" s="1"/>
      <c r="S343" s="1"/>
      <c r="T343" s="1"/>
      <c r="U343" s="1"/>
      <c r="V343" s="1"/>
      <c r="W343" s="1"/>
      <c r="X343" s="1"/>
      <c r="Y343" s="1"/>
      <c r="Z343" s="1"/>
    </row>
    <row r="344" spans="1:26" ht="33.75" customHeight="1">
      <c r="A344" s="1">
        <v>599</v>
      </c>
      <c r="B344" s="1" t="s">
        <v>1136</v>
      </c>
      <c r="C344" s="1" t="s">
        <v>926</v>
      </c>
      <c r="D344" s="4">
        <v>39852.056944444441</v>
      </c>
      <c r="E344" s="1" t="s">
        <v>196</v>
      </c>
      <c r="F344" s="1" t="s">
        <v>1137</v>
      </c>
      <c r="G344" s="5" t="s">
        <v>26</v>
      </c>
      <c r="H344" s="5" t="s">
        <v>27</v>
      </c>
      <c r="I344" s="1" t="s">
        <v>28</v>
      </c>
      <c r="J344" s="1" t="s">
        <v>29</v>
      </c>
      <c r="K344" s="1"/>
      <c r="L344" s="2" t="s">
        <v>1138</v>
      </c>
      <c r="M344" s="1"/>
      <c r="N344" s="1"/>
      <c r="O344" s="1"/>
      <c r="P344" s="1"/>
      <c r="Q344" s="1"/>
      <c r="R344" s="1"/>
      <c r="S344" s="1"/>
      <c r="T344" s="1"/>
      <c r="U344" s="1"/>
      <c r="V344" s="1"/>
      <c r="W344" s="1"/>
      <c r="X344" s="1"/>
      <c r="Y344" s="1"/>
      <c r="Z344" s="1"/>
    </row>
    <row r="345" spans="1:26" ht="33.75" customHeight="1">
      <c r="A345" s="1">
        <v>600</v>
      </c>
      <c r="B345" s="1" t="s">
        <v>1139</v>
      </c>
      <c r="C345" s="1" t="s">
        <v>926</v>
      </c>
      <c r="D345" s="4">
        <v>39852.067361111112</v>
      </c>
      <c r="E345" s="1" t="s">
        <v>196</v>
      </c>
      <c r="F345" s="1" t="s">
        <v>1136</v>
      </c>
      <c r="G345" s="5" t="s">
        <v>64</v>
      </c>
      <c r="H345" s="1" t="s">
        <v>263</v>
      </c>
      <c r="I345" s="1" t="s">
        <v>64</v>
      </c>
      <c r="J345" s="1"/>
      <c r="K345" s="1" t="s">
        <v>1140</v>
      </c>
      <c r="L345" s="2" t="s">
        <v>1141</v>
      </c>
      <c r="M345" s="1"/>
      <c r="N345" s="1"/>
      <c r="O345" s="1"/>
      <c r="P345" s="1"/>
      <c r="Q345" s="1"/>
      <c r="R345" s="1"/>
      <c r="S345" s="1"/>
      <c r="T345" s="1"/>
      <c r="U345" s="1"/>
      <c r="V345" s="1"/>
      <c r="W345" s="1"/>
      <c r="X345" s="1"/>
      <c r="Y345" s="1"/>
      <c r="Z345" s="1"/>
    </row>
    <row r="346" spans="1:26" ht="33.75" customHeight="1">
      <c r="A346" s="1">
        <v>601</v>
      </c>
      <c r="B346" s="1" t="s">
        <v>1142</v>
      </c>
      <c r="C346" s="1" t="s">
        <v>926</v>
      </c>
      <c r="D346" s="4">
        <v>39852.085416666669</v>
      </c>
      <c r="E346" s="1" t="s">
        <v>196</v>
      </c>
      <c r="F346" s="1"/>
      <c r="G346" s="5" t="s">
        <v>64</v>
      </c>
      <c r="H346" s="5" t="s">
        <v>218</v>
      </c>
      <c r="I346" s="1" t="s">
        <v>840</v>
      </c>
      <c r="J346" s="1" t="s">
        <v>1143</v>
      </c>
      <c r="K346" s="1"/>
      <c r="L346" s="2" t="s">
        <v>1144</v>
      </c>
      <c r="M346" s="1"/>
      <c r="N346" s="1"/>
      <c r="O346" s="1"/>
      <c r="P346" s="1"/>
      <c r="Q346" s="1"/>
      <c r="R346" s="1"/>
      <c r="S346" s="1"/>
      <c r="T346" s="1"/>
      <c r="U346" s="1"/>
      <c r="V346" s="1"/>
      <c r="W346" s="1"/>
      <c r="X346" s="1"/>
      <c r="Y346" s="1"/>
      <c r="Z346" s="1"/>
    </row>
    <row r="347" spans="1:26" ht="33.75" customHeight="1">
      <c r="A347" s="1">
        <v>602</v>
      </c>
      <c r="B347" s="1" t="s">
        <v>1145</v>
      </c>
      <c r="C347" s="1" t="s">
        <v>926</v>
      </c>
      <c r="D347" s="4">
        <v>39852.093055555553</v>
      </c>
      <c r="E347" s="1" t="s">
        <v>196</v>
      </c>
      <c r="F347" s="1"/>
      <c r="G347" s="5" t="s">
        <v>15</v>
      </c>
      <c r="H347" s="5" t="s">
        <v>150</v>
      </c>
      <c r="I347" s="1" t="s">
        <v>1146</v>
      </c>
      <c r="J347" s="1"/>
      <c r="K347" s="1" t="s">
        <v>1147</v>
      </c>
      <c r="L347" s="2" t="s">
        <v>1148</v>
      </c>
      <c r="M347" s="1"/>
      <c r="N347" s="1"/>
      <c r="O347" s="1"/>
      <c r="P347" s="1"/>
      <c r="Q347" s="1"/>
      <c r="R347" s="1"/>
      <c r="S347" s="1"/>
      <c r="T347" s="1"/>
      <c r="U347" s="1"/>
      <c r="V347" s="1"/>
      <c r="W347" s="1"/>
      <c r="X347" s="1"/>
      <c r="Y347" s="1"/>
      <c r="Z347" s="1"/>
    </row>
    <row r="348" spans="1:26" ht="33.75" customHeight="1">
      <c r="A348" s="1">
        <v>1668</v>
      </c>
      <c r="B348" s="1" t="s">
        <v>1149</v>
      </c>
      <c r="C348" s="1" t="s">
        <v>846</v>
      </c>
      <c r="D348" s="4">
        <v>39852.103472222225</v>
      </c>
      <c r="E348" s="1" t="s">
        <v>1089</v>
      </c>
      <c r="F348" s="1" t="s">
        <v>1150</v>
      </c>
      <c r="G348" s="5" t="s">
        <v>26</v>
      </c>
      <c r="H348" s="5" t="s">
        <v>27</v>
      </c>
      <c r="I348" s="1" t="s">
        <v>64</v>
      </c>
      <c r="J348" s="1"/>
      <c r="K348" s="1"/>
      <c r="L348" s="2" t="s">
        <v>1151</v>
      </c>
      <c r="M348" s="1"/>
      <c r="N348" s="1"/>
      <c r="O348" s="1"/>
      <c r="P348" s="1"/>
      <c r="Q348" s="1"/>
      <c r="R348" s="1"/>
      <c r="S348" s="1"/>
      <c r="T348" s="1"/>
      <c r="U348" s="1"/>
      <c r="V348" s="1"/>
      <c r="W348" s="1"/>
      <c r="X348" s="1"/>
      <c r="Y348" s="1"/>
      <c r="Z348" s="1"/>
    </row>
    <row r="349" spans="1:26" ht="33.75" customHeight="1">
      <c r="A349" s="1">
        <v>603</v>
      </c>
      <c r="B349" s="1" t="s">
        <v>1152</v>
      </c>
      <c r="C349" s="1" t="s">
        <v>926</v>
      </c>
      <c r="D349" s="4">
        <v>39852.104166666664</v>
      </c>
      <c r="E349" s="1" t="s">
        <v>14</v>
      </c>
      <c r="F349" s="1" t="s">
        <v>1142</v>
      </c>
      <c r="G349" s="5" t="s">
        <v>15</v>
      </c>
      <c r="H349" s="5" t="s">
        <v>150</v>
      </c>
      <c r="I349" s="1" t="s">
        <v>1153</v>
      </c>
      <c r="J349" s="1"/>
      <c r="K349" s="1"/>
      <c r="L349" s="2" t="s">
        <v>1154</v>
      </c>
      <c r="M349" s="1"/>
      <c r="N349" s="1"/>
      <c r="O349" s="1"/>
      <c r="P349" s="1"/>
      <c r="Q349" s="1"/>
      <c r="R349" s="1"/>
      <c r="S349" s="1"/>
      <c r="T349" s="1"/>
      <c r="U349" s="1"/>
      <c r="V349" s="1"/>
      <c r="W349" s="1"/>
      <c r="X349" s="1"/>
      <c r="Y349" s="1"/>
      <c r="Z349" s="1"/>
    </row>
    <row r="350" spans="1:26" ht="33.75" customHeight="1">
      <c r="A350" s="1">
        <v>604</v>
      </c>
      <c r="B350" s="1" t="s">
        <v>1155</v>
      </c>
      <c r="C350" s="1" t="s">
        <v>926</v>
      </c>
      <c r="D350" s="4">
        <v>39852.105555555558</v>
      </c>
      <c r="E350" s="1" t="s">
        <v>14</v>
      </c>
      <c r="F350" s="1"/>
      <c r="G350" s="5" t="s">
        <v>26</v>
      </c>
      <c r="H350" s="5" t="s">
        <v>27</v>
      </c>
      <c r="I350" s="1" t="s">
        <v>28</v>
      </c>
      <c r="J350" s="1" t="s">
        <v>29</v>
      </c>
      <c r="K350" s="1"/>
      <c r="L350" s="2" t="s">
        <v>1156</v>
      </c>
      <c r="M350" s="1"/>
      <c r="N350" s="1"/>
      <c r="O350" s="1"/>
      <c r="P350" s="1"/>
      <c r="Q350" s="1"/>
      <c r="R350" s="1"/>
      <c r="S350" s="1"/>
      <c r="T350" s="1"/>
      <c r="U350" s="1"/>
      <c r="V350" s="1"/>
      <c r="W350" s="1"/>
      <c r="X350" s="1"/>
      <c r="Y350" s="1"/>
      <c r="Z350" s="1"/>
    </row>
    <row r="351" spans="1:26" ht="33.75" customHeight="1">
      <c r="A351" s="1">
        <v>1669</v>
      </c>
      <c r="B351" s="1" t="s">
        <v>1157</v>
      </c>
      <c r="C351" s="1" t="s">
        <v>846</v>
      </c>
      <c r="D351" s="4">
        <v>39852.14166666667</v>
      </c>
      <c r="E351" s="1" t="s">
        <v>474</v>
      </c>
      <c r="F351" s="1"/>
      <c r="G351" s="5" t="s">
        <v>15</v>
      </c>
      <c r="H351" s="5" t="s">
        <v>150</v>
      </c>
      <c r="I351" s="1" t="s">
        <v>1158</v>
      </c>
      <c r="J351" s="1"/>
      <c r="K351" s="1"/>
      <c r="L351" s="2" t="s">
        <v>1159</v>
      </c>
      <c r="M351" s="1"/>
      <c r="N351" s="1"/>
      <c r="O351" s="1"/>
      <c r="P351" s="1"/>
      <c r="Q351" s="1"/>
      <c r="R351" s="1"/>
      <c r="S351" s="1"/>
      <c r="T351" s="1"/>
      <c r="U351" s="1"/>
      <c r="V351" s="1"/>
      <c r="W351" s="1"/>
      <c r="X351" s="1"/>
      <c r="Y351" s="1"/>
      <c r="Z351" s="1"/>
    </row>
    <row r="352" spans="1:26" ht="33.75" customHeight="1">
      <c r="A352" s="1">
        <v>1670</v>
      </c>
      <c r="B352" s="1" t="s">
        <v>1160</v>
      </c>
      <c r="C352" s="1" t="s">
        <v>846</v>
      </c>
      <c r="D352" s="4">
        <v>39852.202777777777</v>
      </c>
      <c r="E352" s="1" t="s">
        <v>474</v>
      </c>
      <c r="F352" s="1" t="s">
        <v>1161</v>
      </c>
      <c r="G352" s="5" t="s">
        <v>64</v>
      </c>
      <c r="H352" s="5" t="s">
        <v>218</v>
      </c>
      <c r="I352" s="1" t="s">
        <v>64</v>
      </c>
      <c r="J352" s="1"/>
      <c r="K352" s="1"/>
      <c r="L352" s="2" t="s">
        <v>1162</v>
      </c>
      <c r="M352" s="1"/>
      <c r="N352" s="1"/>
      <c r="O352" s="1"/>
      <c r="P352" s="1"/>
      <c r="Q352" s="1"/>
      <c r="R352" s="1"/>
      <c r="S352" s="1"/>
      <c r="T352" s="1"/>
      <c r="U352" s="1"/>
      <c r="V352" s="1"/>
      <c r="W352" s="1"/>
      <c r="X352" s="1"/>
      <c r="Y352" s="1"/>
      <c r="Z352" s="1"/>
    </row>
    <row r="353" spans="1:26" ht="33.75" customHeight="1">
      <c r="A353" s="1">
        <v>1671</v>
      </c>
      <c r="B353" s="1" t="s">
        <v>1163</v>
      </c>
      <c r="C353" s="1" t="s">
        <v>846</v>
      </c>
      <c r="D353" s="4">
        <v>39852.238194444442</v>
      </c>
      <c r="E353" s="1" t="s">
        <v>1089</v>
      </c>
      <c r="F353" s="1" t="s">
        <v>1129</v>
      </c>
      <c r="G353" s="6" t="s">
        <v>78</v>
      </c>
      <c r="H353" s="5" t="s">
        <v>479</v>
      </c>
      <c r="I353" s="1" t="s">
        <v>64</v>
      </c>
      <c r="J353" s="1"/>
      <c r="K353" s="1"/>
      <c r="L353" s="2" t="s">
        <v>1164</v>
      </c>
      <c r="M353" s="1"/>
      <c r="N353" s="1"/>
      <c r="O353" s="1"/>
      <c r="P353" s="1"/>
      <c r="Q353" s="1"/>
      <c r="R353" s="1"/>
      <c r="S353" s="1"/>
      <c r="T353" s="1"/>
      <c r="U353" s="1"/>
      <c r="V353" s="1"/>
      <c r="W353" s="1"/>
      <c r="X353" s="1"/>
      <c r="Y353" s="1"/>
      <c r="Z353" s="1"/>
    </row>
    <row r="354" spans="1:26" ht="33.75" customHeight="1">
      <c r="A354" s="1">
        <v>1672</v>
      </c>
      <c r="B354" s="1" t="s">
        <v>1165</v>
      </c>
      <c r="C354" s="1" t="s">
        <v>846</v>
      </c>
      <c r="D354" s="4">
        <v>39852.316666666666</v>
      </c>
      <c r="E354" s="1" t="s">
        <v>54</v>
      </c>
      <c r="F354" s="1" t="s">
        <v>1166</v>
      </c>
      <c r="G354" s="5" t="s">
        <v>26</v>
      </c>
      <c r="H354" s="5" t="s">
        <v>27</v>
      </c>
      <c r="I354" s="1" t="s">
        <v>28</v>
      </c>
      <c r="J354" s="1" t="s">
        <v>259</v>
      </c>
      <c r="K354" s="1" t="s">
        <v>1167</v>
      </c>
      <c r="L354" s="2" t="s">
        <v>1168</v>
      </c>
      <c r="M354" s="1"/>
      <c r="N354" s="1"/>
      <c r="O354" s="1"/>
      <c r="P354" s="1"/>
      <c r="Q354" s="1"/>
      <c r="R354" s="1"/>
      <c r="S354" s="1"/>
      <c r="T354" s="1"/>
      <c r="U354" s="1"/>
      <c r="V354" s="1"/>
      <c r="W354" s="1"/>
      <c r="X354" s="1"/>
      <c r="Y354" s="1"/>
      <c r="Z354" s="1"/>
    </row>
    <row r="355" spans="1:26" ht="33.75" customHeight="1">
      <c r="A355" s="1">
        <v>1674</v>
      </c>
      <c r="B355" s="1" t="s">
        <v>1169</v>
      </c>
      <c r="C355" s="1" t="s">
        <v>846</v>
      </c>
      <c r="D355" s="4">
        <v>39852.339583333334</v>
      </c>
      <c r="E355" s="1" t="s">
        <v>54</v>
      </c>
      <c r="F355" s="1"/>
      <c r="G355" s="5" t="s">
        <v>33</v>
      </c>
      <c r="H355" s="5" t="s">
        <v>34</v>
      </c>
      <c r="I355" s="1" t="s">
        <v>35</v>
      </c>
      <c r="J355" s="1"/>
      <c r="K355" s="1" t="s">
        <v>1170</v>
      </c>
      <c r="L355" s="2" t="s">
        <v>1171</v>
      </c>
      <c r="M355" s="1"/>
      <c r="N355" s="1"/>
      <c r="O355" s="1"/>
      <c r="P355" s="1"/>
      <c r="Q355" s="1"/>
      <c r="R355" s="1"/>
      <c r="S355" s="1"/>
      <c r="T355" s="1"/>
      <c r="U355" s="1"/>
      <c r="V355" s="1"/>
      <c r="W355" s="1"/>
      <c r="X355" s="1"/>
      <c r="Y355" s="1"/>
      <c r="Z355" s="1"/>
    </row>
    <row r="356" spans="1:26" ht="33.75" customHeight="1">
      <c r="A356" s="1">
        <v>605</v>
      </c>
      <c r="B356" s="1" t="s">
        <v>1172</v>
      </c>
      <c r="C356" s="1" t="s">
        <v>926</v>
      </c>
      <c r="D356" s="4">
        <v>39852.35833333333</v>
      </c>
      <c r="E356" s="1" t="s">
        <v>196</v>
      </c>
      <c r="F356" s="1"/>
      <c r="G356" s="1" t="s">
        <v>64</v>
      </c>
      <c r="H356" s="1" t="s">
        <v>263</v>
      </c>
      <c r="I356" s="1" t="s">
        <v>840</v>
      </c>
      <c r="J356" s="1" t="s">
        <v>1173</v>
      </c>
      <c r="K356" s="1"/>
      <c r="L356" s="2" t="s">
        <v>1174</v>
      </c>
      <c r="M356" s="1"/>
      <c r="N356" s="1"/>
      <c r="O356" s="1"/>
      <c r="P356" s="1"/>
      <c r="Q356" s="1"/>
      <c r="R356" s="1"/>
      <c r="S356" s="1"/>
      <c r="T356" s="1"/>
      <c r="U356" s="1"/>
      <c r="V356" s="1"/>
      <c r="W356" s="1"/>
      <c r="X356" s="1"/>
      <c r="Y356" s="1"/>
      <c r="Z356" s="1"/>
    </row>
    <row r="357" spans="1:26" ht="33.75" customHeight="1">
      <c r="A357" s="1">
        <v>606</v>
      </c>
      <c r="B357" s="1" t="s">
        <v>1175</v>
      </c>
      <c r="C357" s="1" t="s">
        <v>926</v>
      </c>
      <c r="D357" s="4">
        <v>39852.364583333336</v>
      </c>
      <c r="E357" s="1" t="s">
        <v>196</v>
      </c>
      <c r="F357" s="1"/>
      <c r="G357" s="6" t="s">
        <v>78</v>
      </c>
      <c r="H357" s="5" t="s">
        <v>88</v>
      </c>
      <c r="I357" s="1" t="s">
        <v>840</v>
      </c>
      <c r="J357" s="1" t="s">
        <v>1173</v>
      </c>
      <c r="K357" s="1"/>
      <c r="L357" s="2" t="s">
        <v>1176</v>
      </c>
      <c r="M357" s="1"/>
      <c r="N357" s="1"/>
      <c r="O357" s="1"/>
      <c r="P357" s="1"/>
      <c r="Q357" s="1"/>
      <c r="R357" s="1"/>
      <c r="S357" s="1"/>
      <c r="T357" s="1"/>
      <c r="U357" s="1"/>
      <c r="V357" s="1"/>
      <c r="W357" s="1"/>
      <c r="X357" s="1"/>
      <c r="Y357" s="1"/>
      <c r="Z357" s="1"/>
    </row>
    <row r="358" spans="1:26" ht="33.75" customHeight="1">
      <c r="A358" s="1">
        <v>81</v>
      </c>
      <c r="B358" s="1" t="s">
        <v>1177</v>
      </c>
      <c r="C358" s="3" t="s">
        <v>13</v>
      </c>
      <c r="D358" s="4">
        <v>39852.477083333331</v>
      </c>
      <c r="E358" s="1" t="s">
        <v>1073</v>
      </c>
      <c r="F358" s="1"/>
      <c r="G358" s="5" t="s">
        <v>15</v>
      </c>
      <c r="H358" s="5" t="s">
        <v>22</v>
      </c>
      <c r="I358" s="1" t="s">
        <v>23</v>
      </c>
      <c r="J358" s="1"/>
      <c r="K358" s="1" t="s">
        <v>1178</v>
      </c>
      <c r="L358" s="2" t="s">
        <v>1179</v>
      </c>
      <c r="M358" s="1"/>
      <c r="N358" s="1"/>
      <c r="O358" s="1"/>
      <c r="P358" s="1"/>
      <c r="Q358" s="1"/>
      <c r="R358" s="1"/>
      <c r="S358" s="1"/>
      <c r="T358" s="1"/>
      <c r="U358" s="1"/>
      <c r="V358" s="1"/>
      <c r="W358" s="1"/>
      <c r="X358" s="1"/>
      <c r="Y358" s="1"/>
      <c r="Z358" s="1"/>
    </row>
    <row r="359" spans="1:26" ht="33.75" customHeight="1">
      <c r="A359" s="1">
        <v>82</v>
      </c>
      <c r="B359" s="1" t="s">
        <v>1180</v>
      </c>
      <c r="C359" s="3" t="s">
        <v>13</v>
      </c>
      <c r="D359" s="4">
        <v>39852.484722222223</v>
      </c>
      <c r="E359" s="1" t="s">
        <v>101</v>
      </c>
      <c r="F359" s="1"/>
      <c r="G359" s="5" t="s">
        <v>39</v>
      </c>
      <c r="H359" s="5" t="s">
        <v>40</v>
      </c>
      <c r="I359" s="1" t="s">
        <v>1181</v>
      </c>
      <c r="J359" s="1"/>
      <c r="K359" s="1"/>
      <c r="L359" s="2" t="s">
        <v>1182</v>
      </c>
      <c r="M359" s="1"/>
      <c r="N359" s="1"/>
      <c r="O359" s="1"/>
      <c r="P359" s="1"/>
      <c r="Q359" s="1"/>
      <c r="R359" s="1"/>
      <c r="S359" s="1"/>
      <c r="T359" s="1"/>
      <c r="U359" s="1"/>
      <c r="V359" s="1"/>
      <c r="W359" s="1"/>
      <c r="X359" s="1"/>
      <c r="Y359" s="1"/>
      <c r="Z359" s="1"/>
    </row>
    <row r="360" spans="1:26" ht="33.75" customHeight="1">
      <c r="A360" s="1">
        <v>607</v>
      </c>
      <c r="B360" s="1" t="s">
        <v>1183</v>
      </c>
      <c r="C360" s="1" t="s">
        <v>926</v>
      </c>
      <c r="D360" s="4">
        <v>39852.493750000001</v>
      </c>
      <c r="E360" s="1" t="s">
        <v>14</v>
      </c>
      <c r="F360" s="1"/>
      <c r="G360" s="5" t="s">
        <v>26</v>
      </c>
      <c r="H360" s="5" t="s">
        <v>133</v>
      </c>
      <c r="I360" s="1" t="s">
        <v>28</v>
      </c>
      <c r="J360" s="1" t="s">
        <v>134</v>
      </c>
      <c r="K360" s="1" t="s">
        <v>26</v>
      </c>
      <c r="L360" s="2" t="s">
        <v>1184</v>
      </c>
      <c r="M360" s="1"/>
      <c r="N360" s="1"/>
      <c r="O360" s="1"/>
      <c r="P360" s="1"/>
      <c r="Q360" s="1"/>
      <c r="R360" s="1"/>
      <c r="S360" s="1"/>
      <c r="T360" s="1"/>
      <c r="U360" s="1"/>
      <c r="V360" s="1"/>
      <c r="W360" s="1"/>
      <c r="X360" s="1"/>
      <c r="Y360" s="1"/>
      <c r="Z360" s="1"/>
    </row>
    <row r="361" spans="1:26" ht="33.75" customHeight="1">
      <c r="A361" s="1">
        <v>83</v>
      </c>
      <c r="B361" s="1" t="s">
        <v>1185</v>
      </c>
      <c r="C361" s="3" t="s">
        <v>13</v>
      </c>
      <c r="D361" s="4">
        <v>39852.497916666667</v>
      </c>
      <c r="E361" s="1" t="s">
        <v>101</v>
      </c>
      <c r="F361" s="1" t="s">
        <v>1177</v>
      </c>
      <c r="G361" s="5" t="s">
        <v>15</v>
      </c>
      <c r="H361" s="5" t="s">
        <v>22</v>
      </c>
      <c r="I361" s="1" t="s">
        <v>23</v>
      </c>
      <c r="J361" s="1"/>
      <c r="K361" s="1"/>
      <c r="L361" s="2" t="s">
        <v>1186</v>
      </c>
      <c r="M361" s="1"/>
      <c r="N361" s="1"/>
      <c r="O361" s="1"/>
      <c r="P361" s="1"/>
      <c r="Q361" s="1"/>
      <c r="R361" s="1"/>
      <c r="S361" s="1"/>
      <c r="T361" s="1"/>
      <c r="U361" s="1"/>
      <c r="V361" s="1"/>
      <c r="W361" s="1"/>
      <c r="X361" s="1"/>
      <c r="Y361" s="1"/>
      <c r="Z361" s="1"/>
    </row>
    <row r="362" spans="1:26" ht="33.75" customHeight="1">
      <c r="A362" s="1">
        <v>84</v>
      </c>
      <c r="B362" s="1" t="s">
        <v>1187</v>
      </c>
      <c r="C362" s="3" t="s">
        <v>13</v>
      </c>
      <c r="D362" s="4">
        <v>39852.504166666666</v>
      </c>
      <c r="E362" s="1" t="s">
        <v>14</v>
      </c>
      <c r="F362" s="1" t="s">
        <v>1177</v>
      </c>
      <c r="G362" s="5" t="s">
        <v>15</v>
      </c>
      <c r="H362" s="5" t="s">
        <v>22</v>
      </c>
      <c r="I362" s="1" t="s">
        <v>23</v>
      </c>
      <c r="J362" s="1"/>
      <c r="K362" s="1" t="s">
        <v>1188</v>
      </c>
      <c r="L362" s="2" t="s">
        <v>1189</v>
      </c>
      <c r="M362" s="1"/>
      <c r="N362" s="1"/>
      <c r="O362" s="1"/>
      <c r="P362" s="1"/>
      <c r="Q362" s="1"/>
      <c r="R362" s="1"/>
      <c r="S362" s="1"/>
      <c r="T362" s="1"/>
      <c r="U362" s="1"/>
      <c r="V362" s="1"/>
      <c r="W362" s="1"/>
      <c r="X362" s="1"/>
      <c r="Y362" s="1"/>
      <c r="Z362" s="1"/>
    </row>
    <row r="363" spans="1:26" ht="33.75" customHeight="1">
      <c r="A363" s="1">
        <v>85</v>
      </c>
      <c r="B363" s="1" t="s">
        <v>1190</v>
      </c>
      <c r="C363" s="3" t="s">
        <v>13</v>
      </c>
      <c r="D363" s="4">
        <v>39852.557638888888</v>
      </c>
      <c r="E363" s="1" t="s">
        <v>101</v>
      </c>
      <c r="F363" s="1" t="s">
        <v>1187</v>
      </c>
      <c r="G363" s="5" t="s">
        <v>15</v>
      </c>
      <c r="H363" s="5" t="s">
        <v>16</v>
      </c>
      <c r="I363" s="1" t="s">
        <v>1191</v>
      </c>
      <c r="J363" s="1"/>
      <c r="K363" s="1" t="s">
        <v>1192</v>
      </c>
      <c r="L363" s="2" t="s">
        <v>1193</v>
      </c>
      <c r="M363" s="1"/>
      <c r="N363" s="1"/>
      <c r="O363" s="1"/>
      <c r="P363" s="1"/>
      <c r="Q363" s="1"/>
      <c r="R363" s="1"/>
      <c r="S363" s="1"/>
      <c r="T363" s="1"/>
      <c r="U363" s="1"/>
      <c r="V363" s="1"/>
      <c r="W363" s="1"/>
      <c r="X363" s="1"/>
      <c r="Y363" s="1"/>
      <c r="Z363" s="1"/>
    </row>
    <row r="364" spans="1:26" ht="33.75" customHeight="1">
      <c r="A364" s="1">
        <v>1675</v>
      </c>
      <c r="B364" s="1" t="s">
        <v>1194</v>
      </c>
      <c r="C364" s="1" t="s">
        <v>846</v>
      </c>
      <c r="D364" s="4">
        <v>39852.574305555558</v>
      </c>
      <c r="E364" s="1" t="s">
        <v>84</v>
      </c>
      <c r="F364" s="1"/>
      <c r="G364" s="5" t="s">
        <v>26</v>
      </c>
      <c r="H364" s="5" t="s">
        <v>27</v>
      </c>
      <c r="I364" s="1" t="s">
        <v>28</v>
      </c>
      <c r="J364" s="1" t="s">
        <v>29</v>
      </c>
      <c r="K364" s="1"/>
      <c r="L364" s="2" t="s">
        <v>1195</v>
      </c>
      <c r="M364" s="1"/>
      <c r="N364" s="1"/>
      <c r="O364" s="1"/>
      <c r="P364" s="1"/>
      <c r="Q364" s="1"/>
      <c r="R364" s="1"/>
      <c r="S364" s="1"/>
      <c r="T364" s="1"/>
      <c r="U364" s="1"/>
      <c r="V364" s="1"/>
      <c r="W364" s="1"/>
      <c r="X364" s="1"/>
      <c r="Y364" s="1"/>
      <c r="Z364" s="1"/>
    </row>
    <row r="365" spans="1:26" ht="33.75" customHeight="1">
      <c r="A365" s="1">
        <v>7</v>
      </c>
      <c r="B365" s="1" t="s">
        <v>12</v>
      </c>
      <c r="C365" s="1" t="s">
        <v>1196</v>
      </c>
      <c r="D365" s="4">
        <v>39852.662118055552</v>
      </c>
      <c r="E365" s="1" t="s">
        <v>14</v>
      </c>
      <c r="F365" s="1"/>
      <c r="G365" s="5" t="s">
        <v>64</v>
      </c>
      <c r="H365" s="5" t="s">
        <v>65</v>
      </c>
      <c r="I365" s="1" t="s">
        <v>64</v>
      </c>
      <c r="J365" s="1"/>
      <c r="K365" s="1"/>
      <c r="L365" s="2" t="s">
        <v>1197</v>
      </c>
      <c r="M365" s="1"/>
      <c r="N365" s="1"/>
      <c r="O365" s="1"/>
      <c r="P365" s="1"/>
      <c r="Q365" s="1"/>
      <c r="R365" s="1"/>
      <c r="S365" s="1"/>
      <c r="T365" s="1"/>
      <c r="U365" s="1"/>
      <c r="V365" s="1"/>
      <c r="W365" s="1"/>
      <c r="X365" s="1"/>
      <c r="Y365" s="1"/>
      <c r="Z365" s="1"/>
    </row>
    <row r="366" spans="1:26" ht="33.75" customHeight="1">
      <c r="A366" s="1">
        <v>86</v>
      </c>
      <c r="B366" s="1" t="s">
        <v>1198</v>
      </c>
      <c r="C366" s="3" t="s">
        <v>13</v>
      </c>
      <c r="D366" s="4">
        <v>39852.727777777778</v>
      </c>
      <c r="E366" s="1" t="s">
        <v>913</v>
      </c>
      <c r="F366" s="1"/>
      <c r="G366" s="5" t="s">
        <v>33</v>
      </c>
      <c r="H366" s="5" t="s">
        <v>34</v>
      </c>
      <c r="I366" s="1" t="s">
        <v>35</v>
      </c>
      <c r="J366" s="1"/>
      <c r="K366" s="1"/>
      <c r="L366" s="2" t="s">
        <v>1199</v>
      </c>
      <c r="M366" s="1"/>
      <c r="N366" s="1"/>
      <c r="O366" s="1"/>
      <c r="P366" s="1"/>
      <c r="Q366" s="1"/>
      <c r="R366" s="1"/>
      <c r="S366" s="1"/>
      <c r="T366" s="1"/>
      <c r="U366" s="1"/>
      <c r="V366" s="1"/>
      <c r="W366" s="1"/>
      <c r="X366" s="1"/>
      <c r="Y366" s="1"/>
      <c r="Z366" s="1"/>
    </row>
    <row r="367" spans="1:26" ht="33.75" customHeight="1">
      <c r="A367" s="1">
        <v>87</v>
      </c>
      <c r="B367" s="1" t="s">
        <v>1200</v>
      </c>
      <c r="C367" s="3" t="s">
        <v>13</v>
      </c>
      <c r="D367" s="4">
        <v>39852.736111111109</v>
      </c>
      <c r="E367" s="1" t="s">
        <v>913</v>
      </c>
      <c r="F367" s="1"/>
      <c r="G367" s="5" t="s">
        <v>33</v>
      </c>
      <c r="H367" s="5" t="s">
        <v>34</v>
      </c>
      <c r="I367" s="1" t="s">
        <v>35</v>
      </c>
      <c r="J367" s="1" t="s">
        <v>1201</v>
      </c>
      <c r="K367" s="1"/>
      <c r="L367" s="2" t="s">
        <v>1202</v>
      </c>
      <c r="M367" s="1"/>
      <c r="N367" s="1"/>
      <c r="O367" s="1"/>
      <c r="P367" s="1"/>
      <c r="Q367" s="1"/>
      <c r="R367" s="1"/>
      <c r="S367" s="1"/>
      <c r="T367" s="1"/>
      <c r="U367" s="1"/>
      <c r="V367" s="1"/>
      <c r="W367" s="1"/>
      <c r="X367" s="1"/>
      <c r="Y367" s="1"/>
      <c r="Z367" s="1"/>
    </row>
    <row r="368" spans="1:26" ht="33.75" customHeight="1">
      <c r="A368" s="1">
        <v>621</v>
      </c>
      <c r="B368" s="1" t="s">
        <v>1203</v>
      </c>
      <c r="C368" s="1" t="s">
        <v>1196</v>
      </c>
      <c r="D368" s="4">
        <v>39852.755555555559</v>
      </c>
      <c r="E368" s="1" t="s">
        <v>14</v>
      </c>
      <c r="F368" s="1"/>
      <c r="G368" s="5" t="s">
        <v>26</v>
      </c>
      <c r="H368" s="5" t="s">
        <v>133</v>
      </c>
      <c r="I368" s="1" t="s">
        <v>28</v>
      </c>
      <c r="J368" s="1" t="s">
        <v>134</v>
      </c>
      <c r="K368" s="1" t="s">
        <v>1204</v>
      </c>
      <c r="L368" s="2" t="s">
        <v>1205</v>
      </c>
      <c r="M368" s="1"/>
      <c r="N368" s="1"/>
      <c r="O368" s="1"/>
      <c r="P368" s="1"/>
      <c r="Q368" s="1"/>
      <c r="R368" s="1"/>
      <c r="S368" s="1"/>
      <c r="T368" s="1"/>
      <c r="U368" s="1"/>
      <c r="V368" s="1"/>
      <c r="W368" s="1"/>
      <c r="X368" s="1"/>
      <c r="Y368" s="1"/>
      <c r="Z368" s="1"/>
    </row>
    <row r="369" spans="1:26" ht="33.75" customHeight="1">
      <c r="A369" s="1">
        <v>1676</v>
      </c>
      <c r="B369" s="1" t="s">
        <v>1206</v>
      </c>
      <c r="C369" s="1" t="s">
        <v>846</v>
      </c>
      <c r="D369" s="4">
        <v>39852.763194444444</v>
      </c>
      <c r="E369" s="1" t="s">
        <v>110</v>
      </c>
      <c r="F369" s="1"/>
      <c r="G369" s="5" t="s">
        <v>64</v>
      </c>
      <c r="H369" s="5" t="s">
        <v>179</v>
      </c>
      <c r="I369" s="1" t="s">
        <v>179</v>
      </c>
      <c r="J369" s="1"/>
      <c r="K369" s="1"/>
      <c r="L369" s="2" t="s">
        <v>1207</v>
      </c>
      <c r="M369" s="1"/>
      <c r="N369" s="1"/>
      <c r="O369" s="1"/>
      <c r="P369" s="1"/>
      <c r="Q369" s="1"/>
      <c r="R369" s="1"/>
      <c r="S369" s="1"/>
      <c r="T369" s="1"/>
      <c r="U369" s="1"/>
      <c r="V369" s="1"/>
      <c r="W369" s="1"/>
      <c r="X369" s="1"/>
      <c r="Y369" s="1"/>
      <c r="Z369" s="1"/>
    </row>
    <row r="370" spans="1:26" ht="33.75" customHeight="1">
      <c r="A370" s="1">
        <v>609</v>
      </c>
      <c r="B370" s="1" t="s">
        <v>1208</v>
      </c>
      <c r="C370" s="1" t="s">
        <v>926</v>
      </c>
      <c r="D370" s="4">
        <v>39852.765277777777</v>
      </c>
      <c r="E370" s="1" t="s">
        <v>196</v>
      </c>
      <c r="F370" s="1"/>
      <c r="G370" s="5" t="s">
        <v>64</v>
      </c>
      <c r="H370" s="1" t="s">
        <v>218</v>
      </c>
      <c r="I370" s="1" t="s">
        <v>64</v>
      </c>
      <c r="J370" s="1"/>
      <c r="K370" s="1"/>
      <c r="L370" s="2" t="s">
        <v>1209</v>
      </c>
      <c r="M370" s="1"/>
      <c r="N370" s="1"/>
      <c r="O370" s="1"/>
      <c r="P370" s="1"/>
      <c r="Q370" s="1"/>
      <c r="R370" s="1"/>
      <c r="S370" s="1"/>
      <c r="T370" s="1"/>
      <c r="U370" s="1"/>
      <c r="V370" s="1"/>
      <c r="W370" s="1"/>
      <c r="X370" s="1"/>
      <c r="Y370" s="1"/>
      <c r="Z370" s="1"/>
    </row>
    <row r="371" spans="1:26" ht="33.75" customHeight="1">
      <c r="A371" s="1">
        <v>622</v>
      </c>
      <c r="B371" s="1" t="s">
        <v>1210</v>
      </c>
      <c r="C371" s="1" t="s">
        <v>1196</v>
      </c>
      <c r="D371" s="4">
        <v>39852.771527777775</v>
      </c>
      <c r="E371" s="1" t="s">
        <v>14</v>
      </c>
      <c r="F371" s="1"/>
      <c r="G371" s="5" t="s">
        <v>64</v>
      </c>
      <c r="H371" s="1" t="s">
        <v>218</v>
      </c>
      <c r="I371" s="1" t="s">
        <v>64</v>
      </c>
      <c r="J371" s="1"/>
      <c r="K371" s="1"/>
      <c r="L371" s="2" t="s">
        <v>1211</v>
      </c>
      <c r="M371" s="1"/>
      <c r="N371" s="1"/>
      <c r="O371" s="1"/>
      <c r="P371" s="1"/>
      <c r="Q371" s="1"/>
      <c r="R371" s="1"/>
      <c r="S371" s="1"/>
      <c r="T371" s="1"/>
      <c r="U371" s="1"/>
      <c r="V371" s="1"/>
      <c r="W371" s="1"/>
      <c r="X371" s="1"/>
      <c r="Y371" s="1"/>
      <c r="Z371" s="1"/>
    </row>
    <row r="372" spans="1:26" ht="33.75" customHeight="1">
      <c r="A372" s="1">
        <v>610</v>
      </c>
      <c r="B372" s="1" t="s">
        <v>1212</v>
      </c>
      <c r="C372" s="1" t="s">
        <v>926</v>
      </c>
      <c r="D372" s="4">
        <v>39852.775694444441</v>
      </c>
      <c r="E372" s="1" t="s">
        <v>14</v>
      </c>
      <c r="F372" s="1"/>
      <c r="G372" s="5" t="s">
        <v>15</v>
      </c>
      <c r="H372" s="5" t="s">
        <v>792</v>
      </c>
      <c r="I372" s="1" t="s">
        <v>1213</v>
      </c>
      <c r="J372" s="1"/>
      <c r="K372" s="1"/>
      <c r="L372" s="2" t="s">
        <v>1214</v>
      </c>
      <c r="M372" s="1"/>
      <c r="N372" s="1"/>
      <c r="O372" s="1"/>
      <c r="P372" s="1"/>
      <c r="Q372" s="1"/>
      <c r="R372" s="1"/>
      <c r="S372" s="1"/>
      <c r="T372" s="1"/>
      <c r="U372" s="1"/>
      <c r="V372" s="1"/>
      <c r="W372" s="1"/>
      <c r="X372" s="1"/>
      <c r="Y372" s="1"/>
      <c r="Z372" s="1"/>
    </row>
    <row r="373" spans="1:26" ht="33.75" customHeight="1">
      <c r="A373" s="1">
        <v>623</v>
      </c>
      <c r="B373" s="1" t="s">
        <v>1215</v>
      </c>
      <c r="C373" s="1" t="s">
        <v>1196</v>
      </c>
      <c r="D373" s="4">
        <v>39852.77847222222</v>
      </c>
      <c r="E373" s="1" t="s">
        <v>54</v>
      </c>
      <c r="F373" s="1" t="s">
        <v>1216</v>
      </c>
      <c r="G373" s="5" t="s">
        <v>26</v>
      </c>
      <c r="H373" s="5" t="s">
        <v>27</v>
      </c>
      <c r="I373" s="1" t="s">
        <v>28</v>
      </c>
      <c r="J373" s="1" t="s">
        <v>29</v>
      </c>
      <c r="K373" s="1"/>
      <c r="L373" s="2" t="s">
        <v>1217</v>
      </c>
      <c r="M373" s="1"/>
      <c r="N373" s="1"/>
      <c r="O373" s="1"/>
      <c r="P373" s="1"/>
      <c r="Q373" s="1"/>
      <c r="R373" s="1"/>
      <c r="S373" s="1"/>
      <c r="T373" s="1"/>
      <c r="U373" s="1"/>
      <c r="V373" s="1"/>
      <c r="W373" s="1"/>
      <c r="X373" s="1"/>
      <c r="Y373" s="1"/>
      <c r="Z373" s="1"/>
    </row>
    <row r="374" spans="1:26" ht="33.75" customHeight="1">
      <c r="A374" s="1">
        <v>624</v>
      </c>
      <c r="B374" s="1" t="s">
        <v>1218</v>
      </c>
      <c r="C374" s="1" t="s">
        <v>1196</v>
      </c>
      <c r="D374" s="4">
        <v>39852.787499999999</v>
      </c>
      <c r="E374" s="1" t="s">
        <v>14</v>
      </c>
      <c r="F374" s="1" t="s">
        <v>1215</v>
      </c>
      <c r="G374" s="5" t="s">
        <v>26</v>
      </c>
      <c r="H374" s="5" t="s">
        <v>133</v>
      </c>
      <c r="I374" s="1" t="s">
        <v>228</v>
      </c>
      <c r="J374" s="1"/>
      <c r="K374" s="1" t="s">
        <v>1219</v>
      </c>
      <c r="L374" s="2" t="s">
        <v>1220</v>
      </c>
      <c r="M374" s="1"/>
      <c r="N374" s="1"/>
      <c r="O374" s="1"/>
      <c r="P374" s="1"/>
      <c r="Q374" s="1"/>
      <c r="R374" s="1"/>
      <c r="S374" s="1"/>
      <c r="T374" s="1"/>
      <c r="U374" s="1"/>
      <c r="V374" s="1"/>
      <c r="W374" s="1"/>
      <c r="X374" s="1"/>
      <c r="Y374" s="1"/>
      <c r="Z374" s="1"/>
    </row>
    <row r="375" spans="1:26" ht="33.75" customHeight="1">
      <c r="A375" s="1">
        <v>1677</v>
      </c>
      <c r="B375" s="1" t="s">
        <v>1221</v>
      </c>
      <c r="C375" s="1" t="s">
        <v>846</v>
      </c>
      <c r="D375" s="4">
        <v>39852.795138888891</v>
      </c>
      <c r="E375" s="1" t="s">
        <v>1089</v>
      </c>
      <c r="F375" s="1"/>
      <c r="G375" s="5" t="s">
        <v>33</v>
      </c>
      <c r="H375" s="5" t="s">
        <v>34</v>
      </c>
      <c r="I375" s="1" t="s">
        <v>35</v>
      </c>
      <c r="J375" s="1"/>
      <c r="K375" s="1"/>
      <c r="L375" s="2" t="s">
        <v>1222</v>
      </c>
      <c r="M375" s="1"/>
      <c r="N375" s="1"/>
      <c r="O375" s="1"/>
      <c r="P375" s="1"/>
      <c r="Q375" s="1"/>
      <c r="R375" s="1"/>
      <c r="S375" s="1"/>
      <c r="T375" s="1"/>
      <c r="U375" s="1"/>
      <c r="V375" s="1"/>
      <c r="W375" s="1"/>
      <c r="X375" s="1"/>
      <c r="Y375" s="1"/>
      <c r="Z375" s="1"/>
    </row>
    <row r="376" spans="1:26" ht="33.75" customHeight="1">
      <c r="A376" s="1">
        <v>1678</v>
      </c>
      <c r="B376" s="1" t="s">
        <v>1223</v>
      </c>
      <c r="C376" s="1" t="s">
        <v>846</v>
      </c>
      <c r="D376" s="4">
        <v>39852.795138888891</v>
      </c>
      <c r="E376" s="1" t="s">
        <v>1224</v>
      </c>
      <c r="F376" s="1" t="s">
        <v>1225</v>
      </c>
      <c r="G376" s="6" t="s">
        <v>78</v>
      </c>
      <c r="H376" s="5" t="s">
        <v>79</v>
      </c>
      <c r="I376" s="1" t="s">
        <v>35</v>
      </c>
      <c r="J376" s="1"/>
      <c r="K376" s="1"/>
      <c r="L376" s="2" t="s">
        <v>1226</v>
      </c>
      <c r="M376" s="1"/>
      <c r="N376" s="1"/>
      <c r="O376" s="1"/>
      <c r="P376" s="1"/>
      <c r="Q376" s="1"/>
      <c r="R376" s="1"/>
      <c r="S376" s="1"/>
      <c r="T376" s="1"/>
      <c r="U376" s="1"/>
      <c r="V376" s="1"/>
      <c r="W376" s="1"/>
      <c r="X376" s="1"/>
      <c r="Y376" s="1"/>
      <c r="Z376" s="1"/>
    </row>
    <row r="377" spans="1:26" ht="33.75" customHeight="1">
      <c r="A377" s="1">
        <v>611</v>
      </c>
      <c r="B377" s="1" t="s">
        <v>1227</v>
      </c>
      <c r="C377" s="1" t="s">
        <v>926</v>
      </c>
      <c r="D377" s="4">
        <v>39852.809027777781</v>
      </c>
      <c r="E377" s="1" t="s">
        <v>393</v>
      </c>
      <c r="F377" s="1">
        <v>355</v>
      </c>
      <c r="G377" s="6" t="s">
        <v>78</v>
      </c>
      <c r="H377" s="5" t="s">
        <v>479</v>
      </c>
      <c r="I377" s="1" t="s">
        <v>64</v>
      </c>
      <c r="J377" s="1"/>
      <c r="K377" s="1"/>
      <c r="L377" s="2" t="s">
        <v>1228</v>
      </c>
      <c r="M377" s="1"/>
      <c r="N377" s="1"/>
      <c r="O377" s="1"/>
      <c r="P377" s="1"/>
      <c r="Q377" s="1"/>
      <c r="R377" s="1"/>
      <c r="S377" s="1"/>
      <c r="T377" s="1"/>
      <c r="U377" s="1"/>
      <c r="V377" s="1"/>
      <c r="W377" s="1"/>
      <c r="X377" s="1"/>
      <c r="Y377" s="1"/>
      <c r="Z377" s="1"/>
    </row>
    <row r="378" spans="1:26" ht="33.75" customHeight="1">
      <c r="A378" s="1">
        <v>612</v>
      </c>
      <c r="B378" s="1" t="s">
        <v>1229</v>
      </c>
      <c r="C378" s="1" t="s">
        <v>926</v>
      </c>
      <c r="D378" s="4">
        <v>39852.8125</v>
      </c>
      <c r="E378" s="1" t="s">
        <v>393</v>
      </c>
      <c r="F378" s="1"/>
      <c r="G378" s="5" t="s">
        <v>64</v>
      </c>
      <c r="H378" s="5" t="s">
        <v>179</v>
      </c>
      <c r="I378" s="1" t="s">
        <v>1230</v>
      </c>
      <c r="J378" s="1"/>
      <c r="K378" s="1"/>
      <c r="L378" s="2" t="s">
        <v>1231</v>
      </c>
      <c r="M378" s="1"/>
      <c r="N378" s="1"/>
      <c r="O378" s="1"/>
      <c r="P378" s="1"/>
      <c r="Q378" s="1"/>
      <c r="R378" s="1"/>
      <c r="S378" s="1"/>
      <c r="T378" s="1"/>
      <c r="U378" s="1"/>
      <c r="V378" s="1"/>
      <c r="W378" s="1"/>
      <c r="X378" s="1"/>
      <c r="Y378" s="1"/>
      <c r="Z378" s="1"/>
    </row>
    <row r="379" spans="1:26" ht="33.75" customHeight="1">
      <c r="A379" s="1">
        <v>625</v>
      </c>
      <c r="B379" s="1" t="s">
        <v>1232</v>
      </c>
      <c r="C379" s="1" t="s">
        <v>1196</v>
      </c>
      <c r="D379" s="4">
        <v>39852.822916666664</v>
      </c>
      <c r="E379" s="1" t="s">
        <v>14</v>
      </c>
      <c r="F379" s="1" t="s">
        <v>1210</v>
      </c>
      <c r="G379" s="5" t="s">
        <v>15</v>
      </c>
      <c r="H379" s="5" t="s">
        <v>150</v>
      </c>
      <c r="I379" s="1" t="s">
        <v>999</v>
      </c>
      <c r="J379" s="1"/>
      <c r="K379" s="1" t="s">
        <v>1233</v>
      </c>
      <c r="L379" s="2" t="s">
        <v>1234</v>
      </c>
      <c r="M379" s="1"/>
      <c r="N379" s="1"/>
      <c r="O379" s="1"/>
      <c r="P379" s="1"/>
      <c r="Q379" s="1"/>
      <c r="R379" s="1"/>
      <c r="S379" s="1"/>
      <c r="T379" s="1"/>
      <c r="U379" s="1"/>
      <c r="V379" s="1"/>
      <c r="W379" s="1"/>
      <c r="X379" s="1"/>
      <c r="Y379" s="1"/>
      <c r="Z379" s="1"/>
    </row>
    <row r="380" spans="1:26" ht="33.75" customHeight="1">
      <c r="A380" s="1">
        <v>626</v>
      </c>
      <c r="B380" s="1" t="s">
        <v>1235</v>
      </c>
      <c r="C380" s="1" t="s">
        <v>1196</v>
      </c>
      <c r="D380" s="4">
        <v>39852.833333333336</v>
      </c>
      <c r="E380" s="1" t="s">
        <v>255</v>
      </c>
      <c r="F380" s="1"/>
      <c r="G380" s="5" t="s">
        <v>26</v>
      </c>
      <c r="H380" s="5" t="s">
        <v>27</v>
      </c>
      <c r="I380" s="1" t="s">
        <v>28</v>
      </c>
      <c r="J380" s="1" t="s">
        <v>29</v>
      </c>
      <c r="K380" s="1"/>
      <c r="L380" s="2" t="s">
        <v>1236</v>
      </c>
      <c r="M380" s="1"/>
      <c r="N380" s="1"/>
      <c r="O380" s="1"/>
      <c r="P380" s="1"/>
      <c r="Q380" s="1"/>
      <c r="R380" s="1"/>
      <c r="S380" s="1"/>
      <c r="T380" s="1"/>
      <c r="U380" s="1"/>
      <c r="V380" s="1"/>
      <c r="W380" s="1"/>
      <c r="X380" s="1"/>
      <c r="Y380" s="1"/>
      <c r="Z380" s="1"/>
    </row>
    <row r="381" spans="1:26" ht="33.75" customHeight="1">
      <c r="A381" s="1">
        <v>613</v>
      </c>
      <c r="B381" s="1" t="s">
        <v>1237</v>
      </c>
      <c r="C381" s="1" t="s">
        <v>926</v>
      </c>
      <c r="D381" s="4">
        <v>39852.836805555555</v>
      </c>
      <c r="E381" s="1" t="s">
        <v>393</v>
      </c>
      <c r="F381" s="1"/>
      <c r="G381" s="5" t="s">
        <v>64</v>
      </c>
      <c r="H381" s="1" t="s">
        <v>263</v>
      </c>
      <c r="I381" s="1" t="s">
        <v>64</v>
      </c>
      <c r="J381" s="1" t="s">
        <v>1173</v>
      </c>
      <c r="K381" s="1" t="s">
        <v>1238</v>
      </c>
      <c r="L381" s="2" t="s">
        <v>1239</v>
      </c>
      <c r="M381" s="1"/>
      <c r="N381" s="1"/>
      <c r="O381" s="1"/>
      <c r="P381" s="1"/>
      <c r="Q381" s="1"/>
      <c r="R381" s="1"/>
      <c r="S381" s="1"/>
      <c r="T381" s="1"/>
      <c r="U381" s="1"/>
      <c r="V381" s="1"/>
      <c r="W381" s="1"/>
      <c r="X381" s="1"/>
      <c r="Y381" s="1"/>
      <c r="Z381" s="1"/>
    </row>
    <row r="382" spans="1:26" ht="33.75" customHeight="1">
      <c r="A382" s="1">
        <v>1679</v>
      </c>
      <c r="B382" s="1" t="s">
        <v>1240</v>
      </c>
      <c r="C382" s="1" t="s">
        <v>846</v>
      </c>
      <c r="D382" s="4">
        <v>39852.838194444441</v>
      </c>
      <c r="E382" s="1" t="s">
        <v>1241</v>
      </c>
      <c r="F382" s="1"/>
      <c r="G382" s="5" t="s">
        <v>64</v>
      </c>
      <c r="H382" s="1"/>
      <c r="I382" s="1" t="s">
        <v>64</v>
      </c>
      <c r="J382" s="1"/>
      <c r="K382" s="1"/>
      <c r="L382" s="2" t="s">
        <v>1242</v>
      </c>
      <c r="M382" s="1"/>
      <c r="N382" s="1"/>
      <c r="O382" s="1"/>
      <c r="P382" s="1"/>
      <c r="Q382" s="1"/>
      <c r="R382" s="1"/>
      <c r="S382" s="1"/>
      <c r="T382" s="1"/>
      <c r="U382" s="1"/>
      <c r="V382" s="1"/>
      <c r="W382" s="1"/>
      <c r="X382" s="1"/>
      <c r="Y382" s="1"/>
      <c r="Z382" s="1"/>
    </row>
    <row r="383" spans="1:26" ht="33.75" customHeight="1">
      <c r="A383" s="1">
        <v>627</v>
      </c>
      <c r="B383" s="1" t="s">
        <v>1243</v>
      </c>
      <c r="C383" s="1" t="s">
        <v>1196</v>
      </c>
      <c r="D383" s="4">
        <v>39852.843055555553</v>
      </c>
      <c r="E383" s="1" t="s">
        <v>255</v>
      </c>
      <c r="F383" s="1"/>
      <c r="G383" s="5" t="s">
        <v>64</v>
      </c>
      <c r="H383" s="5" t="s">
        <v>684</v>
      </c>
      <c r="I383" s="1" t="s">
        <v>35</v>
      </c>
      <c r="J383" s="1"/>
      <c r="K383" s="1" t="s">
        <v>1244</v>
      </c>
      <c r="L383" s="2" t="s">
        <v>1245</v>
      </c>
      <c r="M383" s="1"/>
      <c r="N383" s="1"/>
      <c r="O383" s="1"/>
      <c r="P383" s="1"/>
      <c r="Q383" s="1"/>
      <c r="R383" s="1"/>
      <c r="S383" s="1"/>
      <c r="T383" s="1"/>
      <c r="U383" s="1"/>
      <c r="V383" s="1"/>
      <c r="W383" s="1"/>
      <c r="X383" s="1"/>
      <c r="Y383" s="1"/>
      <c r="Z383" s="1"/>
    </row>
    <row r="384" spans="1:26" ht="33.75" customHeight="1">
      <c r="A384" s="1">
        <v>498</v>
      </c>
      <c r="B384" s="1" t="s">
        <v>1246</v>
      </c>
      <c r="C384" s="1" t="s">
        <v>160</v>
      </c>
      <c r="D384" s="4">
        <v>39852.849305555559</v>
      </c>
      <c r="E384" s="1" t="s">
        <v>393</v>
      </c>
      <c r="F384" s="1"/>
      <c r="G384" s="5" t="s">
        <v>33</v>
      </c>
      <c r="H384" s="5" t="s">
        <v>34</v>
      </c>
      <c r="I384" s="1" t="s">
        <v>35</v>
      </c>
      <c r="J384" s="1"/>
      <c r="K384" s="1" t="s">
        <v>1247</v>
      </c>
      <c r="L384" s="2" t="s">
        <v>1248</v>
      </c>
      <c r="M384" s="1"/>
      <c r="N384" s="1"/>
      <c r="O384" s="1"/>
      <c r="P384" s="1"/>
      <c r="Q384" s="1"/>
      <c r="R384" s="1"/>
      <c r="S384" s="1"/>
      <c r="T384" s="1"/>
      <c r="U384" s="1"/>
      <c r="V384" s="1"/>
      <c r="W384" s="1"/>
      <c r="X384" s="1"/>
      <c r="Y384" s="1"/>
      <c r="Z384" s="1"/>
    </row>
    <row r="385" spans="1:26" ht="33.75" customHeight="1">
      <c r="A385" s="1">
        <v>628</v>
      </c>
      <c r="B385" s="1" t="s">
        <v>1249</v>
      </c>
      <c r="C385" s="1" t="s">
        <v>1196</v>
      </c>
      <c r="D385" s="4">
        <v>39852.856944444444</v>
      </c>
      <c r="E385" s="1" t="s">
        <v>14</v>
      </c>
      <c r="F385" s="1"/>
      <c r="G385" s="5" t="s">
        <v>64</v>
      </c>
      <c r="H385" s="1"/>
      <c r="I385" s="1" t="s">
        <v>64</v>
      </c>
      <c r="J385" s="1"/>
      <c r="K385" s="1" t="s">
        <v>1250</v>
      </c>
      <c r="L385" s="2" t="s">
        <v>1251</v>
      </c>
      <c r="M385" s="1"/>
      <c r="N385" s="1"/>
      <c r="O385" s="1"/>
      <c r="P385" s="1"/>
      <c r="Q385" s="1"/>
      <c r="R385" s="1"/>
      <c r="S385" s="1"/>
      <c r="T385" s="1"/>
      <c r="U385" s="1"/>
      <c r="V385" s="1"/>
      <c r="W385" s="1"/>
      <c r="X385" s="1"/>
      <c r="Y385" s="1"/>
      <c r="Z385" s="1"/>
    </row>
    <row r="386" spans="1:26" ht="33.75" customHeight="1">
      <c r="A386" s="1">
        <v>1680</v>
      </c>
      <c r="B386" s="1" t="s">
        <v>1252</v>
      </c>
      <c r="C386" s="1" t="s">
        <v>846</v>
      </c>
      <c r="D386" s="4">
        <v>39852.873611111114</v>
      </c>
      <c r="E386" s="1" t="s">
        <v>772</v>
      </c>
      <c r="F386" s="1"/>
      <c r="G386" s="6" t="s">
        <v>78</v>
      </c>
      <c r="H386" s="5" t="s">
        <v>223</v>
      </c>
      <c r="I386" s="1" t="s">
        <v>64</v>
      </c>
      <c r="J386" s="1" t="s">
        <v>450</v>
      </c>
      <c r="K386" s="1"/>
      <c r="L386" s="2" t="s">
        <v>1253</v>
      </c>
      <c r="M386" s="1"/>
      <c r="N386" s="1"/>
      <c r="O386" s="1"/>
      <c r="P386" s="1"/>
      <c r="Q386" s="1"/>
      <c r="R386" s="1"/>
      <c r="S386" s="1"/>
      <c r="T386" s="1"/>
      <c r="U386" s="1"/>
      <c r="V386" s="1"/>
      <c r="W386" s="1"/>
      <c r="X386" s="1"/>
      <c r="Y386" s="1"/>
      <c r="Z386" s="1"/>
    </row>
    <row r="387" spans="1:26" ht="33.75" customHeight="1">
      <c r="A387" s="1">
        <v>614</v>
      </c>
      <c r="B387" s="1" t="s">
        <v>1254</v>
      </c>
      <c r="C387" s="1" t="s">
        <v>926</v>
      </c>
      <c r="D387" s="4">
        <v>39852.887499999997</v>
      </c>
      <c r="E387" s="1" t="s">
        <v>196</v>
      </c>
      <c r="F387" s="1" t="s">
        <v>1237</v>
      </c>
      <c r="G387" s="5" t="s">
        <v>26</v>
      </c>
      <c r="H387" s="5" t="s">
        <v>133</v>
      </c>
      <c r="I387" s="1" t="s">
        <v>1255</v>
      </c>
      <c r="J387" s="1"/>
      <c r="K387" s="1"/>
      <c r="L387" s="2" t="s">
        <v>1256</v>
      </c>
      <c r="M387" s="1"/>
      <c r="N387" s="1"/>
      <c r="O387" s="1"/>
      <c r="P387" s="1"/>
      <c r="Q387" s="1"/>
      <c r="R387" s="1"/>
      <c r="S387" s="1"/>
      <c r="T387" s="1"/>
      <c r="U387" s="1"/>
      <c r="V387" s="1"/>
      <c r="W387" s="1"/>
      <c r="X387" s="1"/>
      <c r="Y387" s="1"/>
      <c r="Z387" s="1"/>
    </row>
    <row r="388" spans="1:26" ht="33.75" customHeight="1">
      <c r="A388" s="1">
        <v>1681</v>
      </c>
      <c r="B388" s="1" t="s">
        <v>1257</v>
      </c>
      <c r="C388" s="1" t="s">
        <v>846</v>
      </c>
      <c r="D388" s="4">
        <v>39852.901388888888</v>
      </c>
      <c r="E388" s="1" t="s">
        <v>772</v>
      </c>
      <c r="F388" s="1" t="s">
        <v>1252</v>
      </c>
      <c r="G388" s="6" t="s">
        <v>78</v>
      </c>
      <c r="H388" s="5" t="s">
        <v>223</v>
      </c>
      <c r="I388" s="1" t="s">
        <v>64</v>
      </c>
      <c r="J388" s="1" t="s">
        <v>450</v>
      </c>
      <c r="K388" s="1"/>
      <c r="L388" s="2" t="s">
        <v>1258</v>
      </c>
      <c r="M388" s="1"/>
      <c r="N388" s="1"/>
      <c r="O388" s="1"/>
      <c r="P388" s="1"/>
      <c r="Q388" s="1"/>
      <c r="R388" s="1"/>
      <c r="S388" s="1"/>
      <c r="T388" s="1"/>
      <c r="U388" s="1"/>
      <c r="V388" s="1"/>
      <c r="W388" s="1"/>
      <c r="X388" s="1"/>
      <c r="Y388" s="1"/>
      <c r="Z388" s="1"/>
    </row>
    <row r="389" spans="1:26" ht="33.75" customHeight="1">
      <c r="A389" s="1">
        <v>629</v>
      </c>
      <c r="B389" s="1" t="s">
        <v>1259</v>
      </c>
      <c r="C389" s="1" t="s">
        <v>1196</v>
      </c>
      <c r="D389" s="4">
        <v>39852.949999999997</v>
      </c>
      <c r="E389" s="1" t="s">
        <v>14</v>
      </c>
      <c r="F389" s="1"/>
      <c r="G389" s="5" t="s">
        <v>64</v>
      </c>
      <c r="H389" s="1"/>
      <c r="I389" s="1" t="s">
        <v>64</v>
      </c>
      <c r="J389" s="1"/>
      <c r="K389" s="1"/>
      <c r="L389" s="2" t="s">
        <v>1260</v>
      </c>
      <c r="M389" s="1"/>
      <c r="N389" s="1"/>
      <c r="O389" s="1"/>
      <c r="P389" s="1"/>
      <c r="Q389" s="1"/>
      <c r="R389" s="1"/>
      <c r="S389" s="1"/>
      <c r="T389" s="1"/>
      <c r="U389" s="1"/>
      <c r="V389" s="1"/>
      <c r="W389" s="1"/>
      <c r="X389" s="1"/>
      <c r="Y389" s="1"/>
      <c r="Z389" s="1"/>
    </row>
    <row r="390" spans="1:26" ht="33.75" customHeight="1">
      <c r="A390" s="1">
        <v>88</v>
      </c>
      <c r="B390" s="1" t="s">
        <v>1261</v>
      </c>
      <c r="C390" s="3" t="s">
        <v>13</v>
      </c>
      <c r="D390" s="4">
        <v>39852.968055555553</v>
      </c>
      <c r="E390" s="1" t="s">
        <v>913</v>
      </c>
      <c r="F390" s="1"/>
      <c r="G390" s="5" t="s">
        <v>15</v>
      </c>
      <c r="H390" s="5" t="s">
        <v>22</v>
      </c>
      <c r="I390" s="1" t="s">
        <v>23</v>
      </c>
      <c r="J390" s="1"/>
      <c r="K390" s="1"/>
      <c r="L390" s="2" t="s">
        <v>1262</v>
      </c>
      <c r="M390" s="1"/>
      <c r="N390" s="1"/>
      <c r="O390" s="1"/>
      <c r="P390" s="1"/>
      <c r="Q390" s="1"/>
      <c r="R390" s="1"/>
      <c r="S390" s="1"/>
      <c r="T390" s="1"/>
      <c r="U390" s="1"/>
      <c r="V390" s="1"/>
      <c r="W390" s="1"/>
      <c r="X390" s="1"/>
      <c r="Y390" s="1"/>
      <c r="Z390" s="1"/>
    </row>
    <row r="391" spans="1:26" ht="33.75" customHeight="1">
      <c r="A391" s="1">
        <v>630</v>
      </c>
      <c r="B391" s="1" t="s">
        <v>1263</v>
      </c>
      <c r="C391" s="1" t="s">
        <v>1196</v>
      </c>
      <c r="D391" s="4">
        <v>39852.978472222225</v>
      </c>
      <c r="E391" s="1" t="s">
        <v>54</v>
      </c>
      <c r="F391" s="1" t="s">
        <v>1259</v>
      </c>
      <c r="G391" s="5" t="s">
        <v>26</v>
      </c>
      <c r="H391" s="5" t="s">
        <v>133</v>
      </c>
      <c r="I391" s="1" t="s">
        <v>28</v>
      </c>
      <c r="J391" s="1" t="s">
        <v>134</v>
      </c>
      <c r="K391" s="1" t="s">
        <v>1264</v>
      </c>
      <c r="L391" s="2" t="s">
        <v>1265</v>
      </c>
      <c r="M391" s="1"/>
      <c r="N391" s="1"/>
      <c r="O391" s="1"/>
      <c r="P391" s="1"/>
      <c r="Q391" s="1"/>
      <c r="R391" s="1"/>
      <c r="S391" s="1"/>
      <c r="T391" s="1"/>
      <c r="U391" s="1"/>
      <c r="V391" s="1"/>
      <c r="W391" s="1"/>
      <c r="X391" s="1"/>
      <c r="Y391" s="1"/>
      <c r="Z391" s="1"/>
    </row>
    <row r="392" spans="1:26" ht="33.75" customHeight="1">
      <c r="A392" s="1">
        <v>631</v>
      </c>
      <c r="B392" s="1" t="s">
        <v>1266</v>
      </c>
      <c r="C392" s="1" t="s">
        <v>1196</v>
      </c>
      <c r="D392" s="4">
        <v>39852.979166666664</v>
      </c>
      <c r="E392" s="1" t="s">
        <v>14</v>
      </c>
      <c r="F392" s="1" t="s">
        <v>1267</v>
      </c>
      <c r="G392" s="5" t="s">
        <v>26</v>
      </c>
      <c r="H392" s="5" t="s">
        <v>133</v>
      </c>
      <c r="I392" s="1" t="s">
        <v>1268</v>
      </c>
      <c r="J392" s="1"/>
      <c r="K392" s="1"/>
      <c r="L392" s="2" t="s">
        <v>1269</v>
      </c>
      <c r="M392" s="1"/>
      <c r="N392" s="1"/>
      <c r="O392" s="1"/>
      <c r="P392" s="1"/>
      <c r="Q392" s="1"/>
      <c r="R392" s="1"/>
      <c r="S392" s="1"/>
      <c r="T392" s="1"/>
      <c r="U392" s="1"/>
      <c r="V392" s="1"/>
      <c r="W392" s="1"/>
      <c r="X392" s="1"/>
      <c r="Y392" s="1"/>
      <c r="Z392" s="1"/>
    </row>
    <row r="393" spans="1:26" ht="33.75" customHeight="1">
      <c r="A393" s="1">
        <v>615</v>
      </c>
      <c r="B393" s="1" t="s">
        <v>1270</v>
      </c>
      <c r="C393" s="1" t="s">
        <v>926</v>
      </c>
      <c r="D393" s="4">
        <v>39853.002083333333</v>
      </c>
      <c r="E393" s="1" t="s">
        <v>54</v>
      </c>
      <c r="F393" s="1"/>
      <c r="G393" s="6" t="s">
        <v>78</v>
      </c>
      <c r="H393" s="5" t="s">
        <v>88</v>
      </c>
      <c r="I393" s="1" t="s">
        <v>493</v>
      </c>
      <c r="J393" s="1"/>
      <c r="K393" s="1" t="s">
        <v>1271</v>
      </c>
      <c r="L393" s="2" t="s">
        <v>1272</v>
      </c>
      <c r="M393" s="1"/>
      <c r="N393" s="1"/>
      <c r="O393" s="1"/>
      <c r="P393" s="1"/>
      <c r="Q393" s="1"/>
      <c r="R393" s="1"/>
      <c r="S393" s="1"/>
      <c r="T393" s="1"/>
      <c r="U393" s="1"/>
      <c r="V393" s="1"/>
      <c r="W393" s="1"/>
      <c r="X393" s="1"/>
      <c r="Y393" s="1"/>
      <c r="Z393" s="1"/>
    </row>
    <row r="394" spans="1:26" ht="33.75" customHeight="1">
      <c r="A394" s="1">
        <v>632</v>
      </c>
      <c r="B394" s="1" t="s">
        <v>1273</v>
      </c>
      <c r="C394" s="1" t="s">
        <v>1196</v>
      </c>
      <c r="D394" s="4">
        <v>39853.009027777778</v>
      </c>
      <c r="E394" s="1" t="s">
        <v>14</v>
      </c>
      <c r="F394" s="1"/>
      <c r="G394" s="5" t="s">
        <v>64</v>
      </c>
      <c r="H394" s="1"/>
      <c r="I394" s="1" t="s">
        <v>64</v>
      </c>
      <c r="J394" s="1"/>
      <c r="K394" s="1" t="s">
        <v>1274</v>
      </c>
      <c r="L394" s="2" t="s">
        <v>1275</v>
      </c>
      <c r="M394" s="1"/>
      <c r="N394" s="1"/>
      <c r="O394" s="1"/>
      <c r="P394" s="1"/>
      <c r="Q394" s="1"/>
      <c r="R394" s="1"/>
      <c r="S394" s="1"/>
      <c r="T394" s="1"/>
      <c r="U394" s="1"/>
      <c r="V394" s="1"/>
      <c r="W394" s="1"/>
      <c r="X394" s="1"/>
      <c r="Y394" s="1"/>
      <c r="Z394" s="1"/>
    </row>
    <row r="395" spans="1:26" ht="33.75" customHeight="1">
      <c r="A395" s="1">
        <v>616</v>
      </c>
      <c r="B395" s="1" t="s">
        <v>1276</v>
      </c>
      <c r="C395" s="1" t="s">
        <v>926</v>
      </c>
      <c r="D395" s="4">
        <v>39853.01666666667</v>
      </c>
      <c r="E395" s="1" t="s">
        <v>14</v>
      </c>
      <c r="F395" s="1"/>
      <c r="G395" s="6" t="s">
        <v>78</v>
      </c>
      <c r="H395" s="5" t="s">
        <v>870</v>
      </c>
      <c r="I395" s="1" t="s">
        <v>480</v>
      </c>
      <c r="J395" s="1" t="s">
        <v>481</v>
      </c>
      <c r="K395" s="1" t="s">
        <v>1277</v>
      </c>
      <c r="L395" s="2" t="s">
        <v>1278</v>
      </c>
      <c r="M395" s="1"/>
      <c r="N395" s="1"/>
      <c r="O395" s="1"/>
      <c r="P395" s="1"/>
      <c r="Q395" s="1"/>
      <c r="R395" s="1"/>
      <c r="S395" s="1"/>
      <c r="T395" s="1"/>
      <c r="U395" s="1"/>
      <c r="V395" s="1"/>
      <c r="W395" s="1"/>
      <c r="X395" s="1"/>
      <c r="Y395" s="1"/>
      <c r="Z395" s="1"/>
    </row>
    <row r="396" spans="1:26" ht="33.75" customHeight="1">
      <c r="A396" s="1">
        <v>1682</v>
      </c>
      <c r="B396" s="1" t="s">
        <v>1279</v>
      </c>
      <c r="C396" s="1" t="s">
        <v>846</v>
      </c>
      <c r="D396" s="4">
        <v>39853.044444444444</v>
      </c>
      <c r="E396" s="1" t="s">
        <v>393</v>
      </c>
      <c r="F396" s="1"/>
      <c r="G396" s="5" t="s">
        <v>26</v>
      </c>
      <c r="H396" s="5" t="s">
        <v>133</v>
      </c>
      <c r="I396" s="1" t="s">
        <v>28</v>
      </c>
      <c r="J396" s="1" t="s">
        <v>134</v>
      </c>
      <c r="K396" s="1"/>
      <c r="L396" s="2" t="s">
        <v>1280</v>
      </c>
      <c r="M396" s="1"/>
      <c r="N396" s="1"/>
      <c r="O396" s="1"/>
      <c r="P396" s="1"/>
      <c r="Q396" s="1"/>
      <c r="R396" s="1"/>
      <c r="S396" s="1"/>
      <c r="T396" s="1"/>
      <c r="U396" s="1"/>
      <c r="V396" s="1"/>
      <c r="W396" s="1"/>
      <c r="X396" s="1"/>
      <c r="Y396" s="1"/>
      <c r="Z396" s="1"/>
    </row>
    <row r="397" spans="1:26" ht="33.75" customHeight="1">
      <c r="A397" s="1">
        <v>89</v>
      </c>
      <c r="B397" s="1" t="s">
        <v>1281</v>
      </c>
      <c r="C397" s="3" t="s">
        <v>13</v>
      </c>
      <c r="D397" s="4">
        <v>39853.053472222222</v>
      </c>
      <c r="E397" s="1" t="s">
        <v>553</v>
      </c>
      <c r="F397" s="1"/>
      <c r="G397" s="5" t="s">
        <v>15</v>
      </c>
      <c r="H397" s="5" t="s">
        <v>22</v>
      </c>
      <c r="I397" s="1" t="s">
        <v>23</v>
      </c>
      <c r="J397" s="1"/>
      <c r="K397" s="1" t="s">
        <v>1282</v>
      </c>
      <c r="L397" s="2" t="s">
        <v>1283</v>
      </c>
      <c r="M397" s="1"/>
      <c r="N397" s="1"/>
      <c r="O397" s="1"/>
      <c r="P397" s="1"/>
      <c r="Q397" s="1"/>
      <c r="R397" s="1"/>
      <c r="S397" s="1"/>
      <c r="T397" s="1"/>
      <c r="U397" s="1"/>
      <c r="V397" s="1"/>
      <c r="W397" s="1"/>
      <c r="X397" s="1"/>
      <c r="Y397" s="1"/>
      <c r="Z397" s="1"/>
    </row>
    <row r="398" spans="1:26" ht="33.75" customHeight="1">
      <c r="A398" s="1">
        <v>90</v>
      </c>
      <c r="B398" s="1" t="s">
        <v>1284</v>
      </c>
      <c r="C398" s="3" t="s">
        <v>13</v>
      </c>
      <c r="D398" s="4">
        <v>39853.070833333331</v>
      </c>
      <c r="E398" s="1" t="s">
        <v>913</v>
      </c>
      <c r="F398" s="1" t="s">
        <v>1281</v>
      </c>
      <c r="G398" s="5" t="s">
        <v>39</v>
      </c>
      <c r="H398" s="5" t="s">
        <v>40</v>
      </c>
      <c r="I398" s="1" t="s">
        <v>1285</v>
      </c>
      <c r="J398" s="1"/>
      <c r="K398" s="1"/>
      <c r="L398" s="2" t="s">
        <v>1286</v>
      </c>
      <c r="M398" s="1"/>
      <c r="N398" s="1"/>
      <c r="O398" s="1"/>
      <c r="P398" s="1"/>
      <c r="Q398" s="1"/>
      <c r="R398" s="1"/>
      <c r="S398" s="1"/>
      <c r="T398" s="1"/>
      <c r="U398" s="1"/>
      <c r="V398" s="1"/>
      <c r="W398" s="1"/>
      <c r="X398" s="1"/>
      <c r="Y398" s="1"/>
      <c r="Z398" s="1"/>
    </row>
    <row r="399" spans="1:26" ht="33.75" customHeight="1">
      <c r="A399" s="1">
        <v>1683</v>
      </c>
      <c r="B399" s="1" t="s">
        <v>1287</v>
      </c>
      <c r="C399" s="1" t="s">
        <v>846</v>
      </c>
      <c r="D399" s="4">
        <v>39853.070833333331</v>
      </c>
      <c r="E399" s="1" t="s">
        <v>1089</v>
      </c>
      <c r="F399" s="1"/>
      <c r="G399" s="5" t="s">
        <v>64</v>
      </c>
      <c r="H399" s="5" t="s">
        <v>1053</v>
      </c>
      <c r="I399" s="1" t="s">
        <v>64</v>
      </c>
      <c r="J399" s="1"/>
      <c r="K399" s="1"/>
      <c r="L399" s="2" t="s">
        <v>1288</v>
      </c>
      <c r="M399" s="1"/>
      <c r="N399" s="1"/>
      <c r="O399" s="1"/>
      <c r="P399" s="1"/>
      <c r="Q399" s="1"/>
      <c r="R399" s="1"/>
      <c r="S399" s="1"/>
      <c r="T399" s="1"/>
      <c r="U399" s="1"/>
      <c r="V399" s="1"/>
      <c r="W399" s="1"/>
      <c r="X399" s="1"/>
      <c r="Y399" s="1"/>
      <c r="Z399" s="1"/>
    </row>
    <row r="400" spans="1:26" ht="33.75" customHeight="1">
      <c r="A400" s="1">
        <v>617</v>
      </c>
      <c r="B400" s="1" t="s">
        <v>1289</v>
      </c>
      <c r="C400" s="1" t="s">
        <v>926</v>
      </c>
      <c r="D400" s="4">
        <v>39853.10833333333</v>
      </c>
      <c r="E400" s="1" t="s">
        <v>54</v>
      </c>
      <c r="F400" s="1"/>
      <c r="G400" s="5" t="s">
        <v>64</v>
      </c>
      <c r="H400" s="5" t="s">
        <v>65</v>
      </c>
      <c r="I400" s="1" t="s">
        <v>166</v>
      </c>
      <c r="J400" s="1"/>
      <c r="K400" s="1" t="s">
        <v>1290</v>
      </c>
      <c r="L400" s="2" t="s">
        <v>1291</v>
      </c>
      <c r="M400" s="1"/>
      <c r="N400" s="1"/>
      <c r="O400" s="1"/>
      <c r="P400" s="1"/>
      <c r="Q400" s="1"/>
      <c r="R400" s="1"/>
      <c r="S400" s="1"/>
      <c r="T400" s="1"/>
      <c r="U400" s="1"/>
      <c r="V400" s="1"/>
      <c r="W400" s="1"/>
      <c r="X400" s="1"/>
      <c r="Y400" s="1"/>
      <c r="Z400" s="1"/>
    </row>
    <row r="401" spans="1:26" ht="33.75" customHeight="1">
      <c r="A401" s="1">
        <v>91</v>
      </c>
      <c r="B401" s="1" t="s">
        <v>1292</v>
      </c>
      <c r="C401" s="3" t="s">
        <v>13</v>
      </c>
      <c r="D401" s="4">
        <v>39853.12222222222</v>
      </c>
      <c r="E401" s="1" t="s">
        <v>101</v>
      </c>
      <c r="F401" s="1" t="s">
        <v>1284</v>
      </c>
      <c r="G401" s="5" t="s">
        <v>15</v>
      </c>
      <c r="H401" s="5" t="s">
        <v>22</v>
      </c>
      <c r="I401" s="1" t="s">
        <v>23</v>
      </c>
      <c r="J401" s="1"/>
      <c r="K401" s="1"/>
      <c r="L401" s="2" t="s">
        <v>1293</v>
      </c>
      <c r="M401" s="1"/>
      <c r="N401" s="1"/>
      <c r="O401" s="1"/>
      <c r="P401" s="1"/>
      <c r="Q401" s="1"/>
      <c r="R401" s="1"/>
      <c r="S401" s="1"/>
      <c r="T401" s="1"/>
      <c r="U401" s="1"/>
      <c r="V401" s="1"/>
      <c r="W401" s="1"/>
      <c r="X401" s="1"/>
      <c r="Y401" s="1"/>
      <c r="Z401" s="1"/>
    </row>
    <row r="402" spans="1:26" ht="33.75" customHeight="1">
      <c r="A402" s="1">
        <v>1684</v>
      </c>
      <c r="B402" s="1" t="s">
        <v>1294</v>
      </c>
      <c r="C402" s="1" t="s">
        <v>846</v>
      </c>
      <c r="D402" s="4">
        <v>39853.151388888888</v>
      </c>
      <c r="E402" s="1" t="s">
        <v>255</v>
      </c>
      <c r="F402" s="1"/>
      <c r="G402" s="5" t="s">
        <v>64</v>
      </c>
      <c r="H402" s="1" t="s">
        <v>218</v>
      </c>
      <c r="I402" s="1" t="s">
        <v>64</v>
      </c>
      <c r="J402" s="1"/>
      <c r="K402" s="1"/>
      <c r="L402" s="2" t="s">
        <v>1295</v>
      </c>
      <c r="M402" s="1"/>
      <c r="N402" s="1"/>
      <c r="O402" s="1"/>
      <c r="P402" s="1"/>
      <c r="Q402" s="1"/>
      <c r="R402" s="1"/>
      <c r="S402" s="1"/>
      <c r="T402" s="1"/>
      <c r="U402" s="1"/>
      <c r="V402" s="1"/>
      <c r="W402" s="1"/>
      <c r="X402" s="1"/>
      <c r="Y402" s="1"/>
      <c r="Z402" s="1"/>
    </row>
    <row r="403" spans="1:26" ht="33.75" customHeight="1">
      <c r="A403" s="1">
        <v>1685</v>
      </c>
      <c r="B403" s="1" t="s">
        <v>1296</v>
      </c>
      <c r="C403" s="1" t="s">
        <v>846</v>
      </c>
      <c r="D403" s="4">
        <v>39853.329861111109</v>
      </c>
      <c r="E403" s="1" t="s">
        <v>84</v>
      </c>
      <c r="F403" s="1"/>
      <c r="G403" s="5" t="s">
        <v>26</v>
      </c>
      <c r="H403" s="5" t="s">
        <v>27</v>
      </c>
      <c r="I403" s="1" t="s">
        <v>28</v>
      </c>
      <c r="J403" s="1" t="s">
        <v>29</v>
      </c>
      <c r="K403" s="1"/>
      <c r="L403" s="2" t="s">
        <v>1297</v>
      </c>
      <c r="M403" s="1"/>
      <c r="N403" s="1"/>
      <c r="O403" s="1"/>
      <c r="P403" s="1"/>
      <c r="Q403" s="1"/>
      <c r="R403" s="1"/>
      <c r="S403" s="1"/>
      <c r="T403" s="1"/>
      <c r="U403" s="1"/>
      <c r="V403" s="1"/>
      <c r="W403" s="1"/>
      <c r="X403" s="1"/>
      <c r="Y403" s="1"/>
      <c r="Z403" s="1"/>
    </row>
    <row r="404" spans="1:26" ht="33.75" customHeight="1">
      <c r="A404" s="1">
        <v>1686</v>
      </c>
      <c r="B404" s="1" t="s">
        <v>1298</v>
      </c>
      <c r="C404" s="1" t="s">
        <v>846</v>
      </c>
      <c r="D404" s="4">
        <v>39853.341666666667</v>
      </c>
      <c r="E404" s="1" t="s">
        <v>84</v>
      </c>
      <c r="F404" s="1" t="s">
        <v>1240</v>
      </c>
      <c r="G404" s="5" t="s">
        <v>26</v>
      </c>
      <c r="H404" s="5" t="s">
        <v>133</v>
      </c>
      <c r="I404" s="1" t="s">
        <v>28</v>
      </c>
      <c r="J404" s="1" t="s">
        <v>134</v>
      </c>
      <c r="K404" s="1"/>
      <c r="L404" s="2" t="s">
        <v>1299</v>
      </c>
      <c r="M404" s="1"/>
      <c r="N404" s="1"/>
      <c r="O404" s="1"/>
      <c r="P404" s="1"/>
      <c r="Q404" s="1"/>
      <c r="R404" s="1"/>
      <c r="S404" s="1"/>
      <c r="T404" s="1"/>
      <c r="U404" s="1"/>
      <c r="V404" s="1"/>
      <c r="W404" s="1"/>
      <c r="X404" s="1"/>
      <c r="Y404" s="1"/>
      <c r="Z404" s="1"/>
    </row>
    <row r="405" spans="1:26" ht="33.75" customHeight="1">
      <c r="A405" s="1">
        <v>634</v>
      </c>
      <c r="B405" s="1" t="s">
        <v>1300</v>
      </c>
      <c r="C405" s="1" t="s">
        <v>1196</v>
      </c>
      <c r="D405" s="4">
        <v>39853.342361111114</v>
      </c>
      <c r="E405" s="1" t="s">
        <v>393</v>
      </c>
      <c r="F405" s="1" t="s">
        <v>1273</v>
      </c>
      <c r="G405" s="6" t="s">
        <v>78</v>
      </c>
      <c r="H405" s="5" t="s">
        <v>479</v>
      </c>
      <c r="I405" s="1" t="s">
        <v>64</v>
      </c>
      <c r="J405" s="1" t="s">
        <v>1301</v>
      </c>
      <c r="K405" s="1"/>
      <c r="L405" s="2" t="s">
        <v>1302</v>
      </c>
      <c r="M405" s="1"/>
      <c r="N405" s="1"/>
      <c r="O405" s="1"/>
      <c r="P405" s="1"/>
      <c r="Q405" s="1"/>
      <c r="R405" s="1"/>
      <c r="S405" s="1"/>
      <c r="T405" s="1"/>
      <c r="U405" s="1"/>
      <c r="V405" s="1"/>
      <c r="W405" s="1"/>
      <c r="X405" s="1"/>
      <c r="Y405" s="1"/>
      <c r="Z405" s="1"/>
    </row>
    <row r="406" spans="1:26" ht="33.75" customHeight="1">
      <c r="A406" s="1">
        <v>1688</v>
      </c>
      <c r="B406" s="1" t="s">
        <v>1303</v>
      </c>
      <c r="C406" s="1" t="s">
        <v>846</v>
      </c>
      <c r="D406" s="4">
        <v>39853.352083333331</v>
      </c>
      <c r="E406" s="1" t="s">
        <v>393</v>
      </c>
      <c r="F406" s="1"/>
      <c r="G406" s="5" t="s">
        <v>15</v>
      </c>
      <c r="H406" s="5" t="s">
        <v>150</v>
      </c>
      <c r="I406" s="1" t="s">
        <v>1304</v>
      </c>
      <c r="J406" s="1"/>
      <c r="K406" s="1" t="s">
        <v>1305</v>
      </c>
      <c r="L406" s="2" t="s">
        <v>1306</v>
      </c>
      <c r="M406" s="1"/>
      <c r="N406" s="1"/>
      <c r="O406" s="1"/>
      <c r="P406" s="1"/>
      <c r="Q406" s="1"/>
      <c r="R406" s="1"/>
      <c r="S406" s="1"/>
      <c r="T406" s="1"/>
      <c r="U406" s="1"/>
      <c r="V406" s="1"/>
      <c r="W406" s="1"/>
      <c r="X406" s="1"/>
      <c r="Y406" s="1"/>
      <c r="Z406" s="1"/>
    </row>
    <row r="407" spans="1:26" ht="33.75" customHeight="1">
      <c r="A407" s="1">
        <v>635</v>
      </c>
      <c r="B407" s="1" t="s">
        <v>1307</v>
      </c>
      <c r="C407" s="1" t="s">
        <v>1196</v>
      </c>
      <c r="D407" s="4">
        <v>39853.37222222222</v>
      </c>
      <c r="E407" s="1" t="s">
        <v>54</v>
      </c>
      <c r="F407" s="1" t="s">
        <v>1308</v>
      </c>
      <c r="G407" s="5" t="s">
        <v>26</v>
      </c>
      <c r="H407" s="5" t="s">
        <v>133</v>
      </c>
      <c r="I407" s="1" t="s">
        <v>1309</v>
      </c>
      <c r="J407" s="1"/>
      <c r="K407" s="1"/>
      <c r="L407" s="2" t="s">
        <v>1310</v>
      </c>
      <c r="M407" s="1"/>
      <c r="N407" s="1"/>
      <c r="O407" s="1"/>
      <c r="P407" s="1"/>
      <c r="Q407" s="1"/>
      <c r="R407" s="1"/>
      <c r="S407" s="1"/>
      <c r="T407" s="1"/>
      <c r="U407" s="1"/>
      <c r="V407" s="1"/>
      <c r="W407" s="1"/>
      <c r="X407" s="1"/>
      <c r="Y407" s="1"/>
      <c r="Z407" s="1"/>
    </row>
    <row r="408" spans="1:26" ht="33.75" customHeight="1">
      <c r="A408" s="1">
        <v>636</v>
      </c>
      <c r="B408" s="1" t="s">
        <v>1311</v>
      </c>
      <c r="C408" s="1" t="s">
        <v>1196</v>
      </c>
      <c r="D408" s="4">
        <v>39853.382638888892</v>
      </c>
      <c r="E408" s="1" t="s">
        <v>54</v>
      </c>
      <c r="F408" s="1" t="s">
        <v>1312</v>
      </c>
      <c r="G408" s="6" t="s">
        <v>78</v>
      </c>
      <c r="H408" s="5" t="s">
        <v>870</v>
      </c>
      <c r="I408" s="1" t="s">
        <v>480</v>
      </c>
      <c r="J408" s="1" t="s">
        <v>481</v>
      </c>
      <c r="K408" s="1"/>
      <c r="L408" s="2" t="s">
        <v>1313</v>
      </c>
      <c r="M408" s="1"/>
      <c r="N408" s="1"/>
      <c r="O408" s="1"/>
      <c r="P408" s="1"/>
      <c r="Q408" s="1"/>
      <c r="R408" s="1"/>
      <c r="S408" s="1"/>
      <c r="T408" s="1"/>
      <c r="U408" s="1"/>
      <c r="V408" s="1"/>
      <c r="W408" s="1"/>
      <c r="X408" s="1"/>
      <c r="Y408" s="1"/>
      <c r="Z408" s="1"/>
    </row>
    <row r="409" spans="1:26" ht="33.75" customHeight="1">
      <c r="A409" s="1">
        <v>637</v>
      </c>
      <c r="B409" s="1" t="s">
        <v>1314</v>
      </c>
      <c r="C409" s="1" t="s">
        <v>1196</v>
      </c>
      <c r="D409" s="4">
        <v>39853.433333333334</v>
      </c>
      <c r="E409" s="1" t="s">
        <v>14</v>
      </c>
      <c r="F409" s="9">
        <v>410411</v>
      </c>
      <c r="G409" s="5" t="s">
        <v>15</v>
      </c>
      <c r="H409" s="5" t="s">
        <v>150</v>
      </c>
      <c r="I409" s="1" t="s">
        <v>1315</v>
      </c>
      <c r="J409" s="1"/>
      <c r="K409" s="1"/>
      <c r="L409" s="2" t="s">
        <v>1316</v>
      </c>
      <c r="M409" s="1"/>
      <c r="N409" s="1"/>
      <c r="O409" s="1"/>
      <c r="P409" s="1"/>
      <c r="Q409" s="1"/>
      <c r="R409" s="1"/>
      <c r="S409" s="1"/>
      <c r="T409" s="1"/>
      <c r="U409" s="1"/>
      <c r="V409" s="1"/>
      <c r="W409" s="1"/>
      <c r="X409" s="1"/>
      <c r="Y409" s="1"/>
      <c r="Z409" s="1"/>
    </row>
    <row r="410" spans="1:26" ht="33.75" customHeight="1">
      <c r="A410" s="1">
        <v>638</v>
      </c>
      <c r="B410" s="1" t="s">
        <v>1317</v>
      </c>
      <c r="C410" s="1" t="s">
        <v>1196</v>
      </c>
      <c r="D410" s="4">
        <v>39853.43472222222</v>
      </c>
      <c r="E410" s="1" t="s">
        <v>14</v>
      </c>
      <c r="F410" s="1"/>
      <c r="G410" s="5" t="s">
        <v>26</v>
      </c>
      <c r="H410" s="5" t="s">
        <v>133</v>
      </c>
      <c r="I410" s="1" t="s">
        <v>1318</v>
      </c>
      <c r="J410" s="1"/>
      <c r="K410" s="1"/>
      <c r="L410" s="2" t="s">
        <v>1319</v>
      </c>
      <c r="M410" s="1"/>
      <c r="N410" s="1"/>
      <c r="O410" s="1"/>
      <c r="P410" s="1"/>
      <c r="Q410" s="1"/>
      <c r="R410" s="1"/>
      <c r="S410" s="1"/>
      <c r="T410" s="1"/>
      <c r="U410" s="1"/>
      <c r="V410" s="1"/>
      <c r="W410" s="1"/>
      <c r="X410" s="1"/>
      <c r="Y410" s="1"/>
      <c r="Z410" s="1"/>
    </row>
    <row r="411" spans="1:26" ht="33.75" customHeight="1">
      <c r="A411" s="1">
        <v>93</v>
      </c>
      <c r="B411" s="1" t="s">
        <v>1320</v>
      </c>
      <c r="C411" s="3" t="s">
        <v>13</v>
      </c>
      <c r="D411" s="4">
        <v>39853.443749999999</v>
      </c>
      <c r="E411" s="1" t="s">
        <v>101</v>
      </c>
      <c r="F411" s="1"/>
      <c r="G411" s="5" t="s">
        <v>39</v>
      </c>
      <c r="H411" s="5" t="s">
        <v>40</v>
      </c>
      <c r="I411" s="1" t="s">
        <v>1321</v>
      </c>
      <c r="J411" s="1"/>
      <c r="K411" s="1" t="s">
        <v>1322</v>
      </c>
      <c r="L411" s="2" t="s">
        <v>1323</v>
      </c>
      <c r="M411" s="1"/>
      <c r="N411" s="1"/>
      <c r="O411" s="1"/>
      <c r="P411" s="1"/>
      <c r="Q411" s="1"/>
      <c r="R411" s="1"/>
      <c r="S411" s="1"/>
      <c r="T411" s="1"/>
      <c r="U411" s="1"/>
      <c r="V411" s="1"/>
      <c r="W411" s="1"/>
      <c r="X411" s="1"/>
      <c r="Y411" s="1"/>
      <c r="Z411" s="1"/>
    </row>
    <row r="412" spans="1:26" ht="33.75" customHeight="1">
      <c r="A412" s="1">
        <v>618</v>
      </c>
      <c r="B412" s="1" t="s">
        <v>1324</v>
      </c>
      <c r="C412" s="1" t="s">
        <v>926</v>
      </c>
      <c r="D412" s="4">
        <v>39853.450694444444</v>
      </c>
      <c r="E412" s="1" t="s">
        <v>14</v>
      </c>
      <c r="F412" s="1">
        <v>331</v>
      </c>
      <c r="G412" s="5" t="s">
        <v>64</v>
      </c>
      <c r="H412" s="5" t="s">
        <v>65</v>
      </c>
      <c r="I412" s="1" t="s">
        <v>35</v>
      </c>
      <c r="J412" s="1"/>
      <c r="K412" s="1" t="s">
        <v>1325</v>
      </c>
      <c r="L412" s="2" t="s">
        <v>1326</v>
      </c>
      <c r="M412" s="1"/>
      <c r="N412" s="1"/>
      <c r="O412" s="1"/>
      <c r="P412" s="1"/>
      <c r="Q412" s="1"/>
      <c r="R412" s="1"/>
      <c r="S412" s="1"/>
      <c r="T412" s="1"/>
      <c r="U412" s="1"/>
      <c r="V412" s="1"/>
      <c r="W412" s="1"/>
      <c r="X412" s="1"/>
      <c r="Y412" s="1"/>
      <c r="Z412" s="1"/>
    </row>
    <row r="413" spans="1:26" ht="33.75" customHeight="1">
      <c r="A413" s="1">
        <v>619</v>
      </c>
      <c r="B413" s="1" t="s">
        <v>1327</v>
      </c>
      <c r="C413" s="1" t="s">
        <v>926</v>
      </c>
      <c r="D413" s="4">
        <v>39853.463194444441</v>
      </c>
      <c r="E413" s="1" t="s">
        <v>14</v>
      </c>
      <c r="F413" s="1" t="s">
        <v>1324</v>
      </c>
      <c r="G413" s="5" t="s">
        <v>26</v>
      </c>
      <c r="H413" s="5" t="s">
        <v>27</v>
      </c>
      <c r="I413" s="1" t="s">
        <v>28</v>
      </c>
      <c r="J413" s="1" t="s">
        <v>29</v>
      </c>
      <c r="K413" s="1"/>
      <c r="L413" s="2" t="s">
        <v>1328</v>
      </c>
      <c r="M413" s="1"/>
      <c r="N413" s="1"/>
      <c r="O413" s="1"/>
      <c r="P413" s="1"/>
      <c r="Q413" s="1"/>
      <c r="R413" s="1"/>
      <c r="S413" s="1"/>
      <c r="T413" s="1"/>
      <c r="U413" s="1"/>
      <c r="V413" s="1"/>
      <c r="W413" s="1"/>
      <c r="X413" s="1"/>
      <c r="Y413" s="1"/>
      <c r="Z413" s="1"/>
    </row>
    <row r="414" spans="1:26" ht="33.75" customHeight="1">
      <c r="A414" s="1">
        <v>639</v>
      </c>
      <c r="B414" s="1" t="s">
        <v>1329</v>
      </c>
      <c r="C414" s="1" t="s">
        <v>1196</v>
      </c>
      <c r="D414" s="4">
        <v>39853.489583333336</v>
      </c>
      <c r="E414" s="1" t="s">
        <v>255</v>
      </c>
      <c r="F414" s="1" t="s">
        <v>1330</v>
      </c>
      <c r="G414" s="5" t="s">
        <v>64</v>
      </c>
      <c r="H414" s="1"/>
      <c r="I414" s="1" t="s">
        <v>64</v>
      </c>
      <c r="J414" s="1"/>
      <c r="K414" s="1"/>
      <c r="L414" s="2" t="s">
        <v>1331</v>
      </c>
      <c r="M414" s="1"/>
      <c r="N414" s="1"/>
      <c r="O414" s="1"/>
      <c r="P414" s="1"/>
      <c r="Q414" s="1"/>
      <c r="R414" s="1"/>
      <c r="S414" s="1"/>
      <c r="T414" s="1"/>
      <c r="U414" s="1"/>
      <c r="V414" s="1"/>
      <c r="W414" s="1"/>
      <c r="X414" s="1"/>
      <c r="Y414" s="1"/>
      <c r="Z414" s="1"/>
    </row>
    <row r="415" spans="1:26" ht="33.75" customHeight="1">
      <c r="A415" s="1">
        <v>94</v>
      </c>
      <c r="B415" s="1" t="s">
        <v>1332</v>
      </c>
      <c r="C415" s="3" t="s">
        <v>13</v>
      </c>
      <c r="D415" s="4">
        <v>39853.522222222222</v>
      </c>
      <c r="E415" s="1" t="s">
        <v>913</v>
      </c>
      <c r="F415" s="1" t="s">
        <v>1320</v>
      </c>
      <c r="G415" s="5" t="s">
        <v>26</v>
      </c>
      <c r="H415" s="5" t="s">
        <v>27</v>
      </c>
      <c r="I415" s="1" t="s">
        <v>28</v>
      </c>
      <c r="J415" s="1" t="s">
        <v>259</v>
      </c>
      <c r="K415" s="1"/>
      <c r="L415" s="2" t="s">
        <v>1333</v>
      </c>
      <c r="M415" s="1"/>
      <c r="N415" s="1"/>
      <c r="O415" s="1"/>
      <c r="P415" s="1"/>
      <c r="Q415" s="1"/>
      <c r="R415" s="1"/>
      <c r="S415" s="1"/>
      <c r="T415" s="1"/>
      <c r="U415" s="1"/>
      <c r="V415" s="1"/>
      <c r="W415" s="1"/>
      <c r="X415" s="1"/>
      <c r="Y415" s="1"/>
      <c r="Z415" s="1"/>
    </row>
    <row r="416" spans="1:26" ht="33.75" customHeight="1">
      <c r="A416" s="1">
        <v>1689</v>
      </c>
      <c r="B416" s="1" t="s">
        <v>1334</v>
      </c>
      <c r="C416" s="1" t="s">
        <v>846</v>
      </c>
      <c r="D416" s="4">
        <v>39853.572222222225</v>
      </c>
      <c r="E416" s="1" t="s">
        <v>393</v>
      </c>
      <c r="F416" s="1"/>
      <c r="G416" s="5" t="s">
        <v>15</v>
      </c>
      <c r="H416" s="5" t="s">
        <v>150</v>
      </c>
      <c r="I416" s="1" t="s">
        <v>1335</v>
      </c>
      <c r="J416" s="1"/>
      <c r="K416" s="1" t="s">
        <v>1336</v>
      </c>
      <c r="L416" s="2" t="s">
        <v>1337</v>
      </c>
      <c r="M416" s="1"/>
      <c r="N416" s="1"/>
      <c r="O416" s="1"/>
      <c r="P416" s="1"/>
      <c r="Q416" s="1"/>
      <c r="R416" s="1"/>
      <c r="S416" s="1"/>
      <c r="T416" s="1"/>
      <c r="U416" s="1"/>
      <c r="V416" s="1"/>
      <c r="W416" s="1"/>
      <c r="X416" s="1"/>
      <c r="Y416" s="1"/>
      <c r="Z416" s="1"/>
    </row>
    <row r="417" spans="1:26" ht="33.75" customHeight="1">
      <c r="A417" s="1">
        <v>95</v>
      </c>
      <c r="B417" s="1" t="s">
        <v>1338</v>
      </c>
      <c r="C417" s="3" t="s">
        <v>13</v>
      </c>
      <c r="D417" s="4">
        <v>39853.697222222225</v>
      </c>
      <c r="E417" s="1" t="s">
        <v>101</v>
      </c>
      <c r="F417" s="1" t="s">
        <v>1332</v>
      </c>
      <c r="G417" s="5" t="s">
        <v>39</v>
      </c>
      <c r="H417" s="5" t="s">
        <v>40</v>
      </c>
      <c r="I417" s="1" t="s">
        <v>1285</v>
      </c>
      <c r="J417" s="1"/>
      <c r="K417" s="1"/>
      <c r="L417" s="2" t="s">
        <v>1339</v>
      </c>
      <c r="M417" s="1"/>
      <c r="N417" s="1"/>
      <c r="O417" s="1"/>
      <c r="P417" s="1"/>
      <c r="Q417" s="1"/>
      <c r="R417" s="1"/>
      <c r="S417" s="1"/>
      <c r="T417" s="1"/>
      <c r="U417" s="1"/>
      <c r="V417" s="1"/>
      <c r="W417" s="1"/>
      <c r="X417" s="1"/>
      <c r="Y417" s="1"/>
      <c r="Z417" s="1"/>
    </row>
    <row r="418" spans="1:26" ht="33.75" customHeight="1">
      <c r="A418" s="1">
        <v>1690</v>
      </c>
      <c r="B418" s="1" t="s">
        <v>1340</v>
      </c>
      <c r="C418" s="1" t="s">
        <v>846</v>
      </c>
      <c r="D418" s="4">
        <v>39853.705555555556</v>
      </c>
      <c r="E418" s="1" t="s">
        <v>54</v>
      </c>
      <c r="F418" s="1" t="s">
        <v>1341</v>
      </c>
      <c r="G418" s="6" t="s">
        <v>78</v>
      </c>
      <c r="H418" s="5" t="s">
        <v>870</v>
      </c>
      <c r="I418" s="1" t="s">
        <v>64</v>
      </c>
      <c r="J418" s="1"/>
      <c r="K418" s="1"/>
      <c r="L418" s="2" t="s">
        <v>1342</v>
      </c>
      <c r="M418" s="1"/>
      <c r="N418" s="1"/>
      <c r="O418" s="1"/>
      <c r="P418" s="1"/>
      <c r="Q418" s="1"/>
      <c r="R418" s="1"/>
      <c r="S418" s="1"/>
      <c r="T418" s="1"/>
      <c r="U418" s="1"/>
      <c r="V418" s="1"/>
      <c r="W418" s="1"/>
      <c r="X418" s="1"/>
      <c r="Y418" s="1"/>
      <c r="Z418" s="1"/>
    </row>
    <row r="419" spans="1:26" ht="33.75" customHeight="1">
      <c r="A419" s="1">
        <v>640</v>
      </c>
      <c r="B419" s="1" t="s">
        <v>1343</v>
      </c>
      <c r="C419" s="1" t="s">
        <v>1196</v>
      </c>
      <c r="D419" s="4">
        <v>39853.713888888888</v>
      </c>
      <c r="E419" s="1" t="s">
        <v>393</v>
      </c>
      <c r="F419" s="1" t="s">
        <v>1317</v>
      </c>
      <c r="G419" s="5" t="s">
        <v>15</v>
      </c>
      <c r="H419" s="5" t="s">
        <v>150</v>
      </c>
      <c r="I419" s="1" t="s">
        <v>166</v>
      </c>
      <c r="J419" s="1"/>
      <c r="K419" s="1"/>
      <c r="L419" s="2" t="s">
        <v>1344</v>
      </c>
      <c r="M419" s="1"/>
      <c r="N419" s="1"/>
      <c r="O419" s="1"/>
      <c r="P419" s="1"/>
      <c r="Q419" s="1"/>
      <c r="R419" s="1"/>
      <c r="S419" s="1"/>
      <c r="T419" s="1"/>
      <c r="U419" s="1"/>
      <c r="V419" s="1"/>
      <c r="W419" s="1"/>
      <c r="X419" s="1"/>
      <c r="Y419" s="1"/>
      <c r="Z419" s="1"/>
    </row>
    <row r="420" spans="1:26" ht="33.75" customHeight="1">
      <c r="A420" s="1">
        <v>548</v>
      </c>
      <c r="B420" s="1" t="s">
        <v>1345</v>
      </c>
      <c r="C420" s="1" t="s">
        <v>680</v>
      </c>
      <c r="D420" s="4">
        <v>39853.741666666669</v>
      </c>
      <c r="E420" s="1" t="s">
        <v>101</v>
      </c>
      <c r="F420" s="1"/>
      <c r="G420" s="5" t="s">
        <v>33</v>
      </c>
      <c r="H420" s="5" t="s">
        <v>34</v>
      </c>
      <c r="I420" s="1" t="s">
        <v>35</v>
      </c>
      <c r="J420" s="1" t="s">
        <v>1346</v>
      </c>
      <c r="K420" s="1" t="s">
        <v>1347</v>
      </c>
      <c r="L420" s="2" t="s">
        <v>1348</v>
      </c>
      <c r="M420" s="1"/>
      <c r="N420" s="1"/>
      <c r="O420" s="1"/>
      <c r="P420" s="1"/>
      <c r="Q420" s="1"/>
      <c r="R420" s="1"/>
      <c r="S420" s="1"/>
      <c r="T420" s="1"/>
      <c r="U420" s="1"/>
      <c r="V420" s="1"/>
      <c r="W420" s="1"/>
      <c r="X420" s="1"/>
      <c r="Y420" s="1"/>
      <c r="Z420" s="1"/>
    </row>
    <row r="421" spans="1:26" ht="33.75" customHeight="1">
      <c r="A421" s="1">
        <v>641</v>
      </c>
      <c r="B421" s="1" t="s">
        <v>1349</v>
      </c>
      <c r="C421" s="1" t="s">
        <v>1196</v>
      </c>
      <c r="D421" s="4">
        <v>39853.789583333331</v>
      </c>
      <c r="E421" s="1" t="s">
        <v>54</v>
      </c>
      <c r="F421" s="1">
        <v>412</v>
      </c>
      <c r="G421" s="6" t="s">
        <v>78</v>
      </c>
      <c r="H421" s="5" t="s">
        <v>479</v>
      </c>
      <c r="I421" s="1" t="s">
        <v>1350</v>
      </c>
      <c r="J421" s="1"/>
      <c r="K421" s="1"/>
      <c r="L421" s="2" t="s">
        <v>1351</v>
      </c>
      <c r="M421" s="1"/>
      <c r="N421" s="1"/>
      <c r="O421" s="1"/>
      <c r="P421" s="1"/>
      <c r="Q421" s="1"/>
      <c r="R421" s="1"/>
      <c r="S421" s="1"/>
      <c r="T421" s="1"/>
      <c r="U421" s="1"/>
      <c r="V421" s="1"/>
      <c r="W421" s="1"/>
      <c r="X421" s="1"/>
      <c r="Y421" s="1"/>
      <c r="Z421" s="1"/>
    </row>
    <row r="422" spans="1:26" ht="33.75" customHeight="1">
      <c r="A422" s="1">
        <v>642</v>
      </c>
      <c r="B422" s="1" t="s">
        <v>1352</v>
      </c>
      <c r="C422" s="1" t="s">
        <v>1196</v>
      </c>
      <c r="D422" s="4">
        <v>39853.793055555558</v>
      </c>
      <c r="E422" s="1" t="s">
        <v>14</v>
      </c>
      <c r="F422" s="1" t="s">
        <v>1343</v>
      </c>
      <c r="G422" s="5" t="s">
        <v>64</v>
      </c>
      <c r="H422" s="5" t="s">
        <v>263</v>
      </c>
      <c r="I422" s="1" t="s">
        <v>166</v>
      </c>
      <c r="J422" s="1" t="s">
        <v>213</v>
      </c>
      <c r="K422" s="1"/>
      <c r="L422" s="2" t="s">
        <v>1353</v>
      </c>
      <c r="M422" s="1"/>
      <c r="N422" s="1"/>
      <c r="O422" s="1"/>
      <c r="P422" s="1"/>
      <c r="Q422" s="1"/>
      <c r="R422" s="1"/>
      <c r="S422" s="1"/>
      <c r="T422" s="1"/>
      <c r="U422" s="1"/>
      <c r="V422" s="1"/>
      <c r="W422" s="1"/>
      <c r="X422" s="1"/>
      <c r="Y422" s="1"/>
      <c r="Z422" s="1"/>
    </row>
    <row r="423" spans="1:26" ht="33.75" customHeight="1">
      <c r="A423" s="1">
        <v>97</v>
      </c>
      <c r="B423" s="1" t="s">
        <v>1354</v>
      </c>
      <c r="C423" s="3" t="s">
        <v>13</v>
      </c>
      <c r="D423" s="4">
        <v>39853.819444444445</v>
      </c>
      <c r="E423" s="1" t="s">
        <v>913</v>
      </c>
      <c r="F423" s="1" t="s">
        <v>1338</v>
      </c>
      <c r="G423" s="5" t="s">
        <v>26</v>
      </c>
      <c r="H423" s="5" t="s">
        <v>27</v>
      </c>
      <c r="I423" s="1" t="s">
        <v>28</v>
      </c>
      <c r="J423" s="1" t="s">
        <v>259</v>
      </c>
      <c r="K423" s="1"/>
      <c r="L423" s="2" t="s">
        <v>1355</v>
      </c>
      <c r="M423" s="1"/>
      <c r="N423" s="1"/>
      <c r="O423" s="1"/>
      <c r="P423" s="1"/>
      <c r="Q423" s="1"/>
      <c r="R423" s="1"/>
      <c r="S423" s="1"/>
      <c r="T423" s="1"/>
      <c r="U423" s="1"/>
      <c r="V423" s="1"/>
      <c r="W423" s="1"/>
      <c r="X423" s="1"/>
      <c r="Y423" s="1"/>
      <c r="Z423" s="1"/>
    </row>
    <row r="424" spans="1:26" ht="33.75" customHeight="1">
      <c r="A424" s="1">
        <v>643</v>
      </c>
      <c r="B424" s="1" t="s">
        <v>1356</v>
      </c>
      <c r="C424" s="1" t="s">
        <v>1196</v>
      </c>
      <c r="D424" s="4">
        <v>39853.829861111109</v>
      </c>
      <c r="E424" s="1" t="s">
        <v>255</v>
      </c>
      <c r="F424" s="1" t="s">
        <v>1357</v>
      </c>
      <c r="G424" s="5" t="s">
        <v>64</v>
      </c>
      <c r="H424" s="1"/>
      <c r="I424" s="1" t="s">
        <v>64</v>
      </c>
      <c r="J424" s="1" t="s">
        <v>1358</v>
      </c>
      <c r="K424" s="1"/>
      <c r="L424" s="2" t="s">
        <v>1359</v>
      </c>
      <c r="M424" s="1"/>
      <c r="N424" s="1"/>
      <c r="O424" s="1"/>
      <c r="P424" s="1"/>
      <c r="Q424" s="1"/>
      <c r="R424" s="1"/>
      <c r="S424" s="1"/>
      <c r="T424" s="1"/>
      <c r="U424" s="1"/>
      <c r="V424" s="1"/>
      <c r="W424" s="1"/>
      <c r="X424" s="1"/>
      <c r="Y424" s="1"/>
      <c r="Z424" s="1"/>
    </row>
    <row r="425" spans="1:26" ht="33.75" customHeight="1">
      <c r="A425" s="1">
        <v>1691</v>
      </c>
      <c r="B425" s="1" t="s">
        <v>1360</v>
      </c>
      <c r="C425" s="1" t="s">
        <v>846</v>
      </c>
      <c r="D425" s="4">
        <v>39853.834027777775</v>
      </c>
      <c r="E425" s="1" t="s">
        <v>1089</v>
      </c>
      <c r="F425" s="1" t="s">
        <v>1287</v>
      </c>
      <c r="G425" s="5" t="s">
        <v>64</v>
      </c>
      <c r="H425" s="5" t="s">
        <v>179</v>
      </c>
      <c r="I425" s="1" t="s">
        <v>179</v>
      </c>
      <c r="J425" s="1"/>
      <c r="K425" s="1"/>
      <c r="L425" s="2" t="s">
        <v>1361</v>
      </c>
      <c r="M425" s="1"/>
      <c r="N425" s="1"/>
      <c r="O425" s="1"/>
      <c r="P425" s="1"/>
      <c r="Q425" s="1"/>
      <c r="R425" s="1"/>
      <c r="S425" s="1"/>
      <c r="T425" s="1"/>
      <c r="U425" s="1"/>
      <c r="V425" s="1"/>
      <c r="W425" s="1"/>
      <c r="X425" s="1"/>
      <c r="Y425" s="1"/>
      <c r="Z425" s="1"/>
    </row>
    <row r="426" spans="1:26" ht="33.75" customHeight="1">
      <c r="A426" s="1">
        <v>1692</v>
      </c>
      <c r="B426" s="1" t="s">
        <v>1362</v>
      </c>
      <c r="C426" s="1" t="s">
        <v>846</v>
      </c>
      <c r="D426" s="4">
        <v>39853.892361111109</v>
      </c>
      <c r="E426" s="1" t="s">
        <v>1241</v>
      </c>
      <c r="F426" s="1" t="s">
        <v>1240</v>
      </c>
      <c r="G426" s="5" t="s">
        <v>64</v>
      </c>
      <c r="H426" s="5" t="s">
        <v>179</v>
      </c>
      <c r="I426" s="1" t="s">
        <v>179</v>
      </c>
      <c r="J426" s="1"/>
      <c r="K426" s="1"/>
      <c r="L426" s="2" t="s">
        <v>1363</v>
      </c>
      <c r="M426" s="1"/>
      <c r="N426" s="1"/>
      <c r="O426" s="1"/>
      <c r="P426" s="1"/>
      <c r="Q426" s="1"/>
      <c r="R426" s="1"/>
      <c r="S426" s="1"/>
      <c r="T426" s="1"/>
      <c r="U426" s="1"/>
      <c r="V426" s="1"/>
      <c r="W426" s="1"/>
      <c r="X426" s="1"/>
      <c r="Y426" s="1"/>
      <c r="Z426" s="1"/>
    </row>
    <row r="427" spans="1:26" ht="33.75" customHeight="1">
      <c r="A427" s="1">
        <v>644</v>
      </c>
      <c r="B427" s="1" t="s">
        <v>1364</v>
      </c>
      <c r="C427" s="1" t="s">
        <v>1196</v>
      </c>
      <c r="D427" s="4">
        <v>39853.916666666664</v>
      </c>
      <c r="E427" s="1" t="s">
        <v>320</v>
      </c>
      <c r="F427" s="1">
        <v>413</v>
      </c>
      <c r="G427" s="6" t="s">
        <v>78</v>
      </c>
      <c r="H427" s="5" t="s">
        <v>479</v>
      </c>
      <c r="I427" s="1" t="s">
        <v>1365</v>
      </c>
      <c r="J427" s="1"/>
      <c r="K427" s="1"/>
      <c r="L427" s="2" t="s">
        <v>1366</v>
      </c>
      <c r="M427" s="1"/>
      <c r="N427" s="1"/>
      <c r="O427" s="1"/>
      <c r="P427" s="1"/>
      <c r="Q427" s="1"/>
      <c r="R427" s="1"/>
      <c r="S427" s="1"/>
      <c r="T427" s="1"/>
      <c r="U427" s="1"/>
      <c r="V427" s="1"/>
      <c r="W427" s="1"/>
      <c r="X427" s="1"/>
      <c r="Y427" s="1"/>
      <c r="Z427" s="1"/>
    </row>
    <row r="428" spans="1:26" ht="33.75" customHeight="1">
      <c r="A428" s="1">
        <v>645</v>
      </c>
      <c r="B428" s="1" t="s">
        <v>1367</v>
      </c>
      <c r="C428" s="1" t="s">
        <v>1196</v>
      </c>
      <c r="D428" s="4">
        <v>39853.938194444447</v>
      </c>
      <c r="E428" s="1" t="s">
        <v>320</v>
      </c>
      <c r="F428" s="1">
        <v>418</v>
      </c>
      <c r="G428" s="5" t="s">
        <v>26</v>
      </c>
      <c r="H428" s="5" t="s">
        <v>133</v>
      </c>
      <c r="I428" s="1" t="s">
        <v>28</v>
      </c>
      <c r="J428" s="1" t="s">
        <v>134</v>
      </c>
      <c r="K428" s="1"/>
      <c r="L428" s="2" t="s">
        <v>1368</v>
      </c>
      <c r="M428" s="1"/>
      <c r="N428" s="1"/>
      <c r="O428" s="1"/>
      <c r="P428" s="1"/>
      <c r="Q428" s="1"/>
      <c r="R428" s="1"/>
      <c r="S428" s="1"/>
      <c r="T428" s="1"/>
      <c r="U428" s="1"/>
      <c r="V428" s="1"/>
      <c r="W428" s="1"/>
      <c r="X428" s="1"/>
      <c r="Y428" s="1"/>
      <c r="Z428" s="1"/>
    </row>
    <row r="429" spans="1:26" ht="33.75" customHeight="1">
      <c r="A429" s="1">
        <v>646</v>
      </c>
      <c r="B429" s="1" t="s">
        <v>1369</v>
      </c>
      <c r="C429" s="1" t="s">
        <v>1196</v>
      </c>
      <c r="D429" s="4">
        <v>39853.954861111109</v>
      </c>
      <c r="E429" s="1" t="s">
        <v>320</v>
      </c>
      <c r="F429" s="1" t="s">
        <v>1370</v>
      </c>
      <c r="G429" s="5" t="s">
        <v>26</v>
      </c>
      <c r="H429" s="5" t="s">
        <v>133</v>
      </c>
      <c r="I429" s="1" t="s">
        <v>1371</v>
      </c>
      <c r="J429" s="1"/>
      <c r="K429" s="1"/>
      <c r="L429" s="2" t="s">
        <v>1372</v>
      </c>
      <c r="M429" s="1"/>
      <c r="N429" s="1"/>
      <c r="O429" s="1"/>
      <c r="P429" s="1"/>
      <c r="Q429" s="1"/>
      <c r="R429" s="1"/>
      <c r="S429" s="1"/>
      <c r="T429" s="1"/>
      <c r="U429" s="1"/>
      <c r="V429" s="1"/>
      <c r="W429" s="1"/>
      <c r="X429" s="1"/>
      <c r="Y429" s="1"/>
      <c r="Z429" s="1"/>
    </row>
    <row r="430" spans="1:26" ht="33.75" customHeight="1">
      <c r="A430" s="1">
        <v>647</v>
      </c>
      <c r="B430" s="1" t="s">
        <v>1373</v>
      </c>
      <c r="C430" s="1" t="s">
        <v>1196</v>
      </c>
      <c r="D430" s="4">
        <v>39853.958333333336</v>
      </c>
      <c r="E430" s="1" t="s">
        <v>393</v>
      </c>
      <c r="F430" s="1" t="s">
        <v>1367</v>
      </c>
      <c r="G430" s="5" t="s">
        <v>26</v>
      </c>
      <c r="H430" s="5" t="s">
        <v>27</v>
      </c>
      <c r="I430" s="1" t="s">
        <v>28</v>
      </c>
      <c r="J430" s="1" t="s">
        <v>29</v>
      </c>
      <c r="K430" s="1"/>
      <c r="L430" s="2" t="s">
        <v>1374</v>
      </c>
      <c r="M430" s="1"/>
      <c r="N430" s="1"/>
      <c r="O430" s="1"/>
      <c r="P430" s="1"/>
      <c r="Q430" s="1"/>
      <c r="R430" s="1"/>
      <c r="S430" s="1"/>
      <c r="T430" s="1"/>
      <c r="U430" s="1"/>
      <c r="V430" s="1"/>
      <c r="W430" s="1"/>
      <c r="X430" s="1"/>
      <c r="Y430" s="1"/>
      <c r="Z430" s="1"/>
    </row>
    <row r="431" spans="1:26" ht="33.75" customHeight="1">
      <c r="A431" s="1">
        <v>648</v>
      </c>
      <c r="B431" s="1" t="s">
        <v>1375</v>
      </c>
      <c r="C431" s="1" t="s">
        <v>1196</v>
      </c>
      <c r="D431" s="4">
        <v>39853.960416666669</v>
      </c>
      <c r="E431" s="1" t="s">
        <v>393</v>
      </c>
      <c r="F431" s="1" t="s">
        <v>1369</v>
      </c>
      <c r="G431" s="5" t="s">
        <v>26</v>
      </c>
      <c r="H431" s="5" t="s">
        <v>133</v>
      </c>
      <c r="I431" s="1" t="s">
        <v>1376</v>
      </c>
      <c r="J431" s="1"/>
      <c r="K431" s="1"/>
      <c r="L431" s="2" t="s">
        <v>1377</v>
      </c>
      <c r="M431" s="1"/>
      <c r="N431" s="1"/>
      <c r="O431" s="1"/>
      <c r="P431" s="1"/>
      <c r="Q431" s="1"/>
      <c r="R431" s="1"/>
      <c r="S431" s="1"/>
      <c r="T431" s="1"/>
      <c r="U431" s="1"/>
      <c r="V431" s="1"/>
      <c r="W431" s="1"/>
      <c r="X431" s="1"/>
      <c r="Y431" s="1"/>
      <c r="Z431" s="1"/>
    </row>
    <row r="432" spans="1:26" ht="33.75" customHeight="1">
      <c r="A432" s="1">
        <v>649</v>
      </c>
      <c r="B432" s="1" t="s">
        <v>1378</v>
      </c>
      <c r="C432" s="1" t="s">
        <v>1196</v>
      </c>
      <c r="D432" s="4">
        <v>39853.961111111108</v>
      </c>
      <c r="E432" s="1" t="s">
        <v>14</v>
      </c>
      <c r="F432" s="1" t="s">
        <v>1379</v>
      </c>
      <c r="G432" s="5" t="s">
        <v>26</v>
      </c>
      <c r="H432" s="5" t="s">
        <v>133</v>
      </c>
      <c r="I432" s="1" t="s">
        <v>1380</v>
      </c>
      <c r="J432" s="1"/>
      <c r="K432" s="1"/>
      <c r="L432" s="2" t="s">
        <v>1381</v>
      </c>
      <c r="M432" s="1"/>
      <c r="N432" s="1"/>
      <c r="O432" s="1"/>
      <c r="P432" s="1"/>
      <c r="Q432" s="1"/>
      <c r="R432" s="1"/>
      <c r="S432" s="1"/>
      <c r="T432" s="1"/>
      <c r="U432" s="1"/>
      <c r="V432" s="1"/>
      <c r="W432" s="1"/>
      <c r="X432" s="1"/>
      <c r="Y432" s="1"/>
      <c r="Z432" s="1"/>
    </row>
    <row r="433" spans="1:26" ht="33.75" customHeight="1">
      <c r="A433" s="1">
        <v>650</v>
      </c>
      <c r="B433" s="1" t="s">
        <v>1382</v>
      </c>
      <c r="C433" s="1" t="s">
        <v>1196</v>
      </c>
      <c r="D433" s="4">
        <v>39853.963888888888</v>
      </c>
      <c r="E433" s="1" t="s">
        <v>14</v>
      </c>
      <c r="F433" s="1" t="s">
        <v>1383</v>
      </c>
      <c r="G433" s="5" t="s">
        <v>26</v>
      </c>
      <c r="H433" s="5" t="s">
        <v>133</v>
      </c>
      <c r="I433" s="1" t="s">
        <v>28</v>
      </c>
      <c r="J433" s="1" t="s">
        <v>134</v>
      </c>
      <c r="K433" s="1"/>
      <c r="L433" s="2" t="s">
        <v>1384</v>
      </c>
      <c r="M433" s="1"/>
      <c r="N433" s="1"/>
      <c r="O433" s="1"/>
      <c r="P433" s="1"/>
      <c r="Q433" s="1"/>
      <c r="R433" s="1"/>
      <c r="S433" s="1"/>
      <c r="T433" s="1"/>
      <c r="U433" s="1"/>
      <c r="V433" s="1"/>
      <c r="W433" s="1"/>
      <c r="X433" s="1"/>
      <c r="Y433" s="1"/>
      <c r="Z433" s="1"/>
    </row>
    <row r="434" spans="1:26" ht="33.75" customHeight="1">
      <c r="A434" s="1">
        <v>651</v>
      </c>
      <c r="B434" s="1" t="s">
        <v>1385</v>
      </c>
      <c r="C434" s="1" t="s">
        <v>1196</v>
      </c>
      <c r="D434" s="4">
        <v>39853.977083333331</v>
      </c>
      <c r="E434" s="1" t="s">
        <v>393</v>
      </c>
      <c r="F434" s="1" t="s">
        <v>1386</v>
      </c>
      <c r="G434" s="5" t="s">
        <v>26</v>
      </c>
      <c r="H434" s="5" t="s">
        <v>27</v>
      </c>
      <c r="I434" s="1" t="s">
        <v>28</v>
      </c>
      <c r="J434" s="1" t="s">
        <v>29</v>
      </c>
      <c r="K434" s="1"/>
      <c r="L434" s="2" t="s">
        <v>1387</v>
      </c>
      <c r="M434" s="1"/>
      <c r="N434" s="1"/>
      <c r="O434" s="1"/>
      <c r="P434" s="1"/>
      <c r="Q434" s="1"/>
      <c r="R434" s="1"/>
      <c r="S434" s="1"/>
      <c r="T434" s="1"/>
      <c r="U434" s="1"/>
      <c r="V434" s="1"/>
      <c r="W434" s="1"/>
      <c r="X434" s="1"/>
      <c r="Y434" s="1"/>
      <c r="Z434" s="1"/>
    </row>
    <row r="435" spans="1:26" ht="33.75" customHeight="1">
      <c r="A435" s="1">
        <v>652</v>
      </c>
      <c r="B435" s="1" t="s">
        <v>1388</v>
      </c>
      <c r="C435" s="1" t="s">
        <v>1196</v>
      </c>
      <c r="D435" s="4">
        <v>39853.979861111111</v>
      </c>
      <c r="E435" s="1" t="s">
        <v>54</v>
      </c>
      <c r="F435" s="1"/>
      <c r="G435" s="5" t="s">
        <v>15</v>
      </c>
      <c r="H435" s="5" t="s">
        <v>150</v>
      </c>
      <c r="I435" s="1" t="s">
        <v>1389</v>
      </c>
      <c r="J435" s="1"/>
      <c r="K435" s="1" t="s">
        <v>1390</v>
      </c>
      <c r="L435" s="2" t="s">
        <v>1391</v>
      </c>
      <c r="M435" s="1"/>
      <c r="N435" s="1"/>
      <c r="O435" s="1"/>
      <c r="P435" s="1"/>
      <c r="Q435" s="1"/>
      <c r="R435" s="1"/>
      <c r="S435" s="1"/>
      <c r="T435" s="1"/>
      <c r="U435" s="1"/>
      <c r="V435" s="1"/>
      <c r="W435" s="1"/>
      <c r="X435" s="1"/>
      <c r="Y435" s="1"/>
      <c r="Z435" s="1"/>
    </row>
    <row r="436" spans="1:26" ht="33.75" customHeight="1">
      <c r="A436" s="1">
        <v>653</v>
      </c>
      <c r="B436" s="1" t="s">
        <v>1392</v>
      </c>
      <c r="C436" s="1" t="s">
        <v>1196</v>
      </c>
      <c r="D436" s="4">
        <v>39853.990972222222</v>
      </c>
      <c r="E436" s="1" t="s">
        <v>14</v>
      </c>
      <c r="F436" s="1" t="s">
        <v>1373</v>
      </c>
      <c r="G436" s="5" t="s">
        <v>26</v>
      </c>
      <c r="H436" s="5" t="s">
        <v>133</v>
      </c>
      <c r="I436" s="1" t="s">
        <v>1371</v>
      </c>
      <c r="J436" s="1"/>
      <c r="K436" s="1"/>
      <c r="L436" s="2" t="s">
        <v>1393</v>
      </c>
      <c r="M436" s="1"/>
      <c r="N436" s="1"/>
      <c r="O436" s="1"/>
      <c r="P436" s="1"/>
      <c r="Q436" s="1"/>
      <c r="R436" s="1"/>
      <c r="S436" s="1"/>
      <c r="T436" s="1"/>
      <c r="U436" s="1"/>
      <c r="V436" s="1"/>
      <c r="W436" s="1"/>
      <c r="X436" s="1"/>
      <c r="Y436" s="1"/>
      <c r="Z436" s="1"/>
    </row>
    <row r="437" spans="1:26" ht="33.75" customHeight="1">
      <c r="A437" s="1">
        <v>654</v>
      </c>
      <c r="B437" s="1" t="s">
        <v>1394</v>
      </c>
      <c r="C437" s="1" t="s">
        <v>1196</v>
      </c>
      <c r="D437" s="4">
        <v>39853.994444444441</v>
      </c>
      <c r="E437" s="1" t="s">
        <v>54</v>
      </c>
      <c r="F437" s="1">
        <v>411</v>
      </c>
      <c r="G437" s="5" t="s">
        <v>64</v>
      </c>
      <c r="H437" s="1"/>
      <c r="I437" s="1" t="s">
        <v>64</v>
      </c>
      <c r="J437" s="1"/>
      <c r="K437" s="1"/>
      <c r="L437" s="2" t="s">
        <v>1395</v>
      </c>
      <c r="M437" s="1"/>
      <c r="N437" s="1"/>
      <c r="O437" s="1"/>
      <c r="P437" s="1"/>
      <c r="Q437" s="1"/>
      <c r="R437" s="1"/>
      <c r="S437" s="1"/>
      <c r="T437" s="1"/>
      <c r="U437" s="1"/>
      <c r="V437" s="1"/>
      <c r="W437" s="1"/>
      <c r="X437" s="1"/>
      <c r="Y437" s="1"/>
      <c r="Z437" s="1"/>
    </row>
    <row r="438" spans="1:26" ht="33.75" customHeight="1">
      <c r="A438" s="1">
        <v>655</v>
      </c>
      <c r="B438" s="1" t="s">
        <v>1396</v>
      </c>
      <c r="C438" s="1" t="s">
        <v>1196</v>
      </c>
      <c r="D438" s="4">
        <v>39853.995138888888</v>
      </c>
      <c r="E438" s="1" t="s">
        <v>393</v>
      </c>
      <c r="F438" s="1"/>
      <c r="G438" s="5" t="s">
        <v>64</v>
      </c>
      <c r="H438" s="5" t="s">
        <v>431</v>
      </c>
      <c r="I438" s="1" t="s">
        <v>1397</v>
      </c>
      <c r="J438" s="1"/>
      <c r="K438" s="1"/>
      <c r="L438" s="2" t="s">
        <v>1398</v>
      </c>
      <c r="M438" s="1"/>
      <c r="N438" s="1"/>
      <c r="O438" s="1"/>
      <c r="P438" s="1"/>
      <c r="Q438" s="1"/>
      <c r="R438" s="1"/>
      <c r="S438" s="1"/>
      <c r="T438" s="1"/>
      <c r="U438" s="1"/>
      <c r="V438" s="1"/>
      <c r="W438" s="1"/>
      <c r="X438" s="1"/>
      <c r="Y438" s="1"/>
      <c r="Z438" s="1"/>
    </row>
    <row r="439" spans="1:26" ht="33.75" customHeight="1">
      <c r="A439" s="1">
        <v>656</v>
      </c>
      <c r="B439" s="1" t="s">
        <v>1399</v>
      </c>
      <c r="C439" s="1" t="s">
        <v>1196</v>
      </c>
      <c r="D439" s="4">
        <v>39853.99722222222</v>
      </c>
      <c r="E439" s="1" t="s">
        <v>54</v>
      </c>
      <c r="F439" s="1">
        <v>431</v>
      </c>
      <c r="G439" s="5" t="s">
        <v>64</v>
      </c>
      <c r="H439" s="5" t="s">
        <v>282</v>
      </c>
      <c r="I439" s="1" t="s">
        <v>64</v>
      </c>
      <c r="J439" s="1"/>
      <c r="K439" s="1"/>
      <c r="L439" s="2" t="s">
        <v>1400</v>
      </c>
      <c r="M439" s="1"/>
      <c r="N439" s="1"/>
      <c r="O439" s="1"/>
      <c r="P439" s="1"/>
      <c r="Q439" s="1"/>
      <c r="R439" s="1"/>
      <c r="S439" s="1"/>
      <c r="T439" s="1"/>
      <c r="U439" s="1"/>
      <c r="V439" s="1"/>
      <c r="W439" s="1"/>
      <c r="X439" s="1"/>
      <c r="Y439" s="1"/>
      <c r="Z439" s="1"/>
    </row>
    <row r="440" spans="1:26" ht="33.75" customHeight="1">
      <c r="A440" s="1">
        <v>657</v>
      </c>
      <c r="B440" s="1" t="s">
        <v>1401</v>
      </c>
      <c r="C440" s="1" t="s">
        <v>1196</v>
      </c>
      <c r="D440" s="4">
        <v>39854.010416666664</v>
      </c>
      <c r="E440" s="1" t="s">
        <v>393</v>
      </c>
      <c r="F440" s="1">
        <v>132</v>
      </c>
      <c r="G440" s="5" t="s">
        <v>64</v>
      </c>
      <c r="H440" s="1"/>
      <c r="I440" s="1" t="s">
        <v>64</v>
      </c>
      <c r="J440" s="1"/>
      <c r="K440" s="1"/>
      <c r="L440" s="2" t="s">
        <v>1402</v>
      </c>
      <c r="M440" s="1"/>
      <c r="N440" s="1"/>
      <c r="O440" s="1"/>
      <c r="P440" s="1"/>
      <c r="Q440" s="1"/>
      <c r="R440" s="1"/>
      <c r="S440" s="1"/>
      <c r="T440" s="1"/>
      <c r="U440" s="1"/>
      <c r="V440" s="1"/>
      <c r="W440" s="1"/>
      <c r="X440" s="1"/>
      <c r="Y440" s="1"/>
      <c r="Z440" s="1"/>
    </row>
    <row r="441" spans="1:26" ht="33.75" customHeight="1">
      <c r="A441" s="1">
        <v>658</v>
      </c>
      <c r="B441" s="1" t="s">
        <v>1403</v>
      </c>
      <c r="C441" s="1" t="s">
        <v>1196</v>
      </c>
      <c r="D441" s="4">
        <v>39854.020138888889</v>
      </c>
      <c r="E441" s="1" t="s">
        <v>320</v>
      </c>
      <c r="F441" s="9">
        <v>426427430</v>
      </c>
      <c r="G441" s="5" t="s">
        <v>64</v>
      </c>
      <c r="H441" s="5" t="s">
        <v>179</v>
      </c>
      <c r="I441" s="1" t="s">
        <v>179</v>
      </c>
      <c r="J441" s="1"/>
      <c r="K441" s="1"/>
      <c r="L441" s="2" t="s">
        <v>1404</v>
      </c>
      <c r="M441" s="1"/>
      <c r="N441" s="1"/>
      <c r="O441" s="1"/>
      <c r="P441" s="1"/>
      <c r="Q441" s="1"/>
      <c r="R441" s="1"/>
      <c r="S441" s="1"/>
      <c r="T441" s="1"/>
      <c r="U441" s="1"/>
      <c r="V441" s="1"/>
      <c r="W441" s="1"/>
      <c r="X441" s="1"/>
      <c r="Y441" s="1"/>
      <c r="Z441" s="1"/>
    </row>
    <row r="442" spans="1:26" ht="33.75" customHeight="1">
      <c r="A442" s="1">
        <v>659</v>
      </c>
      <c r="B442" s="1" t="s">
        <v>1405</v>
      </c>
      <c r="C442" s="1" t="s">
        <v>1196</v>
      </c>
      <c r="D442" s="4">
        <v>39854.146527777775</v>
      </c>
      <c r="E442" s="1" t="s">
        <v>54</v>
      </c>
      <c r="F442" s="1" t="s">
        <v>1406</v>
      </c>
      <c r="G442" s="5" t="s">
        <v>26</v>
      </c>
      <c r="H442" s="5" t="s">
        <v>27</v>
      </c>
      <c r="I442" s="1" t="s">
        <v>28</v>
      </c>
      <c r="J442" s="1" t="s">
        <v>29</v>
      </c>
      <c r="K442" s="1"/>
      <c r="L442" s="2" t="s">
        <v>1407</v>
      </c>
      <c r="M442" s="1"/>
      <c r="N442" s="1"/>
      <c r="O442" s="1"/>
      <c r="P442" s="1"/>
      <c r="Q442" s="1"/>
      <c r="R442" s="1"/>
      <c r="S442" s="1"/>
      <c r="T442" s="1"/>
      <c r="U442" s="1"/>
      <c r="V442" s="1"/>
      <c r="W442" s="1"/>
      <c r="X442" s="1"/>
      <c r="Y442" s="1"/>
      <c r="Z442" s="1"/>
    </row>
    <row r="443" spans="1:26" ht="33.75" customHeight="1">
      <c r="A443" s="1">
        <v>660</v>
      </c>
      <c r="B443" s="1" t="s">
        <v>1408</v>
      </c>
      <c r="C443" s="1" t="s">
        <v>1196</v>
      </c>
      <c r="D443" s="4">
        <v>39854.150694444441</v>
      </c>
      <c r="E443" s="1" t="s">
        <v>54</v>
      </c>
      <c r="F443" s="1"/>
      <c r="G443" s="6" t="s">
        <v>78</v>
      </c>
      <c r="H443" s="5" t="s">
        <v>197</v>
      </c>
      <c r="I443" s="1" t="s">
        <v>372</v>
      </c>
      <c r="J443" s="1"/>
      <c r="K443" s="1"/>
      <c r="L443" s="2" t="s">
        <v>1409</v>
      </c>
      <c r="M443" s="1"/>
      <c r="N443" s="1"/>
      <c r="O443" s="1"/>
      <c r="P443" s="1"/>
      <c r="Q443" s="1"/>
      <c r="R443" s="1"/>
      <c r="S443" s="1"/>
      <c r="T443" s="1"/>
      <c r="U443" s="1"/>
      <c r="V443" s="1"/>
      <c r="W443" s="1"/>
      <c r="X443" s="1"/>
      <c r="Y443" s="1"/>
      <c r="Z443" s="1"/>
    </row>
    <row r="444" spans="1:26" ht="33.75" customHeight="1">
      <c r="A444" s="1">
        <v>1693</v>
      </c>
      <c r="B444" s="1" t="s">
        <v>1410</v>
      </c>
      <c r="C444" s="1" t="s">
        <v>846</v>
      </c>
      <c r="D444" s="4">
        <v>39854.163888888892</v>
      </c>
      <c r="E444" s="1" t="s">
        <v>416</v>
      </c>
      <c r="F444" s="1"/>
      <c r="G444" s="5" t="s">
        <v>64</v>
      </c>
      <c r="H444" s="1"/>
      <c r="I444" s="1" t="s">
        <v>64</v>
      </c>
      <c r="J444" s="1"/>
      <c r="K444" s="1"/>
      <c r="L444" s="2" t="s">
        <v>1411</v>
      </c>
      <c r="M444" s="1"/>
      <c r="N444" s="1"/>
      <c r="O444" s="1"/>
      <c r="P444" s="1"/>
      <c r="Q444" s="1"/>
      <c r="R444" s="1"/>
      <c r="S444" s="1"/>
      <c r="T444" s="1"/>
      <c r="U444" s="1"/>
      <c r="V444" s="1"/>
      <c r="W444" s="1"/>
      <c r="X444" s="1"/>
      <c r="Y444" s="1"/>
      <c r="Z444" s="1"/>
    </row>
    <row r="445" spans="1:26" ht="33.75" customHeight="1">
      <c r="A445" s="1">
        <v>661</v>
      </c>
      <c r="B445" s="1" t="s">
        <v>1412</v>
      </c>
      <c r="C445" s="1" t="s">
        <v>1196</v>
      </c>
      <c r="D445" s="4">
        <v>39854.316666666666</v>
      </c>
      <c r="E445" s="1" t="s">
        <v>255</v>
      </c>
      <c r="F445" s="1"/>
      <c r="G445" s="5" t="s">
        <v>64</v>
      </c>
      <c r="H445" s="1"/>
      <c r="I445" s="1" t="s">
        <v>64</v>
      </c>
      <c r="J445" s="1"/>
      <c r="K445" s="1"/>
      <c r="L445" s="2" t="s">
        <v>1413</v>
      </c>
      <c r="M445" s="1"/>
      <c r="N445" s="1"/>
      <c r="O445" s="1"/>
      <c r="P445" s="1"/>
      <c r="Q445" s="1"/>
      <c r="R445" s="1"/>
      <c r="S445" s="1"/>
      <c r="T445" s="1"/>
      <c r="U445" s="1"/>
      <c r="V445" s="1"/>
      <c r="W445" s="1"/>
      <c r="X445" s="1"/>
      <c r="Y445" s="1"/>
      <c r="Z445" s="1"/>
    </row>
    <row r="446" spans="1:26" ht="33.75" customHeight="1">
      <c r="A446" s="1">
        <v>662</v>
      </c>
      <c r="B446" s="1" t="s">
        <v>1414</v>
      </c>
      <c r="C446" s="1" t="s">
        <v>1196</v>
      </c>
      <c r="D446" s="4">
        <v>39854.382638888892</v>
      </c>
      <c r="E446" s="1" t="s">
        <v>14</v>
      </c>
      <c r="F446" s="9">
        <v>431433</v>
      </c>
      <c r="G446" s="6" t="s">
        <v>78</v>
      </c>
      <c r="H446" s="5" t="s">
        <v>479</v>
      </c>
      <c r="I446" s="1" t="s">
        <v>1365</v>
      </c>
      <c r="J446" s="1"/>
      <c r="K446" s="1"/>
      <c r="L446" s="2" t="s">
        <v>1415</v>
      </c>
      <c r="M446" s="1"/>
      <c r="N446" s="1"/>
      <c r="O446" s="1"/>
      <c r="P446" s="1"/>
      <c r="Q446" s="1"/>
      <c r="R446" s="1"/>
      <c r="S446" s="1"/>
      <c r="T446" s="1"/>
      <c r="U446" s="1"/>
      <c r="V446" s="1"/>
      <c r="W446" s="1"/>
      <c r="X446" s="1"/>
      <c r="Y446" s="1"/>
      <c r="Z446" s="1"/>
    </row>
    <row r="447" spans="1:26" ht="33.75" customHeight="1">
      <c r="A447" s="1">
        <v>663</v>
      </c>
      <c r="B447" s="1" t="s">
        <v>1416</v>
      </c>
      <c r="C447" s="1" t="s">
        <v>1196</v>
      </c>
      <c r="D447" s="4">
        <v>39854.386805555558</v>
      </c>
      <c r="E447" s="1" t="s">
        <v>54</v>
      </c>
      <c r="F447" s="1">
        <v>413</v>
      </c>
      <c r="G447" s="5" t="s">
        <v>64</v>
      </c>
      <c r="H447" s="1"/>
      <c r="I447" s="1" t="s">
        <v>64</v>
      </c>
      <c r="J447" s="1" t="s">
        <v>673</v>
      </c>
      <c r="K447" s="1" t="s">
        <v>1417</v>
      </c>
      <c r="L447" s="2" t="s">
        <v>1418</v>
      </c>
      <c r="M447" s="1"/>
      <c r="N447" s="1"/>
      <c r="O447" s="1"/>
      <c r="P447" s="1"/>
      <c r="Q447" s="1"/>
      <c r="R447" s="1"/>
      <c r="S447" s="1"/>
      <c r="T447" s="1"/>
      <c r="U447" s="1"/>
      <c r="V447" s="1"/>
      <c r="W447" s="1"/>
      <c r="X447" s="1"/>
      <c r="Y447" s="1"/>
      <c r="Z447" s="1"/>
    </row>
    <row r="448" spans="1:26" ht="33.75" customHeight="1">
      <c r="A448" s="1">
        <v>1593</v>
      </c>
      <c r="B448" s="1" t="s">
        <v>1419</v>
      </c>
      <c r="C448" s="1" t="s">
        <v>846</v>
      </c>
      <c r="D448" s="4">
        <v>39854.42083333333</v>
      </c>
      <c r="E448" s="1" t="s">
        <v>1089</v>
      </c>
      <c r="F448" s="1" t="s">
        <v>1420</v>
      </c>
      <c r="G448" s="5" t="s">
        <v>64</v>
      </c>
      <c r="H448" s="1"/>
      <c r="I448" s="1" t="s">
        <v>64</v>
      </c>
      <c r="J448" s="1"/>
      <c r="K448" s="1"/>
      <c r="L448" s="2" t="s">
        <v>1421</v>
      </c>
      <c r="M448" s="1"/>
      <c r="N448" s="1"/>
      <c r="O448" s="1"/>
      <c r="P448" s="1"/>
      <c r="Q448" s="1"/>
      <c r="R448" s="1"/>
      <c r="S448" s="1"/>
      <c r="T448" s="1"/>
      <c r="U448" s="1"/>
      <c r="V448" s="1"/>
      <c r="W448" s="1"/>
      <c r="X448" s="1"/>
      <c r="Y448" s="1"/>
      <c r="Z448" s="1"/>
    </row>
    <row r="449" spans="1:26" ht="33.75" customHeight="1">
      <c r="A449" s="1">
        <v>1594</v>
      </c>
      <c r="B449" s="1" t="s">
        <v>1422</v>
      </c>
      <c r="C449" s="1" t="s">
        <v>846</v>
      </c>
      <c r="D449" s="4">
        <v>39854.48541666667</v>
      </c>
      <c r="E449" s="1" t="s">
        <v>54</v>
      </c>
      <c r="F449" s="1" t="s">
        <v>1419</v>
      </c>
      <c r="G449" s="5" t="s">
        <v>64</v>
      </c>
      <c r="H449" s="5" t="s">
        <v>1053</v>
      </c>
      <c r="I449" s="1" t="s">
        <v>1423</v>
      </c>
      <c r="J449" s="1"/>
      <c r="K449" s="1"/>
      <c r="L449" s="2" t="s">
        <v>1424</v>
      </c>
      <c r="M449" s="1"/>
      <c r="N449" s="1"/>
      <c r="O449" s="1"/>
      <c r="P449" s="1"/>
      <c r="Q449" s="1"/>
      <c r="R449" s="1"/>
      <c r="S449" s="1"/>
      <c r="T449" s="1"/>
      <c r="U449" s="1"/>
      <c r="V449" s="1"/>
      <c r="W449" s="1"/>
      <c r="X449" s="1"/>
      <c r="Y449" s="1"/>
      <c r="Z449" s="1"/>
    </row>
    <row r="450" spans="1:26" ht="33.75" customHeight="1">
      <c r="A450" s="1">
        <v>664</v>
      </c>
      <c r="B450" s="1" t="s">
        <v>1425</v>
      </c>
      <c r="C450" s="1" t="s">
        <v>1196</v>
      </c>
      <c r="D450" s="4">
        <v>39854.501388888886</v>
      </c>
      <c r="E450" s="1" t="s">
        <v>1426</v>
      </c>
      <c r="F450" s="1" t="s">
        <v>1416</v>
      </c>
      <c r="G450" s="5" t="s">
        <v>64</v>
      </c>
      <c r="H450" s="1"/>
      <c r="I450" s="1" t="s">
        <v>64</v>
      </c>
      <c r="J450" s="1"/>
      <c r="K450" s="1"/>
      <c r="L450" s="2" t="s">
        <v>1427</v>
      </c>
      <c r="M450" s="1"/>
      <c r="N450" s="1"/>
      <c r="O450" s="1"/>
      <c r="P450" s="1"/>
      <c r="Q450" s="1"/>
      <c r="R450" s="1"/>
      <c r="S450" s="1"/>
      <c r="T450" s="1"/>
      <c r="U450" s="1"/>
      <c r="V450" s="1"/>
      <c r="W450" s="1"/>
      <c r="X450" s="1"/>
      <c r="Y450" s="1"/>
      <c r="Z450" s="1"/>
    </row>
    <row r="451" spans="1:26" ht="33.75" customHeight="1">
      <c r="A451" s="1">
        <v>98</v>
      </c>
      <c r="B451" s="1" t="s">
        <v>1428</v>
      </c>
      <c r="C451" s="3" t="s">
        <v>13</v>
      </c>
      <c r="D451" s="4">
        <v>39854.531944444447</v>
      </c>
      <c r="E451" s="1" t="s">
        <v>1429</v>
      </c>
      <c r="F451" s="1"/>
      <c r="G451" s="5" t="s">
        <v>15</v>
      </c>
      <c r="H451" s="5" t="s">
        <v>22</v>
      </c>
      <c r="I451" s="1" t="s">
        <v>23</v>
      </c>
      <c r="J451" s="1"/>
      <c r="K451" s="1"/>
      <c r="L451" s="2" t="s">
        <v>1430</v>
      </c>
      <c r="M451" s="1"/>
      <c r="N451" s="1"/>
      <c r="O451" s="1"/>
      <c r="P451" s="1"/>
      <c r="Q451" s="1"/>
      <c r="R451" s="1"/>
      <c r="S451" s="1"/>
      <c r="T451" s="1"/>
      <c r="U451" s="1"/>
      <c r="V451" s="1"/>
      <c r="W451" s="1"/>
      <c r="X451" s="1"/>
      <c r="Y451" s="1"/>
      <c r="Z451" s="1"/>
    </row>
    <row r="452" spans="1:26" ht="33.75" customHeight="1">
      <c r="A452" s="1">
        <v>665</v>
      </c>
      <c r="B452" s="1" t="s">
        <v>1431</v>
      </c>
      <c r="C452" s="1" t="s">
        <v>1196</v>
      </c>
      <c r="D452" s="4">
        <v>39854.588888888888</v>
      </c>
      <c r="E452" s="1" t="s">
        <v>14</v>
      </c>
      <c r="F452" s="1" t="s">
        <v>1432</v>
      </c>
      <c r="G452" s="6" t="s">
        <v>78</v>
      </c>
      <c r="H452" s="5" t="s">
        <v>870</v>
      </c>
      <c r="I452" s="1" t="s">
        <v>480</v>
      </c>
      <c r="J452" s="1" t="s">
        <v>1063</v>
      </c>
      <c r="K452" s="1"/>
      <c r="L452" s="2" t="s">
        <v>1433</v>
      </c>
      <c r="M452" s="1"/>
      <c r="N452" s="1"/>
      <c r="O452" s="1"/>
      <c r="P452" s="1"/>
      <c r="Q452" s="1"/>
      <c r="R452" s="1"/>
      <c r="S452" s="1"/>
      <c r="T452" s="1"/>
      <c r="U452" s="1"/>
      <c r="V452" s="1"/>
      <c r="W452" s="1"/>
      <c r="X452" s="1"/>
      <c r="Y452" s="1"/>
      <c r="Z452" s="1"/>
    </row>
    <row r="453" spans="1:26" ht="33.75" customHeight="1">
      <c r="A453" s="1">
        <v>99</v>
      </c>
      <c r="B453" s="1" t="s">
        <v>1434</v>
      </c>
      <c r="C453" s="3" t="s">
        <v>13</v>
      </c>
      <c r="D453" s="4">
        <v>39854.794444444444</v>
      </c>
      <c r="E453" s="1" t="s">
        <v>1435</v>
      </c>
      <c r="F453" s="1"/>
      <c r="G453" s="5" t="s">
        <v>33</v>
      </c>
      <c r="H453" s="5" t="s">
        <v>34</v>
      </c>
      <c r="I453" s="1" t="s">
        <v>35</v>
      </c>
      <c r="J453" s="1" t="s">
        <v>1346</v>
      </c>
      <c r="K453" s="1" t="s">
        <v>1436</v>
      </c>
      <c r="L453" s="2" t="s">
        <v>1437</v>
      </c>
      <c r="M453" s="1"/>
      <c r="N453" s="1"/>
      <c r="O453" s="1"/>
      <c r="P453" s="1"/>
      <c r="Q453" s="1"/>
      <c r="R453" s="1"/>
      <c r="S453" s="1"/>
      <c r="T453" s="1"/>
      <c r="U453" s="1"/>
      <c r="V453" s="1"/>
      <c r="W453" s="1"/>
      <c r="X453" s="1"/>
      <c r="Y453" s="1"/>
      <c r="Z453" s="1"/>
    </row>
    <row r="454" spans="1:26" ht="33.75" customHeight="1">
      <c r="A454" s="1">
        <v>666</v>
      </c>
      <c r="B454" s="1" t="s">
        <v>1438</v>
      </c>
      <c r="C454" s="1" t="s">
        <v>1196</v>
      </c>
      <c r="D454" s="4">
        <v>39854.84097222222</v>
      </c>
      <c r="E454" s="1" t="s">
        <v>14</v>
      </c>
      <c r="F454" s="1"/>
      <c r="G454" s="5" t="s">
        <v>64</v>
      </c>
      <c r="H454" s="1"/>
      <c r="I454" s="1" t="s">
        <v>64</v>
      </c>
      <c r="J454" s="1"/>
      <c r="K454" s="1"/>
      <c r="L454" s="2" t="s">
        <v>1439</v>
      </c>
      <c r="M454" s="1"/>
      <c r="N454" s="1"/>
      <c r="O454" s="1"/>
      <c r="P454" s="1"/>
      <c r="Q454" s="1"/>
      <c r="R454" s="1"/>
      <c r="S454" s="1"/>
      <c r="T454" s="1"/>
      <c r="U454" s="1"/>
      <c r="V454" s="1"/>
      <c r="W454" s="1"/>
      <c r="X454" s="1"/>
      <c r="Y454" s="1"/>
      <c r="Z454" s="1"/>
    </row>
    <row r="455" spans="1:26" ht="33.75" customHeight="1">
      <c r="A455" s="1">
        <v>667</v>
      </c>
      <c r="B455" s="1" t="s">
        <v>1440</v>
      </c>
      <c r="C455" s="1" t="s">
        <v>1196</v>
      </c>
      <c r="D455" s="4">
        <v>39854.85</v>
      </c>
      <c r="E455" s="1" t="s">
        <v>54</v>
      </c>
      <c r="F455" s="1" t="s">
        <v>1425</v>
      </c>
      <c r="G455" s="5" t="s">
        <v>64</v>
      </c>
      <c r="H455" s="1"/>
      <c r="I455" s="1" t="s">
        <v>64</v>
      </c>
      <c r="J455" s="1"/>
      <c r="K455" s="1"/>
      <c r="L455" s="2" t="s">
        <v>1441</v>
      </c>
      <c r="M455" s="1"/>
      <c r="N455" s="1"/>
      <c r="O455" s="1"/>
      <c r="P455" s="1"/>
      <c r="Q455" s="1"/>
      <c r="R455" s="1"/>
      <c r="S455" s="1"/>
      <c r="T455" s="1"/>
      <c r="U455" s="1"/>
      <c r="V455" s="1"/>
      <c r="W455" s="1"/>
      <c r="X455" s="1"/>
      <c r="Y455" s="1"/>
      <c r="Z455" s="1"/>
    </row>
    <row r="456" spans="1:26" ht="33.75" customHeight="1">
      <c r="A456" s="1">
        <v>668</v>
      </c>
      <c r="B456" s="1" t="s">
        <v>1442</v>
      </c>
      <c r="C456" s="1" t="s">
        <v>1196</v>
      </c>
      <c r="D456" s="4">
        <v>39854.888194444444</v>
      </c>
      <c r="E456" s="1" t="s">
        <v>14</v>
      </c>
      <c r="F456" s="1"/>
      <c r="G456" s="1" t="s">
        <v>64</v>
      </c>
      <c r="H456" s="1" t="s">
        <v>263</v>
      </c>
      <c r="I456" s="1" t="s">
        <v>238</v>
      </c>
      <c r="J456" s="1" t="s">
        <v>1443</v>
      </c>
      <c r="K456" s="1"/>
      <c r="L456" s="2" t="s">
        <v>1444</v>
      </c>
      <c r="M456" s="1"/>
      <c r="N456" s="1"/>
      <c r="O456" s="1"/>
      <c r="P456" s="1"/>
      <c r="Q456" s="1"/>
      <c r="R456" s="1"/>
      <c r="S456" s="1"/>
      <c r="T456" s="1"/>
      <c r="U456" s="1"/>
      <c r="V456" s="1"/>
      <c r="W456" s="1"/>
      <c r="X456" s="1"/>
      <c r="Y456" s="1"/>
      <c r="Z456" s="1"/>
    </row>
    <row r="457" spans="1:26" ht="33.75" customHeight="1">
      <c r="A457" s="1">
        <v>1595</v>
      </c>
      <c r="B457" s="1" t="s">
        <v>1445</v>
      </c>
      <c r="C457" s="1" t="s">
        <v>846</v>
      </c>
      <c r="D457" s="4">
        <v>39854.911805555559</v>
      </c>
      <c r="E457" s="1" t="s">
        <v>1089</v>
      </c>
      <c r="F457" s="1"/>
      <c r="G457" s="5" t="s">
        <v>64</v>
      </c>
      <c r="H457" s="1"/>
      <c r="I457" s="1" t="s">
        <v>64</v>
      </c>
      <c r="J457" s="1"/>
      <c r="K457" s="1"/>
      <c r="L457" s="2" t="s">
        <v>1446</v>
      </c>
      <c r="M457" s="1"/>
      <c r="N457" s="1"/>
      <c r="O457" s="1"/>
      <c r="P457" s="1"/>
      <c r="Q457" s="1"/>
      <c r="R457" s="1"/>
      <c r="S457" s="1"/>
      <c r="T457" s="1"/>
      <c r="U457" s="1"/>
      <c r="V457" s="1"/>
      <c r="W457" s="1"/>
      <c r="X457" s="1"/>
      <c r="Y457" s="1"/>
      <c r="Z457" s="1"/>
    </row>
    <row r="458" spans="1:26" ht="33.75" customHeight="1">
      <c r="A458" s="1">
        <v>1596</v>
      </c>
      <c r="B458" s="1" t="s">
        <v>1447</v>
      </c>
      <c r="C458" s="1" t="s">
        <v>846</v>
      </c>
      <c r="D458" s="4">
        <v>39854.92291666667</v>
      </c>
      <c r="E458" s="1" t="s">
        <v>1089</v>
      </c>
      <c r="F458" s="1" t="s">
        <v>1448</v>
      </c>
      <c r="G458" s="5" t="s">
        <v>64</v>
      </c>
      <c r="H458" s="5" t="s">
        <v>179</v>
      </c>
      <c r="I458" s="1" t="s">
        <v>179</v>
      </c>
      <c r="J458" s="1"/>
      <c r="K458" s="1"/>
      <c r="L458" s="2" t="s">
        <v>1449</v>
      </c>
      <c r="M458" s="1"/>
      <c r="N458" s="1"/>
      <c r="O458" s="1"/>
      <c r="P458" s="1"/>
      <c r="Q458" s="1"/>
      <c r="R458" s="1"/>
      <c r="S458" s="1"/>
      <c r="T458" s="1"/>
      <c r="U458" s="1"/>
      <c r="V458" s="1"/>
      <c r="W458" s="1"/>
      <c r="X458" s="1"/>
      <c r="Y458" s="1"/>
      <c r="Z458" s="1"/>
    </row>
    <row r="459" spans="1:26" ht="33.75" customHeight="1">
      <c r="A459" s="1">
        <v>669</v>
      </c>
      <c r="B459" s="1" t="s">
        <v>1450</v>
      </c>
      <c r="C459" s="1" t="s">
        <v>1196</v>
      </c>
      <c r="D459" s="4">
        <v>39855.015277777777</v>
      </c>
      <c r="E459" s="1" t="s">
        <v>196</v>
      </c>
      <c r="F459" s="1" t="s">
        <v>1442</v>
      </c>
      <c r="G459" s="5" t="s">
        <v>26</v>
      </c>
      <c r="H459" s="5" t="s">
        <v>133</v>
      </c>
      <c r="I459" s="1" t="s">
        <v>1321</v>
      </c>
      <c r="J459" s="1"/>
      <c r="K459" s="1"/>
      <c r="L459" s="2" t="s">
        <v>1451</v>
      </c>
      <c r="M459" s="1"/>
      <c r="N459" s="1"/>
      <c r="O459" s="1"/>
      <c r="P459" s="1"/>
      <c r="Q459" s="1"/>
      <c r="R459" s="1"/>
      <c r="S459" s="1"/>
      <c r="T459" s="1"/>
      <c r="U459" s="1"/>
      <c r="V459" s="1"/>
      <c r="W459" s="1"/>
      <c r="X459" s="1"/>
      <c r="Y459" s="1"/>
      <c r="Z459" s="1"/>
    </row>
    <row r="460" spans="1:26" ht="33.75" customHeight="1">
      <c r="A460" s="1">
        <v>670</v>
      </c>
      <c r="B460" s="1" t="s">
        <v>1452</v>
      </c>
      <c r="C460" s="1" t="s">
        <v>1196</v>
      </c>
      <c r="D460" s="4">
        <v>39855.015277777777</v>
      </c>
      <c r="E460" s="1" t="s">
        <v>54</v>
      </c>
      <c r="F460" s="1" t="s">
        <v>1453</v>
      </c>
      <c r="G460" s="5" t="s">
        <v>64</v>
      </c>
      <c r="H460" s="1"/>
      <c r="I460" s="1" t="s">
        <v>64</v>
      </c>
      <c r="J460" s="1"/>
      <c r="K460" s="1"/>
      <c r="L460" s="2" t="s">
        <v>1454</v>
      </c>
      <c r="M460" s="1"/>
      <c r="N460" s="1"/>
      <c r="O460" s="1"/>
      <c r="P460" s="1"/>
      <c r="Q460" s="1"/>
      <c r="R460" s="1"/>
      <c r="S460" s="1"/>
      <c r="T460" s="1"/>
      <c r="U460" s="1"/>
      <c r="V460" s="1"/>
      <c r="W460" s="1"/>
      <c r="X460" s="1"/>
      <c r="Y460" s="1"/>
      <c r="Z460" s="1"/>
    </row>
    <row r="461" spans="1:26" ht="33.75" customHeight="1">
      <c r="A461" s="1">
        <v>671</v>
      </c>
      <c r="B461" s="1" t="s">
        <v>1455</v>
      </c>
      <c r="C461" s="1" t="s">
        <v>1196</v>
      </c>
      <c r="D461" s="4">
        <v>39855.020833333336</v>
      </c>
      <c r="E461" s="1" t="s">
        <v>14</v>
      </c>
      <c r="F461" s="1">
        <v>418</v>
      </c>
      <c r="G461" s="5" t="s">
        <v>64</v>
      </c>
      <c r="H461" s="1"/>
      <c r="I461" s="1" t="s">
        <v>64</v>
      </c>
      <c r="J461" s="1"/>
      <c r="K461" s="1"/>
      <c r="L461" s="2" t="s">
        <v>1456</v>
      </c>
      <c r="M461" s="1"/>
      <c r="N461" s="1"/>
      <c r="O461" s="1"/>
      <c r="P461" s="1"/>
      <c r="Q461" s="1"/>
      <c r="R461" s="1"/>
      <c r="S461" s="1"/>
      <c r="T461" s="1"/>
      <c r="U461" s="1"/>
      <c r="V461" s="1"/>
      <c r="W461" s="1"/>
      <c r="X461" s="1"/>
      <c r="Y461" s="1"/>
      <c r="Z461" s="1"/>
    </row>
    <row r="462" spans="1:26" ht="33.75" customHeight="1">
      <c r="A462" s="1">
        <v>672</v>
      </c>
      <c r="B462" s="1" t="s">
        <v>1457</v>
      </c>
      <c r="C462" s="1" t="s">
        <v>1196</v>
      </c>
      <c r="D462" s="4">
        <v>39855.030555555553</v>
      </c>
      <c r="E462" s="1" t="s">
        <v>14</v>
      </c>
      <c r="F462" s="1" t="s">
        <v>1458</v>
      </c>
      <c r="G462" s="5" t="s">
        <v>26</v>
      </c>
      <c r="H462" s="5" t="s">
        <v>27</v>
      </c>
      <c r="I462" s="1" t="s">
        <v>28</v>
      </c>
      <c r="J462" s="1" t="s">
        <v>259</v>
      </c>
      <c r="K462" s="1"/>
      <c r="L462" s="2" t="s">
        <v>1459</v>
      </c>
      <c r="M462" s="1"/>
      <c r="N462" s="1"/>
      <c r="O462" s="1"/>
      <c r="P462" s="1"/>
      <c r="Q462" s="1"/>
      <c r="R462" s="1"/>
      <c r="S462" s="1"/>
      <c r="T462" s="1"/>
      <c r="U462" s="1"/>
      <c r="V462" s="1"/>
      <c r="W462" s="1"/>
      <c r="X462" s="1"/>
      <c r="Y462" s="1"/>
      <c r="Z462" s="1"/>
    </row>
    <row r="463" spans="1:26" ht="33.75" customHeight="1">
      <c r="A463" s="1">
        <v>673</v>
      </c>
      <c r="B463" s="1" t="s">
        <v>1460</v>
      </c>
      <c r="C463" s="1" t="s">
        <v>1196</v>
      </c>
      <c r="D463" s="4">
        <v>39855.184027777781</v>
      </c>
      <c r="E463" s="1" t="s">
        <v>54</v>
      </c>
      <c r="F463" s="1" t="s">
        <v>1461</v>
      </c>
      <c r="G463" s="5" t="s">
        <v>64</v>
      </c>
      <c r="H463" s="1"/>
      <c r="I463" s="1" t="s">
        <v>64</v>
      </c>
      <c r="J463" s="1"/>
      <c r="K463" s="1"/>
      <c r="L463" s="2" t="s">
        <v>1462</v>
      </c>
      <c r="M463" s="1"/>
      <c r="N463" s="1"/>
      <c r="O463" s="1"/>
      <c r="P463" s="1"/>
      <c r="Q463" s="1"/>
      <c r="R463" s="1"/>
      <c r="S463" s="1"/>
      <c r="T463" s="1"/>
      <c r="U463" s="1"/>
      <c r="V463" s="1"/>
      <c r="W463" s="1"/>
      <c r="X463" s="1"/>
      <c r="Y463" s="1"/>
      <c r="Z463" s="1"/>
    </row>
    <row r="464" spans="1:26" ht="33.75" customHeight="1">
      <c r="A464" s="1">
        <v>674</v>
      </c>
      <c r="B464" s="1" t="s">
        <v>1463</v>
      </c>
      <c r="C464" s="1" t="s">
        <v>1196</v>
      </c>
      <c r="D464" s="4">
        <v>39855.213888888888</v>
      </c>
      <c r="E464" s="1" t="s">
        <v>54</v>
      </c>
      <c r="F464" s="1">
        <v>438</v>
      </c>
      <c r="G464" s="5" t="s">
        <v>26</v>
      </c>
      <c r="H464" s="5" t="s">
        <v>27</v>
      </c>
      <c r="I464" s="1" t="s">
        <v>28</v>
      </c>
      <c r="J464" s="1" t="s">
        <v>29</v>
      </c>
      <c r="K464" s="1"/>
      <c r="L464" s="2" t="s">
        <v>1464</v>
      </c>
      <c r="M464" s="1"/>
      <c r="N464" s="1"/>
      <c r="O464" s="1"/>
      <c r="P464" s="1"/>
      <c r="Q464" s="1"/>
      <c r="R464" s="1"/>
      <c r="S464" s="1"/>
      <c r="T464" s="1"/>
      <c r="U464" s="1"/>
      <c r="V464" s="1"/>
      <c r="W464" s="1"/>
      <c r="X464" s="1"/>
      <c r="Y464" s="1"/>
      <c r="Z464" s="1"/>
    </row>
    <row r="465" spans="1:26" ht="33.75" customHeight="1">
      <c r="A465" s="1">
        <v>1597</v>
      </c>
      <c r="B465" s="1" t="s">
        <v>1465</v>
      </c>
      <c r="C465" s="1" t="s">
        <v>846</v>
      </c>
      <c r="D465" s="4">
        <v>39855.225694444445</v>
      </c>
      <c r="E465" s="1" t="s">
        <v>1089</v>
      </c>
      <c r="F465" s="1" t="s">
        <v>1448</v>
      </c>
      <c r="G465" s="5" t="s">
        <v>64</v>
      </c>
      <c r="H465" s="1"/>
      <c r="I465" s="1" t="s">
        <v>64</v>
      </c>
      <c r="J465" s="1"/>
      <c r="K465" s="1"/>
      <c r="L465" s="2" t="s">
        <v>1466</v>
      </c>
      <c r="M465" s="1"/>
      <c r="N465" s="1"/>
      <c r="O465" s="1"/>
      <c r="P465" s="1"/>
      <c r="Q465" s="1"/>
      <c r="R465" s="1"/>
      <c r="S465" s="1"/>
      <c r="T465" s="1"/>
      <c r="U465" s="1"/>
      <c r="V465" s="1"/>
      <c r="W465" s="1"/>
      <c r="X465" s="1"/>
      <c r="Y465" s="1"/>
      <c r="Z465" s="1"/>
    </row>
    <row r="466" spans="1:26" ht="33.75" customHeight="1">
      <c r="A466" s="1">
        <v>675</v>
      </c>
      <c r="B466" s="1" t="s">
        <v>1467</v>
      </c>
      <c r="C466" s="1" t="s">
        <v>1196</v>
      </c>
      <c r="D466" s="4">
        <v>39855.229861111111</v>
      </c>
      <c r="E466" s="1" t="s">
        <v>54</v>
      </c>
      <c r="F466" s="1" t="s">
        <v>1468</v>
      </c>
      <c r="G466" s="5" t="s">
        <v>64</v>
      </c>
      <c r="H466" s="1"/>
      <c r="I466" s="1" t="s">
        <v>64</v>
      </c>
      <c r="J466" s="1"/>
      <c r="K466" s="1"/>
      <c r="L466" s="2" t="s">
        <v>1469</v>
      </c>
      <c r="M466" s="1"/>
      <c r="N466" s="1"/>
      <c r="O466" s="1"/>
      <c r="P466" s="1"/>
      <c r="Q466" s="1"/>
      <c r="R466" s="1"/>
      <c r="S466" s="1"/>
      <c r="T466" s="1"/>
      <c r="U466" s="1"/>
      <c r="V466" s="1"/>
      <c r="W466" s="1"/>
      <c r="X466" s="1"/>
      <c r="Y466" s="1"/>
      <c r="Z466" s="1"/>
    </row>
    <row r="467" spans="1:26" ht="33.75" customHeight="1">
      <c r="A467" s="1">
        <v>676</v>
      </c>
      <c r="B467" s="1" t="s">
        <v>1470</v>
      </c>
      <c r="C467" s="1" t="s">
        <v>1196</v>
      </c>
      <c r="D467" s="4">
        <v>39855.245138888888</v>
      </c>
      <c r="E467" s="1" t="s">
        <v>393</v>
      </c>
      <c r="F467" s="1" t="s">
        <v>1471</v>
      </c>
      <c r="G467" s="5" t="s">
        <v>64</v>
      </c>
      <c r="H467" s="1"/>
      <c r="I467" s="1" t="s">
        <v>64</v>
      </c>
      <c r="J467" s="1"/>
      <c r="K467" s="1"/>
      <c r="L467" s="2" t="s">
        <v>1472</v>
      </c>
      <c r="M467" s="1"/>
      <c r="N467" s="1"/>
      <c r="O467" s="1"/>
      <c r="P467" s="1"/>
      <c r="Q467" s="1"/>
      <c r="R467" s="1"/>
      <c r="S467" s="1"/>
      <c r="T467" s="1"/>
      <c r="U467" s="1"/>
      <c r="V467" s="1"/>
      <c r="W467" s="1"/>
      <c r="X467" s="1"/>
      <c r="Y467" s="1"/>
      <c r="Z467" s="1"/>
    </row>
    <row r="468" spans="1:26" ht="33.75" customHeight="1">
      <c r="A468" s="1">
        <v>100</v>
      </c>
      <c r="B468" s="1" t="s">
        <v>1473</v>
      </c>
      <c r="C468" s="3" t="s">
        <v>13</v>
      </c>
      <c r="D468" s="4">
        <v>39855.247916666667</v>
      </c>
      <c r="E468" s="1" t="s">
        <v>1474</v>
      </c>
      <c r="F468" s="1" t="s">
        <v>49</v>
      </c>
      <c r="G468" s="5" t="s">
        <v>33</v>
      </c>
      <c r="H468" s="5" t="s">
        <v>34</v>
      </c>
      <c r="I468" s="1" t="s">
        <v>35</v>
      </c>
      <c r="J468" s="1" t="s">
        <v>1346</v>
      </c>
      <c r="K468" s="1"/>
      <c r="L468" s="2" t="s">
        <v>1475</v>
      </c>
      <c r="M468" s="1"/>
      <c r="N468" s="1"/>
      <c r="O468" s="1"/>
      <c r="P468" s="1"/>
      <c r="Q468" s="1"/>
      <c r="R468" s="1"/>
      <c r="S468" s="1"/>
      <c r="T468" s="1"/>
      <c r="U468" s="1"/>
      <c r="V468" s="1"/>
      <c r="W468" s="1"/>
      <c r="X468" s="1"/>
      <c r="Y468" s="1"/>
      <c r="Z468" s="1"/>
    </row>
    <row r="469" spans="1:26" ht="33.75" customHeight="1">
      <c r="A469" s="1">
        <v>677</v>
      </c>
      <c r="B469" s="1" t="s">
        <v>1476</v>
      </c>
      <c r="C469" s="1" t="s">
        <v>1196</v>
      </c>
      <c r="D469" s="4">
        <v>39855.257638888892</v>
      </c>
      <c r="E469" s="1" t="s">
        <v>54</v>
      </c>
      <c r="F469" s="1">
        <v>439</v>
      </c>
      <c r="G469" s="5" t="s">
        <v>64</v>
      </c>
      <c r="H469" s="1"/>
      <c r="I469" s="1" t="s">
        <v>64</v>
      </c>
      <c r="J469" s="1"/>
      <c r="K469" s="1"/>
      <c r="L469" s="2" t="s">
        <v>1477</v>
      </c>
      <c r="M469" s="1"/>
      <c r="N469" s="1"/>
      <c r="O469" s="1"/>
      <c r="P469" s="1"/>
      <c r="Q469" s="1"/>
      <c r="R469" s="1"/>
      <c r="S469" s="1"/>
      <c r="T469" s="1"/>
      <c r="U469" s="1"/>
      <c r="V469" s="1"/>
      <c r="W469" s="1"/>
      <c r="X469" s="1"/>
      <c r="Y469" s="1"/>
      <c r="Z469" s="1"/>
    </row>
    <row r="470" spans="1:26" ht="33.75" customHeight="1">
      <c r="A470" s="1">
        <v>1598</v>
      </c>
      <c r="B470" s="1" t="s">
        <v>1478</v>
      </c>
      <c r="C470" s="1" t="s">
        <v>846</v>
      </c>
      <c r="D470" s="4">
        <v>39855.406944444447</v>
      </c>
      <c r="E470" s="1" t="s">
        <v>54</v>
      </c>
      <c r="F470" s="1"/>
      <c r="G470" s="5" t="s">
        <v>64</v>
      </c>
      <c r="H470" s="5" t="s">
        <v>1053</v>
      </c>
      <c r="I470" s="1" t="s">
        <v>1423</v>
      </c>
      <c r="J470" s="1"/>
      <c r="K470" s="1"/>
      <c r="L470" s="2" t="s">
        <v>1479</v>
      </c>
      <c r="M470" s="1"/>
      <c r="N470" s="1"/>
      <c r="O470" s="1"/>
      <c r="P470" s="1"/>
      <c r="Q470" s="1"/>
      <c r="R470" s="1"/>
      <c r="S470" s="1"/>
      <c r="T470" s="1"/>
      <c r="U470" s="1"/>
      <c r="V470" s="1"/>
      <c r="W470" s="1"/>
      <c r="X470" s="1"/>
      <c r="Y470" s="1"/>
      <c r="Z470" s="1"/>
    </row>
    <row r="471" spans="1:26" ht="33.75" customHeight="1">
      <c r="A471" s="1">
        <v>678</v>
      </c>
      <c r="B471" s="1" t="s">
        <v>1480</v>
      </c>
      <c r="C471" s="1" t="s">
        <v>1196</v>
      </c>
      <c r="D471" s="4">
        <v>39855.479166666664</v>
      </c>
      <c r="E471" s="1" t="s">
        <v>14</v>
      </c>
      <c r="F471" s="1" t="s">
        <v>1481</v>
      </c>
      <c r="G471" s="5" t="s">
        <v>26</v>
      </c>
      <c r="H471" s="5" t="s">
        <v>27</v>
      </c>
      <c r="I471" s="1" t="s">
        <v>28</v>
      </c>
      <c r="J471" s="1" t="s">
        <v>259</v>
      </c>
      <c r="K471" s="1"/>
      <c r="L471" s="2" t="s">
        <v>1482</v>
      </c>
      <c r="M471" s="1"/>
      <c r="N471" s="1"/>
      <c r="O471" s="1"/>
      <c r="P471" s="1"/>
      <c r="Q471" s="1"/>
      <c r="R471" s="1"/>
      <c r="S471" s="1"/>
      <c r="T471" s="1"/>
      <c r="U471" s="1"/>
      <c r="V471" s="1"/>
      <c r="W471" s="1"/>
      <c r="X471" s="1"/>
      <c r="Y471" s="1"/>
      <c r="Z471" s="1"/>
    </row>
    <row r="472" spans="1:26" ht="33.75" customHeight="1">
      <c r="A472" s="1">
        <v>1599</v>
      </c>
      <c r="B472" s="1" t="s">
        <v>1483</v>
      </c>
      <c r="C472" s="1" t="s">
        <v>846</v>
      </c>
      <c r="D472" s="4">
        <v>39855.531944444447</v>
      </c>
      <c r="E472" s="1" t="s">
        <v>772</v>
      </c>
      <c r="F472" s="1"/>
      <c r="G472" s="5" t="s">
        <v>64</v>
      </c>
      <c r="H472" s="1"/>
      <c r="I472" s="1" t="s">
        <v>64</v>
      </c>
      <c r="J472" s="1"/>
      <c r="K472" s="1"/>
      <c r="L472" s="2" t="s">
        <v>1484</v>
      </c>
      <c r="M472" s="1"/>
      <c r="N472" s="1"/>
      <c r="O472" s="1"/>
      <c r="P472" s="1"/>
      <c r="Q472" s="1"/>
      <c r="R472" s="1"/>
      <c r="S472" s="1"/>
      <c r="T472" s="1"/>
      <c r="U472" s="1"/>
      <c r="V472" s="1"/>
      <c r="W472" s="1"/>
      <c r="X472" s="1"/>
      <c r="Y472" s="1"/>
      <c r="Z472" s="1"/>
    </row>
    <row r="473" spans="1:26" ht="33.75" customHeight="1">
      <c r="A473" s="1">
        <v>1600</v>
      </c>
      <c r="B473" s="1" t="s">
        <v>1485</v>
      </c>
      <c r="C473" s="1" t="s">
        <v>846</v>
      </c>
      <c r="D473" s="4">
        <v>39855.556944444441</v>
      </c>
      <c r="E473" s="1" t="s">
        <v>54</v>
      </c>
      <c r="F473" s="1" t="s">
        <v>1465</v>
      </c>
      <c r="G473" s="5" t="s">
        <v>26</v>
      </c>
      <c r="H473" s="5" t="s">
        <v>133</v>
      </c>
      <c r="I473" s="1" t="s">
        <v>1486</v>
      </c>
      <c r="J473" s="1"/>
      <c r="K473" s="1"/>
      <c r="L473" s="2" t="s">
        <v>1487</v>
      </c>
      <c r="M473" s="1"/>
      <c r="N473" s="1"/>
      <c r="O473" s="1"/>
      <c r="P473" s="1"/>
      <c r="Q473" s="1"/>
      <c r="R473" s="1"/>
      <c r="S473" s="1"/>
      <c r="T473" s="1"/>
      <c r="U473" s="1"/>
      <c r="V473" s="1"/>
      <c r="W473" s="1"/>
      <c r="X473" s="1"/>
      <c r="Y473" s="1"/>
      <c r="Z473" s="1"/>
    </row>
    <row r="474" spans="1:26" ht="33.75" customHeight="1">
      <c r="A474" s="1">
        <v>1601</v>
      </c>
      <c r="B474" s="1" t="s">
        <v>1488</v>
      </c>
      <c r="C474" s="1" t="s">
        <v>846</v>
      </c>
      <c r="D474" s="4">
        <v>39855.570138888892</v>
      </c>
      <c r="E474" s="1" t="s">
        <v>54</v>
      </c>
      <c r="F474" s="1"/>
      <c r="G474" s="6" t="s">
        <v>78</v>
      </c>
      <c r="H474" s="5" t="s">
        <v>223</v>
      </c>
      <c r="I474" s="1" t="s">
        <v>64</v>
      </c>
      <c r="J474" s="1" t="s">
        <v>450</v>
      </c>
      <c r="K474" s="1"/>
      <c r="L474" s="2" t="s">
        <v>1489</v>
      </c>
      <c r="M474" s="1"/>
      <c r="N474" s="1"/>
      <c r="O474" s="1"/>
      <c r="P474" s="1"/>
      <c r="Q474" s="1"/>
      <c r="R474" s="1"/>
      <c r="S474" s="1"/>
      <c r="T474" s="1"/>
      <c r="U474" s="1"/>
      <c r="V474" s="1"/>
      <c r="W474" s="1"/>
      <c r="X474" s="1"/>
      <c r="Y474" s="1"/>
      <c r="Z474" s="1"/>
    </row>
    <row r="475" spans="1:26" ht="33.75" customHeight="1">
      <c r="A475" s="1">
        <v>679</v>
      </c>
      <c r="B475" s="1" t="s">
        <v>1490</v>
      </c>
      <c r="C475" s="1" t="s">
        <v>1196</v>
      </c>
      <c r="D475" s="4">
        <v>39855.612500000003</v>
      </c>
      <c r="E475" s="1" t="s">
        <v>314</v>
      </c>
      <c r="F475" s="1"/>
      <c r="G475" s="5" t="s">
        <v>26</v>
      </c>
      <c r="H475" s="5" t="s">
        <v>133</v>
      </c>
      <c r="I475" s="1" t="s">
        <v>28</v>
      </c>
      <c r="J475" s="1" t="s">
        <v>134</v>
      </c>
      <c r="K475" s="1"/>
      <c r="L475" s="2" t="s">
        <v>1491</v>
      </c>
      <c r="M475" s="1"/>
      <c r="N475" s="1"/>
      <c r="O475" s="1"/>
      <c r="P475" s="1"/>
      <c r="Q475" s="1"/>
      <c r="R475" s="1"/>
      <c r="S475" s="1"/>
      <c r="T475" s="1"/>
      <c r="U475" s="1"/>
      <c r="V475" s="1"/>
      <c r="W475" s="1"/>
      <c r="X475" s="1"/>
      <c r="Y475" s="1"/>
      <c r="Z475" s="1"/>
    </row>
    <row r="476" spans="1:26" ht="33.75" customHeight="1">
      <c r="A476" s="1">
        <v>300</v>
      </c>
      <c r="B476" s="1" t="s">
        <v>1492</v>
      </c>
      <c r="C476" s="1" t="s">
        <v>156</v>
      </c>
      <c r="D476" s="4">
        <v>39855.625694444447</v>
      </c>
      <c r="E476" s="1" t="s">
        <v>314</v>
      </c>
      <c r="F476" s="1"/>
      <c r="G476" s="5" t="s">
        <v>64</v>
      </c>
      <c r="H476" s="5" t="s">
        <v>65</v>
      </c>
      <c r="I476" s="1" t="s">
        <v>35</v>
      </c>
      <c r="J476" s="1" t="s">
        <v>1493</v>
      </c>
      <c r="K476" s="1"/>
      <c r="L476" s="2" t="s">
        <v>1494</v>
      </c>
      <c r="M476" s="1"/>
      <c r="N476" s="1"/>
      <c r="O476" s="1"/>
      <c r="P476" s="1"/>
      <c r="Q476" s="1"/>
      <c r="R476" s="1"/>
      <c r="S476" s="1"/>
      <c r="T476" s="1"/>
      <c r="U476" s="1"/>
      <c r="V476" s="1"/>
      <c r="W476" s="1"/>
      <c r="X476" s="1"/>
      <c r="Y476" s="1"/>
      <c r="Z476" s="1"/>
    </row>
    <row r="477" spans="1:26" ht="33.75" customHeight="1">
      <c r="A477" s="1">
        <v>680</v>
      </c>
      <c r="B477" s="1" t="s">
        <v>1495</v>
      </c>
      <c r="C477" s="1" t="s">
        <v>1196</v>
      </c>
      <c r="D477" s="4">
        <v>39855.62777777778</v>
      </c>
      <c r="E477" s="1" t="s">
        <v>320</v>
      </c>
      <c r="F477" s="1"/>
      <c r="G477" s="6" t="s">
        <v>78</v>
      </c>
      <c r="H477" s="5" t="s">
        <v>223</v>
      </c>
      <c r="I477" s="1" t="s">
        <v>64</v>
      </c>
      <c r="J477" s="1" t="s">
        <v>450</v>
      </c>
      <c r="K477" s="1"/>
      <c r="L477" s="2" t="s">
        <v>1496</v>
      </c>
      <c r="M477" s="1"/>
      <c r="N477" s="1"/>
      <c r="O477" s="1"/>
      <c r="P477" s="1"/>
      <c r="Q477" s="1"/>
      <c r="R477" s="1"/>
      <c r="S477" s="1"/>
      <c r="T477" s="1"/>
      <c r="U477" s="1"/>
      <c r="V477" s="1"/>
      <c r="W477" s="1"/>
      <c r="X477" s="1"/>
      <c r="Y477" s="1"/>
      <c r="Z477" s="1"/>
    </row>
    <row r="478" spans="1:26" ht="33.75" customHeight="1">
      <c r="A478" s="1">
        <v>681</v>
      </c>
      <c r="B478" s="1" t="s">
        <v>1497</v>
      </c>
      <c r="C478" s="1" t="s">
        <v>1196</v>
      </c>
      <c r="D478" s="4">
        <v>39855.647222222222</v>
      </c>
      <c r="E478" s="1" t="s">
        <v>314</v>
      </c>
      <c r="F478" s="1"/>
      <c r="G478" s="5" t="s">
        <v>15</v>
      </c>
      <c r="H478" s="5" t="s">
        <v>150</v>
      </c>
      <c r="I478" s="1" t="s">
        <v>1498</v>
      </c>
      <c r="J478" s="1"/>
      <c r="K478" s="1"/>
      <c r="L478" s="2" t="s">
        <v>1499</v>
      </c>
      <c r="M478" s="1"/>
      <c r="N478" s="1"/>
      <c r="O478" s="1"/>
      <c r="P478" s="1"/>
      <c r="Q478" s="1"/>
      <c r="R478" s="1"/>
      <c r="S478" s="1"/>
      <c r="T478" s="1"/>
      <c r="U478" s="1"/>
      <c r="V478" s="1"/>
      <c r="W478" s="1"/>
      <c r="X478" s="1"/>
      <c r="Y478" s="1"/>
      <c r="Z478" s="1"/>
    </row>
    <row r="479" spans="1:26" ht="33.75" customHeight="1">
      <c r="A479" s="1">
        <v>682</v>
      </c>
      <c r="B479" s="1" t="s">
        <v>1500</v>
      </c>
      <c r="C479" s="1" t="s">
        <v>1196</v>
      </c>
      <c r="D479" s="4">
        <v>39855.668749999997</v>
      </c>
      <c r="E479" s="1" t="s">
        <v>255</v>
      </c>
      <c r="F479" s="1"/>
      <c r="G479" s="5" t="s">
        <v>15</v>
      </c>
      <c r="H479" s="5" t="s">
        <v>150</v>
      </c>
      <c r="I479" s="1" t="s">
        <v>1498</v>
      </c>
      <c r="J479" s="1"/>
      <c r="K479" s="1"/>
      <c r="L479" s="2" t="s">
        <v>1501</v>
      </c>
      <c r="M479" s="1"/>
      <c r="N479" s="1"/>
      <c r="O479" s="1"/>
      <c r="P479" s="1"/>
      <c r="Q479" s="1"/>
      <c r="R479" s="1"/>
      <c r="S479" s="1"/>
      <c r="T479" s="1"/>
      <c r="U479" s="1"/>
      <c r="V479" s="1"/>
      <c r="W479" s="1"/>
      <c r="X479" s="1"/>
      <c r="Y479" s="1"/>
      <c r="Z479" s="1"/>
    </row>
    <row r="480" spans="1:26" ht="33.75" customHeight="1">
      <c r="A480" s="1">
        <v>683</v>
      </c>
      <c r="B480" s="1" t="s">
        <v>1502</v>
      </c>
      <c r="C480" s="1" t="s">
        <v>1196</v>
      </c>
      <c r="D480" s="4">
        <v>39855.679166666669</v>
      </c>
      <c r="E480" s="1" t="s">
        <v>54</v>
      </c>
      <c r="F480" s="1"/>
      <c r="G480" s="6" t="s">
        <v>78</v>
      </c>
      <c r="H480" s="1" t="s">
        <v>479</v>
      </c>
      <c r="I480" s="1" t="s">
        <v>480</v>
      </c>
      <c r="J480" s="1" t="s">
        <v>1063</v>
      </c>
      <c r="K480" s="1" t="s">
        <v>1503</v>
      </c>
      <c r="L480" s="2" t="s">
        <v>1504</v>
      </c>
      <c r="M480" s="1"/>
      <c r="N480" s="1"/>
      <c r="O480" s="1"/>
      <c r="P480" s="1"/>
      <c r="Q480" s="1"/>
      <c r="R480" s="1"/>
      <c r="S480" s="1"/>
      <c r="T480" s="1"/>
      <c r="U480" s="1"/>
      <c r="V480" s="1"/>
      <c r="W480" s="1"/>
      <c r="X480" s="1"/>
      <c r="Y480" s="1"/>
      <c r="Z480" s="1"/>
    </row>
    <row r="481" spans="1:26" ht="33.75" customHeight="1">
      <c r="A481" s="1">
        <v>1602</v>
      </c>
      <c r="B481" s="1" t="s">
        <v>1505</v>
      </c>
      <c r="C481" s="1" t="s">
        <v>846</v>
      </c>
      <c r="D481" s="4">
        <v>39855.684027777781</v>
      </c>
      <c r="E481" s="1" t="s">
        <v>416</v>
      </c>
      <c r="F481" s="1"/>
      <c r="G481" s="5" t="s">
        <v>26</v>
      </c>
      <c r="H481" s="5" t="s">
        <v>133</v>
      </c>
      <c r="I481" s="1" t="s">
        <v>28</v>
      </c>
      <c r="J481" s="1" t="s">
        <v>134</v>
      </c>
      <c r="K481" s="1"/>
      <c r="L481" s="2" t="s">
        <v>1506</v>
      </c>
      <c r="M481" s="1"/>
      <c r="N481" s="1"/>
      <c r="O481" s="1"/>
      <c r="P481" s="1"/>
      <c r="Q481" s="1"/>
      <c r="R481" s="1"/>
      <c r="S481" s="1"/>
      <c r="T481" s="1"/>
      <c r="U481" s="1"/>
      <c r="V481" s="1"/>
      <c r="W481" s="1"/>
      <c r="X481" s="1"/>
      <c r="Y481" s="1"/>
      <c r="Z481" s="1"/>
    </row>
    <row r="482" spans="1:26" ht="33.75" customHeight="1">
      <c r="A482" s="1">
        <v>1603</v>
      </c>
      <c r="B482" s="1" t="s">
        <v>1507</v>
      </c>
      <c r="C482" s="1" t="s">
        <v>846</v>
      </c>
      <c r="D482" s="4">
        <v>39855.697916666664</v>
      </c>
      <c r="E482" s="1" t="s">
        <v>54</v>
      </c>
      <c r="F482" s="1"/>
      <c r="G482" s="1" t="s">
        <v>64</v>
      </c>
      <c r="H482" s="1" t="s">
        <v>263</v>
      </c>
      <c r="I482" s="1" t="s">
        <v>840</v>
      </c>
      <c r="J482" s="1" t="s">
        <v>1173</v>
      </c>
      <c r="K482" s="1"/>
      <c r="L482" s="2" t="s">
        <v>1508</v>
      </c>
      <c r="M482" s="1"/>
      <c r="N482" s="1"/>
      <c r="O482" s="1"/>
      <c r="P482" s="1"/>
      <c r="Q482" s="1"/>
      <c r="R482" s="1"/>
      <c r="S482" s="1"/>
      <c r="T482" s="1"/>
      <c r="U482" s="1"/>
      <c r="V482" s="1"/>
      <c r="W482" s="1"/>
      <c r="X482" s="1"/>
      <c r="Y482" s="1"/>
      <c r="Z482" s="1"/>
    </row>
    <row r="483" spans="1:26" ht="33.75" customHeight="1">
      <c r="A483" s="1">
        <v>684</v>
      </c>
      <c r="B483" s="1" t="s">
        <v>1509</v>
      </c>
      <c r="C483" s="1" t="s">
        <v>1196</v>
      </c>
      <c r="D483" s="4">
        <v>39855.722222222219</v>
      </c>
      <c r="E483" s="1" t="s">
        <v>320</v>
      </c>
      <c r="F483" s="1">
        <v>451</v>
      </c>
      <c r="G483" s="5" t="s">
        <v>26</v>
      </c>
      <c r="H483" s="5" t="s">
        <v>27</v>
      </c>
      <c r="I483" s="1" t="s">
        <v>28</v>
      </c>
      <c r="J483" s="1" t="s">
        <v>29</v>
      </c>
      <c r="K483" s="1"/>
      <c r="L483" s="2" t="s">
        <v>1510</v>
      </c>
      <c r="M483" s="1"/>
      <c r="N483" s="1"/>
      <c r="O483" s="1"/>
      <c r="P483" s="1"/>
      <c r="Q483" s="1"/>
      <c r="R483" s="1"/>
      <c r="S483" s="1"/>
      <c r="T483" s="1"/>
      <c r="U483" s="1"/>
      <c r="V483" s="1"/>
      <c r="W483" s="1"/>
      <c r="X483" s="1"/>
      <c r="Y483" s="1"/>
      <c r="Z483" s="1"/>
    </row>
    <row r="484" spans="1:26" ht="33.75" customHeight="1">
      <c r="A484" s="1">
        <v>685</v>
      </c>
      <c r="B484" s="1" t="s">
        <v>1511</v>
      </c>
      <c r="C484" s="1" t="s">
        <v>1196</v>
      </c>
      <c r="D484" s="4">
        <v>39855.736111111109</v>
      </c>
      <c r="E484" s="1" t="s">
        <v>14</v>
      </c>
      <c r="F484" s="1"/>
      <c r="G484" s="5" t="s">
        <v>64</v>
      </c>
      <c r="H484" s="1"/>
      <c r="I484" s="1" t="s">
        <v>64</v>
      </c>
      <c r="J484" s="1"/>
      <c r="K484" s="1"/>
      <c r="L484" s="2" t="s">
        <v>1512</v>
      </c>
      <c r="M484" s="1"/>
      <c r="N484" s="1"/>
      <c r="O484" s="1"/>
      <c r="P484" s="1"/>
      <c r="Q484" s="1"/>
      <c r="R484" s="1"/>
      <c r="S484" s="1"/>
      <c r="T484" s="1"/>
      <c r="U484" s="1"/>
      <c r="V484" s="1"/>
      <c r="W484" s="1"/>
      <c r="X484" s="1"/>
      <c r="Y484" s="1"/>
      <c r="Z484" s="1"/>
    </row>
    <row r="485" spans="1:26" ht="33.75" customHeight="1">
      <c r="A485" s="1">
        <v>686</v>
      </c>
      <c r="B485" s="1" t="s">
        <v>1513</v>
      </c>
      <c r="C485" s="1" t="s">
        <v>1196</v>
      </c>
      <c r="D485" s="4">
        <v>39855.761111111111</v>
      </c>
      <c r="E485" s="1" t="s">
        <v>54</v>
      </c>
      <c r="F485" s="1"/>
      <c r="G485" s="5" t="s">
        <v>64</v>
      </c>
      <c r="H485" s="1"/>
      <c r="I485" s="1" t="s">
        <v>64</v>
      </c>
      <c r="J485" s="1"/>
      <c r="K485" s="1"/>
      <c r="L485" s="2" t="s">
        <v>1514</v>
      </c>
      <c r="M485" s="1"/>
      <c r="N485" s="1"/>
      <c r="O485" s="1"/>
      <c r="P485" s="1"/>
      <c r="Q485" s="1"/>
      <c r="R485" s="1"/>
      <c r="S485" s="1"/>
      <c r="T485" s="1"/>
      <c r="U485" s="1"/>
      <c r="V485" s="1"/>
      <c r="W485" s="1"/>
      <c r="X485" s="1"/>
      <c r="Y485" s="1"/>
      <c r="Z485" s="1"/>
    </row>
    <row r="486" spans="1:26" ht="33.75" customHeight="1">
      <c r="A486" s="1">
        <v>687</v>
      </c>
      <c r="B486" s="1" t="s">
        <v>1515</v>
      </c>
      <c r="C486" s="1" t="s">
        <v>1196</v>
      </c>
      <c r="D486" s="4">
        <v>39855.769444444442</v>
      </c>
      <c r="E486" s="1" t="s">
        <v>54</v>
      </c>
      <c r="F486" s="1" t="s">
        <v>1516</v>
      </c>
      <c r="G486" s="5" t="s">
        <v>64</v>
      </c>
      <c r="H486" s="1"/>
      <c r="I486" s="1" t="s">
        <v>64</v>
      </c>
      <c r="J486" s="1"/>
      <c r="K486" s="1"/>
      <c r="L486" s="2" t="s">
        <v>1517</v>
      </c>
      <c r="M486" s="1"/>
      <c r="N486" s="1"/>
      <c r="O486" s="1"/>
      <c r="P486" s="1"/>
      <c r="Q486" s="1"/>
      <c r="R486" s="1"/>
      <c r="S486" s="1"/>
      <c r="T486" s="1"/>
      <c r="U486" s="1"/>
      <c r="V486" s="1"/>
      <c r="W486" s="1"/>
      <c r="X486" s="1"/>
      <c r="Y486" s="1"/>
      <c r="Z486" s="1"/>
    </row>
    <row r="487" spans="1:26" ht="33.75" customHeight="1">
      <c r="A487" s="1">
        <v>1694</v>
      </c>
      <c r="B487" s="1" t="s">
        <v>1518</v>
      </c>
      <c r="C487" s="1" t="s">
        <v>1519</v>
      </c>
      <c r="D487" s="4">
        <v>39855.775000000001</v>
      </c>
      <c r="E487" s="1" t="s">
        <v>54</v>
      </c>
      <c r="F487" s="1">
        <v>130</v>
      </c>
      <c r="G487" s="5" t="s">
        <v>15</v>
      </c>
      <c r="H487" s="5" t="s">
        <v>402</v>
      </c>
      <c r="I487" s="1" t="s">
        <v>576</v>
      </c>
      <c r="J487" s="1"/>
      <c r="K487" s="1" t="s">
        <v>1520</v>
      </c>
      <c r="L487" s="2" t="s">
        <v>1521</v>
      </c>
      <c r="M487" s="1"/>
      <c r="N487" s="1"/>
      <c r="O487" s="1"/>
      <c r="P487" s="1"/>
      <c r="Q487" s="1"/>
      <c r="R487" s="1"/>
      <c r="S487" s="1"/>
      <c r="T487" s="1"/>
      <c r="U487" s="1"/>
      <c r="V487" s="1"/>
      <c r="W487" s="1"/>
      <c r="X487" s="1"/>
      <c r="Y487" s="1"/>
      <c r="Z487" s="1"/>
    </row>
    <row r="488" spans="1:26" ht="33.75" customHeight="1">
      <c r="A488" s="1">
        <v>688</v>
      </c>
      <c r="B488" s="1" t="s">
        <v>1522</v>
      </c>
      <c r="C488" s="1" t="s">
        <v>1196</v>
      </c>
      <c r="D488" s="4">
        <v>39855.780555555553</v>
      </c>
      <c r="E488" s="1" t="s">
        <v>84</v>
      </c>
      <c r="F488" s="1"/>
      <c r="G488" s="5" t="s">
        <v>64</v>
      </c>
      <c r="H488" s="5" t="s">
        <v>65</v>
      </c>
      <c r="I488" s="1" t="s">
        <v>166</v>
      </c>
      <c r="J488" s="1"/>
      <c r="K488" s="1" t="s">
        <v>1523</v>
      </c>
      <c r="L488" s="2" t="s">
        <v>1524</v>
      </c>
      <c r="M488" s="1"/>
      <c r="N488" s="1"/>
      <c r="O488" s="1"/>
      <c r="P488" s="1"/>
      <c r="Q488" s="1"/>
      <c r="R488" s="1"/>
      <c r="S488" s="1"/>
      <c r="T488" s="1"/>
      <c r="U488" s="1"/>
      <c r="V488" s="1"/>
      <c r="W488" s="1"/>
      <c r="X488" s="1"/>
      <c r="Y488" s="1"/>
      <c r="Z488" s="1"/>
    </row>
    <row r="489" spans="1:26" ht="33.75" customHeight="1">
      <c r="A489" s="1">
        <v>689</v>
      </c>
      <c r="B489" s="1" t="s">
        <v>1525</v>
      </c>
      <c r="C489" s="1" t="s">
        <v>1196</v>
      </c>
      <c r="D489" s="4">
        <v>39855.786111111112</v>
      </c>
      <c r="E489" s="1" t="s">
        <v>14</v>
      </c>
      <c r="F489" s="1"/>
      <c r="G489" s="5" t="s">
        <v>64</v>
      </c>
      <c r="H489" s="1"/>
      <c r="I489" s="1" t="s">
        <v>64</v>
      </c>
      <c r="J489" s="1"/>
      <c r="K489" s="1"/>
      <c r="L489" s="2" t="s">
        <v>1526</v>
      </c>
      <c r="M489" s="1"/>
      <c r="N489" s="1"/>
      <c r="O489" s="1"/>
      <c r="P489" s="1"/>
      <c r="Q489" s="1"/>
      <c r="R489" s="1"/>
      <c r="S489" s="1"/>
      <c r="T489" s="1"/>
      <c r="U489" s="1"/>
      <c r="V489" s="1"/>
      <c r="W489" s="1"/>
      <c r="X489" s="1"/>
      <c r="Y489" s="1"/>
      <c r="Z489" s="1"/>
    </row>
    <row r="490" spans="1:26" ht="33.75" customHeight="1">
      <c r="A490" s="1">
        <v>690</v>
      </c>
      <c r="B490" s="1" t="s">
        <v>1527</v>
      </c>
      <c r="C490" s="1" t="s">
        <v>1196</v>
      </c>
      <c r="D490" s="4">
        <v>39855.792361111111</v>
      </c>
      <c r="E490" s="1" t="s">
        <v>1528</v>
      </c>
      <c r="F490" s="1"/>
      <c r="G490" s="5" t="s">
        <v>64</v>
      </c>
      <c r="H490" s="1"/>
      <c r="I490" s="1" t="s">
        <v>64</v>
      </c>
      <c r="J490" s="1"/>
      <c r="K490" s="1" t="s">
        <v>1529</v>
      </c>
      <c r="L490" s="2" t="s">
        <v>1530</v>
      </c>
      <c r="M490" s="1"/>
      <c r="N490" s="1"/>
      <c r="O490" s="1"/>
      <c r="P490" s="1"/>
      <c r="Q490" s="1"/>
      <c r="R490" s="1"/>
      <c r="S490" s="1"/>
      <c r="T490" s="1"/>
      <c r="U490" s="1"/>
      <c r="V490" s="1"/>
      <c r="W490" s="1"/>
      <c r="X490" s="1"/>
      <c r="Y490" s="1"/>
      <c r="Z490" s="1"/>
    </row>
    <row r="491" spans="1:26" ht="33.75" customHeight="1">
      <c r="A491" s="1">
        <v>1604</v>
      </c>
      <c r="B491" s="1" t="s">
        <v>1531</v>
      </c>
      <c r="C491" s="1" t="s">
        <v>846</v>
      </c>
      <c r="D491" s="4">
        <v>39855.802083333336</v>
      </c>
      <c r="E491" s="1" t="s">
        <v>84</v>
      </c>
      <c r="F491" s="1"/>
      <c r="G491" s="5" t="s">
        <v>26</v>
      </c>
      <c r="H491" s="5" t="s">
        <v>133</v>
      </c>
      <c r="I491" s="1" t="s">
        <v>28</v>
      </c>
      <c r="J491" s="1" t="s">
        <v>134</v>
      </c>
      <c r="K491" s="1"/>
      <c r="L491" s="2" t="s">
        <v>1532</v>
      </c>
      <c r="M491" s="1"/>
      <c r="N491" s="1"/>
      <c r="O491" s="1"/>
      <c r="P491" s="1"/>
      <c r="Q491" s="1"/>
      <c r="R491" s="1"/>
      <c r="S491" s="1"/>
      <c r="T491" s="1"/>
      <c r="U491" s="1"/>
      <c r="V491" s="1"/>
      <c r="W491" s="1"/>
      <c r="X491" s="1"/>
      <c r="Y491" s="1"/>
      <c r="Z491" s="1"/>
    </row>
    <row r="492" spans="1:26" ht="33.75" customHeight="1">
      <c r="A492" s="1">
        <v>691</v>
      </c>
      <c r="B492" s="1" t="s">
        <v>1533</v>
      </c>
      <c r="C492" s="1" t="s">
        <v>1196</v>
      </c>
      <c r="D492" s="4">
        <v>39855.807638888888</v>
      </c>
      <c r="E492" s="1" t="s">
        <v>14</v>
      </c>
      <c r="F492" s="1"/>
      <c r="G492" s="5" t="s">
        <v>64</v>
      </c>
      <c r="H492" s="1"/>
      <c r="I492" s="1" t="s">
        <v>64</v>
      </c>
      <c r="J492" s="1"/>
      <c r="K492" s="1"/>
      <c r="L492" s="2" t="s">
        <v>1534</v>
      </c>
      <c r="M492" s="1"/>
      <c r="N492" s="1"/>
      <c r="O492" s="1"/>
      <c r="P492" s="1"/>
      <c r="Q492" s="1"/>
      <c r="R492" s="1"/>
      <c r="S492" s="1"/>
      <c r="T492" s="1"/>
      <c r="U492" s="1"/>
      <c r="V492" s="1"/>
      <c r="W492" s="1"/>
      <c r="X492" s="1"/>
      <c r="Y492" s="1"/>
      <c r="Z492" s="1"/>
    </row>
    <row r="493" spans="1:26" ht="33.75" customHeight="1">
      <c r="A493" s="1">
        <v>1605</v>
      </c>
      <c r="B493" s="1" t="s">
        <v>1535</v>
      </c>
      <c r="C493" s="1" t="s">
        <v>846</v>
      </c>
      <c r="D493" s="4">
        <v>39855.824999999997</v>
      </c>
      <c r="E493" s="1" t="s">
        <v>54</v>
      </c>
      <c r="F493" s="1"/>
      <c r="G493" s="5" t="s">
        <v>26</v>
      </c>
      <c r="H493" s="5" t="s">
        <v>27</v>
      </c>
      <c r="I493" s="1" t="s">
        <v>28</v>
      </c>
      <c r="J493" s="1" t="s">
        <v>29</v>
      </c>
      <c r="K493" s="1"/>
      <c r="L493" s="2" t="s">
        <v>1536</v>
      </c>
      <c r="M493" s="1"/>
      <c r="N493" s="1"/>
      <c r="O493" s="1"/>
      <c r="P493" s="1"/>
      <c r="Q493" s="1"/>
      <c r="R493" s="1"/>
      <c r="S493" s="1"/>
      <c r="T493" s="1"/>
      <c r="U493" s="1"/>
      <c r="V493" s="1"/>
      <c r="W493" s="1"/>
      <c r="X493" s="1"/>
      <c r="Y493" s="1"/>
      <c r="Z493" s="1"/>
    </row>
    <row r="494" spans="1:26" ht="33.75" customHeight="1">
      <c r="A494" s="1">
        <v>692</v>
      </c>
      <c r="B494" s="1" t="s">
        <v>1537</v>
      </c>
      <c r="C494" s="1" t="s">
        <v>1196</v>
      </c>
      <c r="D494" s="4">
        <v>39855.830555555556</v>
      </c>
      <c r="E494" s="1" t="s">
        <v>14</v>
      </c>
      <c r="F494" s="1">
        <v>459</v>
      </c>
      <c r="G494" s="5" t="s">
        <v>26</v>
      </c>
      <c r="H494" s="5" t="s">
        <v>133</v>
      </c>
      <c r="I494" s="1" t="s">
        <v>1538</v>
      </c>
      <c r="J494" s="1"/>
      <c r="K494" s="1"/>
      <c r="L494" s="2" t="s">
        <v>1539</v>
      </c>
      <c r="M494" s="1"/>
      <c r="N494" s="1"/>
      <c r="O494" s="1"/>
      <c r="P494" s="1"/>
      <c r="Q494" s="1"/>
      <c r="R494" s="1"/>
      <c r="S494" s="1"/>
      <c r="T494" s="1"/>
      <c r="U494" s="1"/>
      <c r="V494" s="1"/>
      <c r="W494" s="1"/>
      <c r="X494" s="1"/>
      <c r="Y494" s="1"/>
      <c r="Z494" s="1"/>
    </row>
    <row r="495" spans="1:26" ht="33.75" customHeight="1">
      <c r="A495" s="1">
        <v>1695</v>
      </c>
      <c r="B495" s="1" t="s">
        <v>1540</v>
      </c>
      <c r="C495" s="1" t="s">
        <v>1519</v>
      </c>
      <c r="D495" s="4">
        <v>39855.834027777775</v>
      </c>
      <c r="E495" s="1" t="s">
        <v>54</v>
      </c>
      <c r="F495" s="1"/>
      <c r="G495" s="5" t="s">
        <v>15</v>
      </c>
      <c r="H495" s="5" t="s">
        <v>402</v>
      </c>
      <c r="I495" s="1" t="s">
        <v>576</v>
      </c>
      <c r="J495" s="1"/>
      <c r="K495" s="1" t="s">
        <v>1541</v>
      </c>
      <c r="L495" s="2" t="s">
        <v>1542</v>
      </c>
      <c r="M495" s="1"/>
      <c r="N495" s="1"/>
      <c r="O495" s="1"/>
      <c r="P495" s="1"/>
      <c r="Q495" s="1"/>
      <c r="R495" s="1"/>
      <c r="S495" s="1"/>
      <c r="T495" s="1"/>
      <c r="U495" s="1"/>
      <c r="V495" s="1"/>
      <c r="W495" s="1"/>
      <c r="X495" s="1"/>
      <c r="Y495" s="1"/>
      <c r="Z495" s="1"/>
    </row>
    <row r="496" spans="1:26" ht="33.75" customHeight="1">
      <c r="A496" s="1">
        <v>1606</v>
      </c>
      <c r="B496" s="1" t="s">
        <v>1543</v>
      </c>
      <c r="C496" s="1" t="s">
        <v>846</v>
      </c>
      <c r="D496" s="4">
        <v>39855.841666666667</v>
      </c>
      <c r="E496" s="1" t="s">
        <v>84</v>
      </c>
      <c r="F496" s="1"/>
      <c r="G496" s="5" t="s">
        <v>64</v>
      </c>
      <c r="H496" s="5" t="s">
        <v>263</v>
      </c>
      <c r="I496" s="1" t="s">
        <v>1544</v>
      </c>
      <c r="J496" s="1"/>
      <c r="K496" s="1"/>
      <c r="L496" s="2" t="s">
        <v>1545</v>
      </c>
      <c r="M496" s="1"/>
      <c r="N496" s="1"/>
      <c r="O496" s="1"/>
      <c r="P496" s="1"/>
      <c r="Q496" s="1"/>
      <c r="R496" s="1"/>
      <c r="S496" s="1"/>
      <c r="T496" s="1"/>
      <c r="U496" s="1"/>
      <c r="V496" s="1"/>
      <c r="W496" s="1"/>
      <c r="X496" s="1"/>
      <c r="Y496" s="1"/>
      <c r="Z496" s="1"/>
    </row>
    <row r="497" spans="1:26" ht="33.75" customHeight="1">
      <c r="A497" s="1">
        <v>693</v>
      </c>
      <c r="B497" s="1" t="s">
        <v>1546</v>
      </c>
      <c r="C497" s="1" t="s">
        <v>1196</v>
      </c>
      <c r="D497" s="4">
        <v>39855.884027777778</v>
      </c>
      <c r="E497" s="1" t="s">
        <v>54</v>
      </c>
      <c r="F497" s="1" t="s">
        <v>1547</v>
      </c>
      <c r="G497" s="5" t="s">
        <v>64</v>
      </c>
      <c r="H497" s="5" t="s">
        <v>65</v>
      </c>
      <c r="I497" s="1" t="s">
        <v>35</v>
      </c>
      <c r="J497" s="1"/>
      <c r="K497" s="1" t="s">
        <v>1548</v>
      </c>
      <c r="L497" s="2" t="s">
        <v>1549</v>
      </c>
      <c r="M497" s="1"/>
      <c r="N497" s="1"/>
      <c r="O497" s="1"/>
      <c r="P497" s="1"/>
      <c r="Q497" s="1"/>
      <c r="R497" s="1"/>
      <c r="S497" s="1"/>
      <c r="T497" s="1"/>
      <c r="U497" s="1"/>
      <c r="V497" s="1"/>
      <c r="W497" s="1"/>
      <c r="X497" s="1"/>
      <c r="Y497" s="1"/>
      <c r="Z497" s="1"/>
    </row>
    <row r="498" spans="1:26" ht="33.75" customHeight="1">
      <c r="A498" s="1">
        <v>694</v>
      </c>
      <c r="B498" s="1" t="s">
        <v>1550</v>
      </c>
      <c r="C498" s="1" t="s">
        <v>1196</v>
      </c>
      <c r="D498" s="4">
        <v>39855.887499999997</v>
      </c>
      <c r="E498" s="1" t="s">
        <v>54</v>
      </c>
      <c r="F498" s="1"/>
      <c r="G498" s="5" t="s">
        <v>33</v>
      </c>
      <c r="H498" s="5" t="s">
        <v>34</v>
      </c>
      <c r="I498" s="1" t="s">
        <v>35</v>
      </c>
      <c r="J498" s="1"/>
      <c r="K498" s="1" t="s">
        <v>1551</v>
      </c>
      <c r="L498" s="2" t="s">
        <v>1552</v>
      </c>
      <c r="M498" s="1"/>
      <c r="N498" s="1"/>
      <c r="O498" s="1"/>
      <c r="P498" s="1"/>
      <c r="Q498" s="1"/>
      <c r="R498" s="1"/>
      <c r="S498" s="1"/>
      <c r="T498" s="1"/>
      <c r="U498" s="1"/>
      <c r="V498" s="1"/>
      <c r="W498" s="1"/>
      <c r="X498" s="1"/>
      <c r="Y498" s="1"/>
      <c r="Z498" s="1"/>
    </row>
    <row r="499" spans="1:26" ht="33.75" customHeight="1">
      <c r="A499" s="1">
        <v>695</v>
      </c>
      <c r="B499" s="1" t="s">
        <v>1553</v>
      </c>
      <c r="C499" s="1" t="s">
        <v>1196</v>
      </c>
      <c r="D499" s="4">
        <v>39855.919444444444</v>
      </c>
      <c r="E499" s="1" t="s">
        <v>54</v>
      </c>
      <c r="F499" s="1">
        <v>462</v>
      </c>
      <c r="G499" s="5" t="s">
        <v>64</v>
      </c>
      <c r="H499" s="1"/>
      <c r="I499" s="1" t="s">
        <v>64</v>
      </c>
      <c r="J499" s="1"/>
      <c r="K499" s="1"/>
      <c r="L499" s="2" t="s">
        <v>1554</v>
      </c>
      <c r="M499" s="1"/>
      <c r="N499" s="1"/>
      <c r="O499" s="1"/>
      <c r="P499" s="1"/>
      <c r="Q499" s="1"/>
      <c r="R499" s="1"/>
      <c r="S499" s="1"/>
      <c r="T499" s="1"/>
      <c r="U499" s="1"/>
      <c r="V499" s="1"/>
      <c r="W499" s="1"/>
      <c r="X499" s="1"/>
      <c r="Y499" s="1"/>
      <c r="Z499" s="1"/>
    </row>
    <row r="500" spans="1:26" ht="33.75" customHeight="1">
      <c r="A500" s="1">
        <v>696</v>
      </c>
      <c r="B500" s="1" t="s">
        <v>1555</v>
      </c>
      <c r="C500" s="1" t="s">
        <v>1196</v>
      </c>
      <c r="D500" s="4">
        <v>39855.9375</v>
      </c>
      <c r="E500" s="1" t="s">
        <v>1528</v>
      </c>
      <c r="F500" s="1"/>
      <c r="G500" s="5" t="s">
        <v>26</v>
      </c>
      <c r="H500" s="5" t="s">
        <v>27</v>
      </c>
      <c r="I500" s="1" t="s">
        <v>28</v>
      </c>
      <c r="J500" s="1" t="s">
        <v>29</v>
      </c>
      <c r="K500" s="1"/>
      <c r="L500" s="2" t="s">
        <v>1556</v>
      </c>
      <c r="M500" s="1"/>
      <c r="N500" s="1"/>
      <c r="O500" s="1"/>
      <c r="P500" s="1"/>
      <c r="Q500" s="1"/>
      <c r="R500" s="1"/>
      <c r="S500" s="1"/>
      <c r="T500" s="1"/>
      <c r="U500" s="1"/>
      <c r="V500" s="1"/>
      <c r="W500" s="1"/>
      <c r="X500" s="1"/>
      <c r="Y500" s="1"/>
      <c r="Z500" s="1"/>
    </row>
    <row r="501" spans="1:26" ht="33.75" customHeight="1">
      <c r="A501" s="1">
        <v>697</v>
      </c>
      <c r="B501" s="1" t="s">
        <v>1557</v>
      </c>
      <c r="C501" s="1" t="s">
        <v>1196</v>
      </c>
      <c r="D501" s="4">
        <v>39855.947916666664</v>
      </c>
      <c r="E501" s="1" t="s">
        <v>54</v>
      </c>
      <c r="F501" s="1"/>
      <c r="G501" s="5" t="s">
        <v>64</v>
      </c>
      <c r="H501" s="5" t="s">
        <v>65</v>
      </c>
      <c r="I501" s="1" t="s">
        <v>886</v>
      </c>
      <c r="J501" s="1"/>
      <c r="K501" s="1"/>
      <c r="L501" s="2" t="s">
        <v>1558</v>
      </c>
      <c r="M501" s="1"/>
      <c r="N501" s="1"/>
      <c r="O501" s="1"/>
      <c r="P501" s="1"/>
      <c r="Q501" s="1"/>
      <c r="R501" s="1"/>
      <c r="S501" s="1"/>
      <c r="T501" s="1"/>
      <c r="U501" s="1"/>
      <c r="V501" s="1"/>
      <c r="W501" s="1"/>
      <c r="X501" s="1"/>
      <c r="Y501" s="1"/>
      <c r="Z501" s="1"/>
    </row>
    <row r="502" spans="1:26" ht="33.75" customHeight="1">
      <c r="A502" s="1">
        <v>698</v>
      </c>
      <c r="B502" s="1" t="s">
        <v>1559</v>
      </c>
      <c r="C502" s="1" t="s">
        <v>1196</v>
      </c>
      <c r="D502" s="4">
        <v>39855.977083333331</v>
      </c>
      <c r="E502" s="1" t="s">
        <v>54</v>
      </c>
      <c r="F502" s="1"/>
      <c r="G502" s="5" t="s">
        <v>33</v>
      </c>
      <c r="H502" s="5" t="s">
        <v>34</v>
      </c>
      <c r="I502" s="1" t="s">
        <v>35</v>
      </c>
      <c r="J502" s="1"/>
      <c r="K502" s="1" t="s">
        <v>1551</v>
      </c>
      <c r="L502" s="2" t="s">
        <v>1560</v>
      </c>
      <c r="M502" s="1"/>
      <c r="N502" s="1"/>
      <c r="O502" s="1"/>
      <c r="P502" s="1"/>
      <c r="Q502" s="1"/>
      <c r="R502" s="1"/>
      <c r="S502" s="1"/>
      <c r="T502" s="1"/>
      <c r="U502" s="1"/>
      <c r="V502" s="1"/>
      <c r="W502" s="1"/>
      <c r="X502" s="1"/>
      <c r="Y502" s="1"/>
      <c r="Z502" s="1"/>
    </row>
    <row r="503" spans="1:26" ht="33.75" customHeight="1">
      <c r="A503" s="1">
        <v>699</v>
      </c>
      <c r="B503" s="1" t="s">
        <v>1561</v>
      </c>
      <c r="C503" s="1" t="s">
        <v>1196</v>
      </c>
      <c r="D503" s="4">
        <v>39855.995833333334</v>
      </c>
      <c r="E503" s="1" t="s">
        <v>320</v>
      </c>
      <c r="F503" s="1">
        <v>439</v>
      </c>
      <c r="G503" s="5" t="s">
        <v>26</v>
      </c>
      <c r="H503" s="5" t="s">
        <v>133</v>
      </c>
      <c r="I503" s="1" t="s">
        <v>28</v>
      </c>
      <c r="J503" s="1" t="s">
        <v>134</v>
      </c>
      <c r="K503" s="1"/>
      <c r="L503" s="2" t="s">
        <v>1562</v>
      </c>
      <c r="M503" s="1"/>
      <c r="N503" s="1"/>
      <c r="O503" s="1"/>
      <c r="P503" s="1"/>
      <c r="Q503" s="1"/>
      <c r="R503" s="1"/>
      <c r="S503" s="1"/>
      <c r="T503" s="1"/>
      <c r="U503" s="1"/>
      <c r="V503" s="1"/>
      <c r="W503" s="1"/>
      <c r="X503" s="1"/>
      <c r="Y503" s="1"/>
      <c r="Z503" s="1"/>
    </row>
    <row r="504" spans="1:26" ht="33.75" customHeight="1">
      <c r="A504" s="1">
        <v>700</v>
      </c>
      <c r="B504" s="1" t="s">
        <v>1563</v>
      </c>
      <c r="C504" s="1" t="s">
        <v>1196</v>
      </c>
      <c r="D504" s="4">
        <v>39856.015972222223</v>
      </c>
      <c r="E504" s="1" t="s">
        <v>54</v>
      </c>
      <c r="F504" s="1" t="s">
        <v>1564</v>
      </c>
      <c r="G504" s="5" t="s">
        <v>64</v>
      </c>
      <c r="H504" s="1"/>
      <c r="I504" s="1" t="s">
        <v>64</v>
      </c>
      <c r="J504" s="1"/>
      <c r="K504" s="1"/>
      <c r="L504" s="2" t="s">
        <v>1565</v>
      </c>
      <c r="M504" s="1"/>
      <c r="N504" s="1"/>
      <c r="O504" s="1"/>
      <c r="P504" s="1"/>
      <c r="Q504" s="1"/>
      <c r="R504" s="1"/>
      <c r="S504" s="1"/>
      <c r="T504" s="1"/>
      <c r="U504" s="1"/>
      <c r="V504" s="1"/>
      <c r="W504" s="1"/>
      <c r="X504" s="1"/>
      <c r="Y504" s="1"/>
      <c r="Z504" s="1"/>
    </row>
    <row r="505" spans="1:26" ht="33.75" customHeight="1">
      <c r="A505" s="1">
        <v>701</v>
      </c>
      <c r="B505" s="1" t="s">
        <v>1566</v>
      </c>
      <c r="C505" s="1" t="s">
        <v>1196</v>
      </c>
      <c r="D505" s="4">
        <v>39856.032638888886</v>
      </c>
      <c r="E505" s="1" t="s">
        <v>14</v>
      </c>
      <c r="F505" s="1"/>
      <c r="G505" s="1" t="s">
        <v>15</v>
      </c>
      <c r="H505" s="1" t="s">
        <v>50</v>
      </c>
      <c r="I505" s="1" t="s">
        <v>166</v>
      </c>
      <c r="J505" s="1"/>
      <c r="K505" s="1" t="s">
        <v>1567</v>
      </c>
      <c r="L505" s="2" t="s">
        <v>1568</v>
      </c>
      <c r="M505" s="1"/>
      <c r="N505" s="1"/>
      <c r="O505" s="1"/>
      <c r="P505" s="1"/>
      <c r="Q505" s="1"/>
      <c r="R505" s="1"/>
      <c r="S505" s="1"/>
      <c r="T505" s="1"/>
      <c r="U505" s="1"/>
      <c r="V505" s="1"/>
      <c r="W505" s="1"/>
      <c r="X505" s="1"/>
      <c r="Y505" s="1"/>
      <c r="Z505" s="1"/>
    </row>
    <row r="506" spans="1:26" ht="33.75" customHeight="1">
      <c r="A506" s="1">
        <v>1607</v>
      </c>
      <c r="B506" s="1" t="s">
        <v>1569</v>
      </c>
      <c r="C506" s="1" t="s">
        <v>846</v>
      </c>
      <c r="D506" s="4">
        <v>39856.03402777778</v>
      </c>
      <c r="E506" s="1" t="s">
        <v>1089</v>
      </c>
      <c r="F506" s="1" t="s">
        <v>1570</v>
      </c>
      <c r="G506" s="5" t="s">
        <v>64</v>
      </c>
      <c r="H506" s="1"/>
      <c r="I506" s="1" t="s">
        <v>64</v>
      </c>
      <c r="J506" s="1"/>
      <c r="K506" s="1"/>
      <c r="L506" s="2" t="s">
        <v>1571</v>
      </c>
      <c r="M506" s="1"/>
      <c r="N506" s="1"/>
      <c r="O506" s="1"/>
      <c r="P506" s="1"/>
      <c r="Q506" s="1"/>
      <c r="R506" s="1"/>
      <c r="S506" s="1"/>
      <c r="T506" s="1"/>
      <c r="U506" s="1"/>
      <c r="V506" s="1"/>
      <c r="W506" s="1"/>
      <c r="X506" s="1"/>
      <c r="Y506" s="1"/>
      <c r="Z506" s="1"/>
    </row>
    <row r="507" spans="1:26" ht="33.75" customHeight="1">
      <c r="A507" s="1">
        <v>702</v>
      </c>
      <c r="B507" s="1" t="s">
        <v>1572</v>
      </c>
      <c r="C507" s="1" t="s">
        <v>1196</v>
      </c>
      <c r="D507" s="4">
        <v>39856.047222222223</v>
      </c>
      <c r="E507" s="1" t="s">
        <v>14</v>
      </c>
      <c r="F507" s="1">
        <v>413</v>
      </c>
      <c r="G507" s="5" t="s">
        <v>64</v>
      </c>
      <c r="H507" s="1"/>
      <c r="I507" s="1" t="s">
        <v>64</v>
      </c>
      <c r="J507" s="1"/>
      <c r="K507" s="1"/>
      <c r="L507" s="2" t="s">
        <v>1573</v>
      </c>
      <c r="M507" s="1"/>
      <c r="N507" s="1"/>
      <c r="O507" s="1"/>
      <c r="P507" s="1"/>
      <c r="Q507" s="1"/>
      <c r="R507" s="1"/>
      <c r="S507" s="1"/>
      <c r="T507" s="1"/>
      <c r="U507" s="1"/>
      <c r="V507" s="1"/>
      <c r="W507" s="1"/>
      <c r="X507" s="1"/>
      <c r="Y507" s="1"/>
      <c r="Z507" s="1"/>
    </row>
    <row r="508" spans="1:26" ht="33.75" customHeight="1">
      <c r="A508" s="1">
        <v>703</v>
      </c>
      <c r="B508" s="1" t="s">
        <v>1574</v>
      </c>
      <c r="C508" s="1" t="s">
        <v>1196</v>
      </c>
      <c r="D508" s="4">
        <v>39856.056250000001</v>
      </c>
      <c r="E508" s="1" t="s">
        <v>54</v>
      </c>
      <c r="F508" s="1"/>
      <c r="G508" s="1" t="s">
        <v>15</v>
      </c>
      <c r="H508" s="1" t="s">
        <v>50</v>
      </c>
      <c r="I508" s="1" t="s">
        <v>166</v>
      </c>
      <c r="J508" s="1"/>
      <c r="K508" s="1" t="s">
        <v>1575</v>
      </c>
      <c r="L508" s="2" t="s">
        <v>1576</v>
      </c>
      <c r="M508" s="1"/>
      <c r="N508" s="1"/>
      <c r="O508" s="1"/>
      <c r="P508" s="1"/>
      <c r="Q508" s="1"/>
      <c r="R508" s="1"/>
      <c r="S508" s="1"/>
      <c r="T508" s="1"/>
      <c r="U508" s="1"/>
      <c r="V508" s="1"/>
      <c r="W508" s="1"/>
      <c r="X508" s="1"/>
      <c r="Y508" s="1"/>
      <c r="Z508" s="1"/>
    </row>
    <row r="509" spans="1:26" ht="33.75" customHeight="1">
      <c r="A509" s="1">
        <v>704</v>
      </c>
      <c r="B509" s="1" t="s">
        <v>1577</v>
      </c>
      <c r="C509" s="1" t="s">
        <v>1196</v>
      </c>
      <c r="D509" s="4">
        <v>39856.059027777781</v>
      </c>
      <c r="E509" s="1" t="s">
        <v>14</v>
      </c>
      <c r="F509" s="1" t="s">
        <v>1578</v>
      </c>
      <c r="G509" s="5" t="s">
        <v>26</v>
      </c>
      <c r="H509" s="5" t="s">
        <v>27</v>
      </c>
      <c r="I509" s="1" t="s">
        <v>28</v>
      </c>
      <c r="J509" s="1" t="s">
        <v>29</v>
      </c>
      <c r="K509" s="1"/>
      <c r="L509" s="2" t="s">
        <v>1579</v>
      </c>
      <c r="M509" s="1"/>
      <c r="N509" s="1"/>
      <c r="O509" s="1"/>
      <c r="P509" s="1"/>
      <c r="Q509" s="1"/>
      <c r="R509" s="1"/>
      <c r="S509" s="1"/>
      <c r="T509" s="1"/>
      <c r="U509" s="1"/>
      <c r="V509" s="1"/>
      <c r="W509" s="1"/>
      <c r="X509" s="1"/>
      <c r="Y509" s="1"/>
      <c r="Z509" s="1"/>
    </row>
    <row r="510" spans="1:26" ht="33.75" customHeight="1">
      <c r="A510" s="1">
        <v>705</v>
      </c>
      <c r="B510" s="1" t="s">
        <v>1580</v>
      </c>
      <c r="C510" s="1" t="s">
        <v>1196</v>
      </c>
      <c r="D510" s="4">
        <v>39856.070138888892</v>
      </c>
      <c r="E510" s="1" t="s">
        <v>14</v>
      </c>
      <c r="F510" s="1" t="s">
        <v>1572</v>
      </c>
      <c r="G510" s="5" t="s">
        <v>26</v>
      </c>
      <c r="H510" s="5" t="s">
        <v>27</v>
      </c>
      <c r="I510" s="1" t="s">
        <v>28</v>
      </c>
      <c r="J510" s="1" t="s">
        <v>29</v>
      </c>
      <c r="K510" s="1"/>
      <c r="L510" s="2" t="s">
        <v>1581</v>
      </c>
      <c r="M510" s="1"/>
      <c r="N510" s="1"/>
      <c r="O510" s="1"/>
      <c r="P510" s="1"/>
      <c r="Q510" s="1"/>
      <c r="R510" s="1"/>
      <c r="S510" s="1"/>
      <c r="T510" s="1"/>
      <c r="U510" s="1"/>
      <c r="V510" s="1"/>
      <c r="W510" s="1"/>
      <c r="X510" s="1"/>
      <c r="Y510" s="1"/>
      <c r="Z510" s="1"/>
    </row>
    <row r="511" spans="1:26" ht="33.75" customHeight="1">
      <c r="A511" s="1">
        <v>706</v>
      </c>
      <c r="B511" s="1" t="s">
        <v>1582</v>
      </c>
      <c r="C511" s="1" t="s">
        <v>1196</v>
      </c>
      <c r="D511" s="4">
        <v>39856.07708333333</v>
      </c>
      <c r="E511" s="1" t="s">
        <v>320</v>
      </c>
      <c r="F511" s="1" t="s">
        <v>1583</v>
      </c>
      <c r="G511" s="6" t="s">
        <v>78</v>
      </c>
      <c r="H511" s="5" t="s">
        <v>197</v>
      </c>
      <c r="I511" s="1" t="s">
        <v>372</v>
      </c>
      <c r="J511" s="1"/>
      <c r="K511" s="1" t="s">
        <v>1584</v>
      </c>
      <c r="L511" s="2" t="s">
        <v>1585</v>
      </c>
      <c r="M511" s="1"/>
      <c r="N511" s="1"/>
      <c r="O511" s="1"/>
      <c r="P511" s="1"/>
      <c r="Q511" s="1"/>
      <c r="R511" s="1"/>
      <c r="S511" s="1"/>
      <c r="T511" s="1"/>
      <c r="U511" s="1"/>
      <c r="V511" s="1"/>
      <c r="W511" s="1"/>
      <c r="X511" s="1"/>
      <c r="Y511" s="1"/>
      <c r="Z511" s="1"/>
    </row>
    <row r="512" spans="1:26" ht="33.75" customHeight="1">
      <c r="A512" s="1">
        <v>707</v>
      </c>
      <c r="B512" s="1" t="s">
        <v>1586</v>
      </c>
      <c r="C512" s="1" t="s">
        <v>1196</v>
      </c>
      <c r="D512" s="4">
        <v>39856.077777777777</v>
      </c>
      <c r="E512" s="1" t="s">
        <v>320</v>
      </c>
      <c r="F512" s="1" t="s">
        <v>1582</v>
      </c>
      <c r="G512" s="5" t="s">
        <v>64</v>
      </c>
      <c r="H512" s="1"/>
      <c r="I512" s="1" t="s">
        <v>64</v>
      </c>
      <c r="J512" s="1"/>
      <c r="K512" s="1" t="s">
        <v>1587</v>
      </c>
      <c r="L512" s="2" t="s">
        <v>1588</v>
      </c>
      <c r="M512" s="1"/>
      <c r="N512" s="1"/>
      <c r="O512" s="1"/>
      <c r="P512" s="1"/>
      <c r="Q512" s="1"/>
      <c r="R512" s="1"/>
      <c r="S512" s="1"/>
      <c r="T512" s="1"/>
      <c r="U512" s="1"/>
      <c r="V512" s="1"/>
      <c r="W512" s="1"/>
      <c r="X512" s="1"/>
      <c r="Y512" s="1"/>
      <c r="Z512" s="1"/>
    </row>
    <row r="513" spans="1:26" ht="33.75" customHeight="1">
      <c r="A513" s="1">
        <v>1696</v>
      </c>
      <c r="B513" s="1" t="s">
        <v>1589</v>
      </c>
      <c r="C513" s="1" t="s">
        <v>1519</v>
      </c>
      <c r="D513" s="4">
        <v>39856.090277777781</v>
      </c>
      <c r="E513" s="1" t="s">
        <v>14</v>
      </c>
      <c r="F513" s="1"/>
      <c r="G513" s="5" t="s">
        <v>15</v>
      </c>
      <c r="H513" s="5" t="s">
        <v>402</v>
      </c>
      <c r="I513" s="1" t="s">
        <v>576</v>
      </c>
      <c r="J513" s="1"/>
      <c r="K513" s="1" t="s">
        <v>1590</v>
      </c>
      <c r="L513" s="2" t="s">
        <v>1591</v>
      </c>
      <c r="M513" s="1"/>
      <c r="N513" s="1"/>
      <c r="O513" s="1"/>
      <c r="P513" s="1"/>
      <c r="Q513" s="1"/>
      <c r="R513" s="1"/>
      <c r="S513" s="1"/>
      <c r="T513" s="1"/>
      <c r="U513" s="1"/>
      <c r="V513" s="1"/>
      <c r="W513" s="1"/>
      <c r="X513" s="1"/>
      <c r="Y513" s="1"/>
      <c r="Z513" s="1"/>
    </row>
    <row r="514" spans="1:26" ht="33.75" customHeight="1">
      <c r="A514" s="1">
        <v>1566</v>
      </c>
      <c r="B514" s="1" t="s">
        <v>12</v>
      </c>
      <c r="C514" s="1" t="s">
        <v>1519</v>
      </c>
      <c r="D514" s="4">
        <v>39856.09888888889</v>
      </c>
      <c r="E514" s="1" t="s">
        <v>175</v>
      </c>
      <c r="F514" s="1"/>
      <c r="G514" s="5" t="s">
        <v>15</v>
      </c>
      <c r="H514" s="5" t="s">
        <v>402</v>
      </c>
      <c r="I514" s="1" t="s">
        <v>576</v>
      </c>
      <c r="J514" s="1"/>
      <c r="K514" s="1" t="s">
        <v>1592</v>
      </c>
      <c r="L514" s="2" t="s">
        <v>1593</v>
      </c>
      <c r="M514" s="1"/>
      <c r="N514" s="1"/>
      <c r="O514" s="1"/>
      <c r="P514" s="1"/>
      <c r="Q514" s="1"/>
      <c r="R514" s="1"/>
      <c r="S514" s="1"/>
      <c r="T514" s="1"/>
      <c r="U514" s="1"/>
      <c r="V514" s="1"/>
      <c r="W514" s="1"/>
      <c r="X514" s="1"/>
      <c r="Y514" s="1"/>
      <c r="Z514" s="1"/>
    </row>
    <row r="515" spans="1:26" ht="33.75" customHeight="1">
      <c r="A515" s="1">
        <v>708</v>
      </c>
      <c r="B515" s="1" t="s">
        <v>1594</v>
      </c>
      <c r="C515" s="1" t="s">
        <v>1196</v>
      </c>
      <c r="D515" s="4">
        <v>39856.163888888892</v>
      </c>
      <c r="E515" s="1" t="s">
        <v>54</v>
      </c>
      <c r="F515" s="1"/>
      <c r="G515" s="5" t="s">
        <v>15</v>
      </c>
      <c r="H515" s="5" t="s">
        <v>402</v>
      </c>
      <c r="I515" s="1" t="s">
        <v>576</v>
      </c>
      <c r="J515" s="1"/>
      <c r="K515" s="1" t="s">
        <v>1592</v>
      </c>
      <c r="L515" s="2" t="s">
        <v>1595</v>
      </c>
      <c r="M515" s="1"/>
      <c r="N515" s="1"/>
      <c r="O515" s="1"/>
      <c r="P515" s="1"/>
      <c r="Q515" s="1"/>
      <c r="R515" s="1"/>
      <c r="S515" s="1"/>
      <c r="T515" s="1"/>
      <c r="U515" s="1"/>
      <c r="V515" s="1"/>
      <c r="W515" s="1"/>
      <c r="X515" s="1"/>
      <c r="Y515" s="1"/>
      <c r="Z515" s="1"/>
    </row>
    <row r="516" spans="1:26" ht="33.75" customHeight="1">
      <c r="A516" s="1">
        <v>1697</v>
      </c>
      <c r="B516" s="1" t="s">
        <v>1596</v>
      </c>
      <c r="C516" s="1" t="s">
        <v>1519</v>
      </c>
      <c r="D516" s="4">
        <v>39856.188888888886</v>
      </c>
      <c r="E516" s="1" t="s">
        <v>1597</v>
      </c>
      <c r="F516" s="1"/>
      <c r="G516" s="5" t="s">
        <v>26</v>
      </c>
      <c r="H516" s="5" t="s">
        <v>133</v>
      </c>
      <c r="I516" s="1" t="s">
        <v>64</v>
      </c>
      <c r="J516" s="1"/>
      <c r="K516" s="1"/>
      <c r="L516" s="2" t="s">
        <v>1598</v>
      </c>
      <c r="M516" s="1"/>
      <c r="N516" s="1"/>
      <c r="O516" s="1"/>
      <c r="P516" s="1"/>
      <c r="Q516" s="1"/>
      <c r="R516" s="1"/>
      <c r="S516" s="1"/>
      <c r="T516" s="1"/>
      <c r="U516" s="1"/>
      <c r="V516" s="1"/>
      <c r="W516" s="1"/>
      <c r="X516" s="1"/>
      <c r="Y516" s="1"/>
      <c r="Z516" s="1"/>
    </row>
    <row r="517" spans="1:26" ht="33.75" customHeight="1">
      <c r="A517" s="1">
        <v>709</v>
      </c>
      <c r="B517" s="1" t="s">
        <v>1599</v>
      </c>
      <c r="C517" s="1" t="s">
        <v>1196</v>
      </c>
      <c r="D517" s="4">
        <v>39856.226388888892</v>
      </c>
      <c r="E517" s="1" t="s">
        <v>320</v>
      </c>
      <c r="F517" s="1">
        <v>472</v>
      </c>
      <c r="G517" s="5" t="s">
        <v>64</v>
      </c>
      <c r="H517" s="1"/>
      <c r="I517" s="1" t="s">
        <v>64</v>
      </c>
      <c r="J517" s="1"/>
      <c r="K517" s="1"/>
      <c r="L517" s="2" t="s">
        <v>1600</v>
      </c>
      <c r="M517" s="1"/>
      <c r="N517" s="1"/>
      <c r="O517" s="1"/>
      <c r="P517" s="1"/>
      <c r="Q517" s="1"/>
      <c r="R517" s="1"/>
      <c r="S517" s="1"/>
      <c r="T517" s="1"/>
      <c r="U517" s="1"/>
      <c r="V517" s="1"/>
      <c r="W517" s="1"/>
      <c r="X517" s="1"/>
      <c r="Y517" s="1"/>
      <c r="Z517" s="1"/>
    </row>
    <row r="518" spans="1:26" ht="33.75" customHeight="1">
      <c r="A518" s="1">
        <v>710</v>
      </c>
      <c r="B518" s="1" t="s">
        <v>1601</v>
      </c>
      <c r="C518" s="1" t="s">
        <v>1196</v>
      </c>
      <c r="D518" s="4">
        <v>39856.269444444442</v>
      </c>
      <c r="E518" s="1" t="s">
        <v>54</v>
      </c>
      <c r="F518" s="1" t="s">
        <v>1602</v>
      </c>
      <c r="G518" s="5" t="s">
        <v>64</v>
      </c>
      <c r="H518" s="1"/>
      <c r="I518" s="1" t="s">
        <v>64</v>
      </c>
      <c r="J518" s="1"/>
      <c r="K518" s="1"/>
      <c r="L518" s="2" t="s">
        <v>1603</v>
      </c>
      <c r="M518" s="1"/>
      <c r="N518" s="1"/>
      <c r="O518" s="1"/>
      <c r="P518" s="1"/>
      <c r="Q518" s="1"/>
      <c r="R518" s="1"/>
      <c r="S518" s="1"/>
      <c r="T518" s="1"/>
      <c r="U518" s="1"/>
      <c r="V518" s="1"/>
      <c r="W518" s="1"/>
      <c r="X518" s="1"/>
      <c r="Y518" s="1"/>
      <c r="Z518" s="1"/>
    </row>
    <row r="519" spans="1:26" ht="33.75" customHeight="1">
      <c r="A519" s="1">
        <v>711</v>
      </c>
      <c r="B519" s="1" t="s">
        <v>1604</v>
      </c>
      <c r="C519" s="1" t="s">
        <v>1196</v>
      </c>
      <c r="D519" s="4">
        <v>39856.271527777775</v>
      </c>
      <c r="E519" s="1" t="s">
        <v>54</v>
      </c>
      <c r="F519" s="1"/>
      <c r="G519" s="5" t="s">
        <v>33</v>
      </c>
      <c r="H519" s="5" t="s">
        <v>34</v>
      </c>
      <c r="I519" s="1" t="s">
        <v>1605</v>
      </c>
      <c r="J519" s="1"/>
      <c r="K519" s="1" t="s">
        <v>1606</v>
      </c>
      <c r="L519" s="2" t="s">
        <v>1607</v>
      </c>
      <c r="M519" s="1"/>
      <c r="N519" s="1"/>
      <c r="O519" s="1"/>
      <c r="P519" s="1"/>
      <c r="Q519" s="1"/>
      <c r="R519" s="1"/>
      <c r="S519" s="1"/>
      <c r="T519" s="1"/>
      <c r="U519" s="1"/>
      <c r="V519" s="1"/>
      <c r="W519" s="1"/>
      <c r="X519" s="1"/>
      <c r="Y519" s="1"/>
      <c r="Z519" s="1"/>
    </row>
    <row r="520" spans="1:26" ht="33.75" customHeight="1">
      <c r="A520" s="1">
        <v>712</v>
      </c>
      <c r="B520" s="1" t="s">
        <v>1608</v>
      </c>
      <c r="C520" s="1" t="s">
        <v>1196</v>
      </c>
      <c r="D520" s="4">
        <v>39856.293749999997</v>
      </c>
      <c r="E520" s="1" t="s">
        <v>1528</v>
      </c>
      <c r="F520" s="1" t="s">
        <v>1609</v>
      </c>
      <c r="G520" s="6" t="s">
        <v>78</v>
      </c>
      <c r="H520" s="5" t="s">
        <v>197</v>
      </c>
      <c r="I520" s="1" t="s">
        <v>56</v>
      </c>
      <c r="J520" s="1"/>
      <c r="K520" s="1"/>
      <c r="L520" s="2" t="s">
        <v>1610</v>
      </c>
      <c r="M520" s="1"/>
      <c r="N520" s="1"/>
      <c r="O520" s="1"/>
      <c r="P520" s="1"/>
      <c r="Q520" s="1"/>
      <c r="R520" s="1"/>
      <c r="S520" s="1"/>
      <c r="T520" s="1"/>
      <c r="U520" s="1"/>
      <c r="V520" s="1"/>
      <c r="W520" s="1"/>
      <c r="X520" s="1"/>
      <c r="Y520" s="1"/>
      <c r="Z520" s="1"/>
    </row>
    <row r="521" spans="1:26" ht="33.75" customHeight="1">
      <c r="A521" s="1">
        <v>1608</v>
      </c>
      <c r="B521" s="1" t="s">
        <v>1611</v>
      </c>
      <c r="C521" s="1" t="s">
        <v>846</v>
      </c>
      <c r="D521" s="4">
        <v>39856.313888888886</v>
      </c>
      <c r="E521" s="1" t="s">
        <v>84</v>
      </c>
      <c r="F521" s="1"/>
      <c r="G521" s="6" t="s">
        <v>78</v>
      </c>
      <c r="H521" s="5" t="s">
        <v>79</v>
      </c>
      <c r="I521" s="1" t="s">
        <v>1612</v>
      </c>
      <c r="J521" s="1"/>
      <c r="K521" s="1"/>
      <c r="L521" s="2" t="s">
        <v>1613</v>
      </c>
      <c r="M521" s="1"/>
      <c r="N521" s="1"/>
      <c r="O521" s="1"/>
      <c r="P521" s="1"/>
      <c r="Q521" s="1"/>
      <c r="R521" s="1"/>
      <c r="S521" s="1"/>
      <c r="T521" s="1"/>
      <c r="U521" s="1"/>
      <c r="V521" s="1"/>
      <c r="W521" s="1"/>
      <c r="X521" s="1"/>
      <c r="Y521" s="1"/>
      <c r="Z521" s="1"/>
    </row>
    <row r="522" spans="1:26" ht="33.75" customHeight="1">
      <c r="A522" s="1">
        <v>1609</v>
      </c>
      <c r="B522" s="1" t="s">
        <v>1614</v>
      </c>
      <c r="C522" s="1" t="s">
        <v>846</v>
      </c>
      <c r="D522" s="4">
        <v>39856.32708333333</v>
      </c>
      <c r="E522" s="1" t="s">
        <v>84</v>
      </c>
      <c r="F522" s="1"/>
      <c r="G522" s="5" t="s">
        <v>15</v>
      </c>
      <c r="H522" s="5" t="s">
        <v>402</v>
      </c>
      <c r="I522" s="1" t="s">
        <v>576</v>
      </c>
      <c r="J522" s="1"/>
      <c r="K522" s="1" t="s">
        <v>1615</v>
      </c>
      <c r="L522" s="2" t="s">
        <v>1616</v>
      </c>
      <c r="M522" s="1"/>
      <c r="N522" s="1"/>
      <c r="O522" s="1"/>
      <c r="P522" s="1"/>
      <c r="Q522" s="1"/>
      <c r="R522" s="1"/>
      <c r="S522" s="1"/>
      <c r="T522" s="1"/>
      <c r="U522" s="1"/>
      <c r="V522" s="1"/>
      <c r="W522" s="1"/>
      <c r="X522" s="1"/>
      <c r="Y522" s="1"/>
      <c r="Z522" s="1"/>
    </row>
    <row r="523" spans="1:26" ht="33.75" customHeight="1">
      <c r="A523" s="1">
        <v>1698</v>
      </c>
      <c r="B523" s="1" t="s">
        <v>1617</v>
      </c>
      <c r="C523" s="1" t="s">
        <v>1519</v>
      </c>
      <c r="D523" s="4">
        <v>39856.34652777778</v>
      </c>
      <c r="E523" s="1" t="s">
        <v>1618</v>
      </c>
      <c r="F523" s="1"/>
      <c r="G523" s="5" t="s">
        <v>26</v>
      </c>
      <c r="H523" s="5" t="s">
        <v>133</v>
      </c>
      <c r="I523" s="1" t="s">
        <v>28</v>
      </c>
      <c r="J523" s="1" t="s">
        <v>134</v>
      </c>
      <c r="K523" s="1" t="s">
        <v>1619</v>
      </c>
      <c r="L523" s="2" t="s">
        <v>1620</v>
      </c>
      <c r="M523" s="1"/>
      <c r="N523" s="1"/>
      <c r="O523" s="1"/>
      <c r="P523" s="1"/>
      <c r="Q523" s="1"/>
      <c r="R523" s="1"/>
      <c r="S523" s="1"/>
      <c r="T523" s="1"/>
      <c r="U523" s="1"/>
      <c r="V523" s="1"/>
      <c r="W523" s="1"/>
      <c r="X523" s="1"/>
      <c r="Y523" s="1"/>
      <c r="Z523" s="1"/>
    </row>
    <row r="524" spans="1:26" ht="33.75" customHeight="1">
      <c r="A524" s="1">
        <v>713</v>
      </c>
      <c r="B524" s="1" t="s">
        <v>1621</v>
      </c>
      <c r="C524" s="1" t="s">
        <v>1196</v>
      </c>
      <c r="D524" s="4">
        <v>39856.40902777778</v>
      </c>
      <c r="E524" s="1" t="s">
        <v>255</v>
      </c>
      <c r="F524" s="1"/>
      <c r="G524" s="5" t="s">
        <v>64</v>
      </c>
      <c r="H524" s="1"/>
      <c r="I524" s="1" t="s">
        <v>64</v>
      </c>
      <c r="J524" s="1" t="s">
        <v>1622</v>
      </c>
      <c r="K524" s="1"/>
      <c r="L524" s="2" t="s">
        <v>1623</v>
      </c>
      <c r="M524" s="1"/>
      <c r="N524" s="1"/>
      <c r="O524" s="1"/>
      <c r="P524" s="1"/>
      <c r="Q524" s="1"/>
      <c r="R524" s="1"/>
      <c r="S524" s="1"/>
      <c r="T524" s="1"/>
      <c r="U524" s="1"/>
      <c r="V524" s="1"/>
      <c r="W524" s="1"/>
      <c r="X524" s="1"/>
      <c r="Y524" s="1"/>
      <c r="Z524" s="1"/>
    </row>
    <row r="525" spans="1:26" ht="33.75" customHeight="1">
      <c r="A525" s="1">
        <v>714</v>
      </c>
      <c r="B525" s="1" t="s">
        <v>1624</v>
      </c>
      <c r="C525" s="1" t="s">
        <v>1196</v>
      </c>
      <c r="D525" s="4">
        <v>39856.418749999997</v>
      </c>
      <c r="E525" s="1" t="s">
        <v>54</v>
      </c>
      <c r="F525" s="1" t="s">
        <v>1608</v>
      </c>
      <c r="G525" s="5" t="s">
        <v>26</v>
      </c>
      <c r="H525" s="5" t="s">
        <v>133</v>
      </c>
      <c r="I525" s="1" t="s">
        <v>28</v>
      </c>
      <c r="J525" s="1" t="s">
        <v>134</v>
      </c>
      <c r="K525" s="1"/>
      <c r="L525" s="2" t="s">
        <v>1625</v>
      </c>
      <c r="M525" s="1"/>
      <c r="N525" s="1"/>
      <c r="O525" s="1"/>
      <c r="P525" s="1"/>
      <c r="Q525" s="1"/>
      <c r="R525" s="1"/>
      <c r="S525" s="1"/>
      <c r="T525" s="1"/>
      <c r="U525" s="1"/>
      <c r="V525" s="1"/>
      <c r="W525" s="1"/>
      <c r="X525" s="1"/>
      <c r="Y525" s="1"/>
      <c r="Z525" s="1"/>
    </row>
    <row r="526" spans="1:26" ht="33.75" customHeight="1">
      <c r="A526" s="1">
        <v>715</v>
      </c>
      <c r="B526" s="1" t="s">
        <v>1626</v>
      </c>
      <c r="C526" s="1" t="s">
        <v>1196</v>
      </c>
      <c r="D526" s="4">
        <v>39856.418749999997</v>
      </c>
      <c r="E526" s="1" t="s">
        <v>255</v>
      </c>
      <c r="F526" s="1"/>
      <c r="G526" s="6" t="s">
        <v>78</v>
      </c>
      <c r="H526" s="5" t="s">
        <v>197</v>
      </c>
      <c r="I526" s="1" t="s">
        <v>1627</v>
      </c>
      <c r="J526" s="1"/>
      <c r="K526" s="1"/>
      <c r="L526" s="2" t="s">
        <v>1628</v>
      </c>
      <c r="M526" s="1"/>
      <c r="N526" s="1"/>
      <c r="O526" s="1"/>
      <c r="P526" s="1"/>
      <c r="Q526" s="1"/>
      <c r="R526" s="1"/>
      <c r="S526" s="1"/>
      <c r="T526" s="1"/>
      <c r="U526" s="1"/>
      <c r="V526" s="1"/>
      <c r="W526" s="1"/>
      <c r="X526" s="1"/>
      <c r="Y526" s="1"/>
      <c r="Z526" s="1"/>
    </row>
    <row r="527" spans="1:26" ht="33.75" customHeight="1">
      <c r="A527" s="1">
        <v>716</v>
      </c>
      <c r="B527" s="1" t="s">
        <v>1629</v>
      </c>
      <c r="C527" s="1" t="s">
        <v>1196</v>
      </c>
      <c r="D527" s="4">
        <v>39856.424305555556</v>
      </c>
      <c r="E527" s="1" t="s">
        <v>255</v>
      </c>
      <c r="F527" s="1" t="s">
        <v>1624</v>
      </c>
      <c r="G527" s="5" t="s">
        <v>26</v>
      </c>
      <c r="H527" s="5" t="s">
        <v>27</v>
      </c>
      <c r="I527" s="1" t="s">
        <v>28</v>
      </c>
      <c r="J527" s="1" t="s">
        <v>29</v>
      </c>
      <c r="K527" s="1" t="s">
        <v>1630</v>
      </c>
      <c r="L527" s="2" t="s">
        <v>1631</v>
      </c>
      <c r="M527" s="1"/>
      <c r="N527" s="1"/>
      <c r="O527" s="1"/>
      <c r="P527" s="1"/>
      <c r="Q527" s="1"/>
      <c r="R527" s="1"/>
      <c r="S527" s="1"/>
      <c r="T527" s="1"/>
      <c r="U527" s="1"/>
      <c r="V527" s="1"/>
      <c r="W527" s="1"/>
      <c r="X527" s="1"/>
      <c r="Y527" s="1"/>
      <c r="Z527" s="1"/>
    </row>
    <row r="528" spans="1:26" ht="33.75" customHeight="1">
      <c r="A528" s="1">
        <v>1610</v>
      </c>
      <c r="B528" s="1" t="s">
        <v>1632</v>
      </c>
      <c r="C528" s="1" t="s">
        <v>846</v>
      </c>
      <c r="D528" s="4">
        <v>39856.448611111111</v>
      </c>
      <c r="E528" s="1" t="s">
        <v>474</v>
      </c>
      <c r="F528" s="1"/>
      <c r="G528" s="5" t="s">
        <v>64</v>
      </c>
      <c r="H528" s="1"/>
      <c r="I528" s="1" t="s">
        <v>64</v>
      </c>
      <c r="J528" s="1"/>
      <c r="K528" s="1"/>
      <c r="L528" s="2" t="s">
        <v>1633</v>
      </c>
      <c r="M528" s="1"/>
      <c r="N528" s="1"/>
      <c r="O528" s="1"/>
      <c r="P528" s="1"/>
      <c r="Q528" s="1"/>
      <c r="R528" s="1"/>
      <c r="S528" s="1"/>
      <c r="T528" s="1"/>
      <c r="U528" s="1"/>
      <c r="V528" s="1"/>
      <c r="W528" s="1"/>
      <c r="X528" s="1"/>
      <c r="Y528" s="1"/>
      <c r="Z528" s="1"/>
    </row>
    <row r="529" spans="1:26" ht="33.75" customHeight="1">
      <c r="A529" s="1">
        <v>549</v>
      </c>
      <c r="B529" s="1" t="s">
        <v>1634</v>
      </c>
      <c r="C529" s="1" t="s">
        <v>680</v>
      </c>
      <c r="D529" s="4">
        <v>39856.454861111109</v>
      </c>
      <c r="E529" s="1" t="s">
        <v>830</v>
      </c>
      <c r="F529" s="1"/>
      <c r="G529" s="5" t="s">
        <v>33</v>
      </c>
      <c r="H529" s="5" t="s">
        <v>34</v>
      </c>
      <c r="I529" s="1" t="s">
        <v>35</v>
      </c>
      <c r="J529" s="1"/>
      <c r="K529" s="1" t="s">
        <v>1635</v>
      </c>
      <c r="L529" s="2" t="s">
        <v>1636</v>
      </c>
      <c r="M529" s="1"/>
      <c r="N529" s="1"/>
      <c r="O529" s="1"/>
      <c r="P529" s="1"/>
      <c r="Q529" s="1"/>
      <c r="R529" s="1"/>
      <c r="S529" s="1"/>
      <c r="T529" s="1"/>
      <c r="U529" s="1"/>
      <c r="V529" s="1"/>
      <c r="W529" s="1"/>
      <c r="X529" s="1"/>
      <c r="Y529" s="1"/>
      <c r="Z529" s="1"/>
    </row>
    <row r="530" spans="1:26" ht="33.75" customHeight="1">
      <c r="A530" s="1">
        <v>1611</v>
      </c>
      <c r="B530" s="1" t="s">
        <v>1637</v>
      </c>
      <c r="C530" s="1" t="s">
        <v>846</v>
      </c>
      <c r="D530" s="4">
        <v>39856.480555555558</v>
      </c>
      <c r="E530" s="1" t="s">
        <v>474</v>
      </c>
      <c r="F530" s="1"/>
      <c r="G530" s="5" t="s">
        <v>64</v>
      </c>
      <c r="H530" s="1"/>
      <c r="I530" s="1" t="s">
        <v>64</v>
      </c>
      <c r="J530" s="1"/>
      <c r="K530" s="1"/>
      <c r="L530" s="2" t="s">
        <v>1638</v>
      </c>
      <c r="M530" s="1"/>
      <c r="N530" s="1"/>
      <c r="O530" s="1"/>
      <c r="P530" s="1"/>
      <c r="Q530" s="1"/>
      <c r="R530" s="1"/>
      <c r="S530" s="1"/>
      <c r="T530" s="1"/>
      <c r="U530" s="1"/>
      <c r="V530" s="1"/>
      <c r="W530" s="1"/>
      <c r="X530" s="1"/>
      <c r="Y530" s="1"/>
      <c r="Z530" s="1"/>
    </row>
    <row r="531" spans="1:26" ht="33.75" customHeight="1">
      <c r="A531" s="1">
        <v>1699</v>
      </c>
      <c r="B531" s="1" t="s">
        <v>1639</v>
      </c>
      <c r="C531" s="1" t="s">
        <v>1519</v>
      </c>
      <c r="D531" s="4">
        <v>39856.493750000001</v>
      </c>
      <c r="E531" s="1" t="s">
        <v>54</v>
      </c>
      <c r="F531" s="1"/>
      <c r="G531" s="5" t="s">
        <v>15</v>
      </c>
      <c r="H531" s="5" t="s">
        <v>402</v>
      </c>
      <c r="I531" s="1" t="s">
        <v>576</v>
      </c>
      <c r="J531" s="1"/>
      <c r="K531" s="1" t="s">
        <v>1640</v>
      </c>
      <c r="L531" s="2" t="s">
        <v>1641</v>
      </c>
      <c r="M531" s="1"/>
      <c r="N531" s="1"/>
      <c r="O531" s="1"/>
      <c r="P531" s="1"/>
      <c r="Q531" s="1"/>
      <c r="R531" s="1"/>
      <c r="S531" s="1"/>
      <c r="T531" s="1"/>
      <c r="U531" s="1"/>
      <c r="V531" s="1"/>
      <c r="W531" s="1"/>
      <c r="X531" s="1"/>
      <c r="Y531" s="1"/>
      <c r="Z531" s="1"/>
    </row>
    <row r="532" spans="1:26" ht="33.75" customHeight="1">
      <c r="A532" s="1">
        <v>1612</v>
      </c>
      <c r="B532" s="1" t="s">
        <v>1642</v>
      </c>
      <c r="C532" s="1" t="s">
        <v>846</v>
      </c>
      <c r="D532" s="4">
        <v>39856.543749999997</v>
      </c>
      <c r="E532" s="1" t="s">
        <v>381</v>
      </c>
      <c r="F532" s="1"/>
      <c r="G532" s="5" t="s">
        <v>15</v>
      </c>
      <c r="H532" s="5" t="s">
        <v>402</v>
      </c>
      <c r="I532" s="1" t="s">
        <v>576</v>
      </c>
      <c r="J532" s="1"/>
      <c r="K532" s="1"/>
      <c r="L532" s="2" t="s">
        <v>1643</v>
      </c>
      <c r="M532" s="1"/>
      <c r="N532" s="1"/>
      <c r="O532" s="1"/>
      <c r="P532" s="1"/>
      <c r="Q532" s="1"/>
      <c r="R532" s="1"/>
      <c r="S532" s="1"/>
      <c r="T532" s="1"/>
      <c r="U532" s="1"/>
      <c r="V532" s="1"/>
      <c r="W532" s="1"/>
      <c r="X532" s="1"/>
      <c r="Y532" s="1"/>
      <c r="Z532" s="1"/>
    </row>
    <row r="533" spans="1:26" ht="33.75" customHeight="1">
      <c r="A533" s="1">
        <v>1700</v>
      </c>
      <c r="B533" s="1" t="s">
        <v>1644</v>
      </c>
      <c r="C533" s="1" t="s">
        <v>1519</v>
      </c>
      <c r="D533" s="4">
        <v>39856.550694444442</v>
      </c>
      <c r="E533" s="1" t="s">
        <v>54</v>
      </c>
      <c r="F533" s="1"/>
      <c r="G533" s="5" t="s">
        <v>15</v>
      </c>
      <c r="H533" s="5" t="s">
        <v>402</v>
      </c>
      <c r="I533" s="1" t="s">
        <v>576</v>
      </c>
      <c r="J533" s="1"/>
      <c r="K533" s="1" t="s">
        <v>1645</v>
      </c>
      <c r="L533" s="2" t="s">
        <v>1646</v>
      </c>
      <c r="M533" s="1"/>
      <c r="N533" s="1"/>
      <c r="O533" s="1"/>
      <c r="P533" s="1"/>
      <c r="Q533" s="1"/>
      <c r="R533" s="1"/>
      <c r="S533" s="1"/>
      <c r="T533" s="1"/>
      <c r="U533" s="1"/>
      <c r="V533" s="1"/>
      <c r="W533" s="1"/>
      <c r="X533" s="1"/>
      <c r="Y533" s="1"/>
      <c r="Z533" s="1"/>
    </row>
    <row r="534" spans="1:26" ht="33.75" customHeight="1">
      <c r="A534" s="1">
        <v>717</v>
      </c>
      <c r="B534" s="1" t="s">
        <v>1647</v>
      </c>
      <c r="C534" s="1" t="s">
        <v>1196</v>
      </c>
      <c r="D534" s="4">
        <v>39856.557638888888</v>
      </c>
      <c r="E534" s="1" t="s">
        <v>14</v>
      </c>
      <c r="F534" s="1"/>
      <c r="G534" s="5" t="s">
        <v>64</v>
      </c>
      <c r="H534" s="1"/>
      <c r="I534" s="1" t="s">
        <v>64</v>
      </c>
      <c r="J534" s="1" t="s">
        <v>673</v>
      </c>
      <c r="K534" s="1" t="s">
        <v>1648</v>
      </c>
      <c r="L534" s="2" t="s">
        <v>1649</v>
      </c>
      <c r="M534" s="1"/>
      <c r="N534" s="1"/>
      <c r="O534" s="1"/>
      <c r="P534" s="1"/>
      <c r="Q534" s="1"/>
      <c r="R534" s="1"/>
      <c r="S534" s="1"/>
      <c r="T534" s="1"/>
      <c r="U534" s="1"/>
      <c r="V534" s="1"/>
      <c r="W534" s="1"/>
      <c r="X534" s="1"/>
      <c r="Y534" s="1"/>
      <c r="Z534" s="1"/>
    </row>
    <row r="535" spans="1:26" ht="33.75" customHeight="1">
      <c r="A535" s="1">
        <v>1613</v>
      </c>
      <c r="B535" s="1" t="s">
        <v>1650</v>
      </c>
      <c r="C535" s="1" t="s">
        <v>846</v>
      </c>
      <c r="D535" s="4">
        <v>39856.561805555553</v>
      </c>
      <c r="E535" s="1" t="s">
        <v>84</v>
      </c>
      <c r="F535" s="1" t="s">
        <v>1651</v>
      </c>
      <c r="G535" s="5" t="s">
        <v>26</v>
      </c>
      <c r="H535" s="5" t="s">
        <v>133</v>
      </c>
      <c r="I535" s="1" t="s">
        <v>28</v>
      </c>
      <c r="J535" s="1" t="s">
        <v>134</v>
      </c>
      <c r="K535" s="1"/>
      <c r="L535" s="2" t="s">
        <v>1652</v>
      </c>
      <c r="M535" s="1"/>
      <c r="N535" s="1"/>
      <c r="O535" s="1"/>
      <c r="P535" s="1"/>
      <c r="Q535" s="1"/>
      <c r="R535" s="1"/>
      <c r="S535" s="1"/>
      <c r="T535" s="1"/>
      <c r="U535" s="1"/>
      <c r="V535" s="1"/>
      <c r="W535" s="1"/>
      <c r="X535" s="1"/>
      <c r="Y535" s="1"/>
      <c r="Z535" s="1"/>
    </row>
    <row r="536" spans="1:26" ht="33.75" customHeight="1">
      <c r="A536" s="1">
        <v>1614</v>
      </c>
      <c r="B536" s="1" t="s">
        <v>1653</v>
      </c>
      <c r="C536" s="1" t="s">
        <v>846</v>
      </c>
      <c r="D536" s="4">
        <v>39856.5625</v>
      </c>
      <c r="E536" s="1" t="s">
        <v>54</v>
      </c>
      <c r="F536" s="1"/>
      <c r="G536" s="5" t="s">
        <v>64</v>
      </c>
      <c r="H536" s="5" t="s">
        <v>1053</v>
      </c>
      <c r="I536" s="1" t="s">
        <v>1423</v>
      </c>
      <c r="J536" s="1"/>
      <c r="K536" s="1"/>
      <c r="L536" s="2" t="s">
        <v>1654</v>
      </c>
      <c r="M536" s="1"/>
      <c r="N536" s="1"/>
      <c r="O536" s="1"/>
      <c r="P536" s="1"/>
      <c r="Q536" s="1"/>
      <c r="R536" s="1"/>
      <c r="S536" s="1"/>
      <c r="T536" s="1"/>
      <c r="U536" s="1"/>
      <c r="V536" s="1"/>
      <c r="W536" s="1"/>
      <c r="X536" s="1"/>
      <c r="Y536" s="1"/>
      <c r="Z536" s="1"/>
    </row>
    <row r="537" spans="1:26" ht="33.75" customHeight="1">
      <c r="A537" s="1">
        <v>1701</v>
      </c>
      <c r="B537" s="1" t="s">
        <v>1655</v>
      </c>
      <c r="C537" s="1" t="s">
        <v>1519</v>
      </c>
      <c r="D537" s="4">
        <v>39856.569444444445</v>
      </c>
      <c r="E537" s="1" t="s">
        <v>772</v>
      </c>
      <c r="F537" s="1"/>
      <c r="G537" s="5" t="s">
        <v>15</v>
      </c>
      <c r="H537" s="5" t="s">
        <v>402</v>
      </c>
      <c r="I537" s="1" t="s">
        <v>1656</v>
      </c>
      <c r="J537" s="1"/>
      <c r="K537" s="1" t="s">
        <v>1592</v>
      </c>
      <c r="L537" s="2" t="s">
        <v>1657</v>
      </c>
      <c r="M537" s="1"/>
      <c r="N537" s="1"/>
      <c r="O537" s="1"/>
      <c r="P537" s="1"/>
      <c r="Q537" s="1"/>
      <c r="R537" s="1"/>
      <c r="S537" s="1"/>
      <c r="T537" s="1"/>
      <c r="U537" s="1"/>
      <c r="V537" s="1"/>
      <c r="W537" s="1"/>
      <c r="X537" s="1"/>
      <c r="Y537" s="1"/>
      <c r="Z537" s="1"/>
    </row>
    <row r="538" spans="1:26" ht="33.75" customHeight="1">
      <c r="A538" s="1">
        <v>718</v>
      </c>
      <c r="B538" s="1" t="s">
        <v>1658</v>
      </c>
      <c r="C538" s="1" t="s">
        <v>1196</v>
      </c>
      <c r="D538" s="4">
        <v>39856.57708333333</v>
      </c>
      <c r="E538" s="1" t="s">
        <v>14</v>
      </c>
      <c r="F538" s="1" t="s">
        <v>1659</v>
      </c>
      <c r="G538" s="5" t="s">
        <v>15</v>
      </c>
      <c r="H538" s="5" t="s">
        <v>150</v>
      </c>
      <c r="I538" s="1" t="s">
        <v>1660</v>
      </c>
      <c r="J538" s="1"/>
      <c r="K538" s="1"/>
      <c r="L538" s="2" t="s">
        <v>1661</v>
      </c>
      <c r="M538" s="1"/>
      <c r="N538" s="1"/>
      <c r="O538" s="1"/>
      <c r="P538" s="1"/>
      <c r="Q538" s="1"/>
      <c r="R538" s="1"/>
      <c r="S538" s="1"/>
      <c r="T538" s="1"/>
      <c r="U538" s="1"/>
      <c r="V538" s="1"/>
      <c r="W538" s="1"/>
      <c r="X538" s="1"/>
      <c r="Y538" s="1"/>
      <c r="Z538" s="1"/>
    </row>
    <row r="539" spans="1:26" ht="33.75" customHeight="1">
      <c r="A539" s="1">
        <v>1702</v>
      </c>
      <c r="B539" s="1" t="s">
        <v>1662</v>
      </c>
      <c r="C539" s="1" t="s">
        <v>1519</v>
      </c>
      <c r="D539" s="4">
        <v>39856.580555555556</v>
      </c>
      <c r="E539" s="1" t="s">
        <v>54</v>
      </c>
      <c r="F539" s="1" t="s">
        <v>1663</v>
      </c>
      <c r="G539" s="5" t="s">
        <v>15</v>
      </c>
      <c r="H539" s="5" t="s">
        <v>402</v>
      </c>
      <c r="I539" s="1" t="s">
        <v>576</v>
      </c>
      <c r="J539" s="1"/>
      <c r="K539" s="1" t="s">
        <v>1664</v>
      </c>
      <c r="L539" s="2" t="s">
        <v>1665</v>
      </c>
      <c r="M539" s="1"/>
      <c r="N539" s="1"/>
      <c r="O539" s="1"/>
      <c r="P539" s="1"/>
      <c r="Q539" s="1"/>
      <c r="R539" s="1"/>
      <c r="S539" s="1"/>
      <c r="T539" s="1"/>
      <c r="U539" s="1"/>
      <c r="V539" s="1"/>
      <c r="W539" s="1"/>
      <c r="X539" s="1"/>
      <c r="Y539" s="1"/>
      <c r="Z539" s="1"/>
    </row>
    <row r="540" spans="1:26" ht="33.75" customHeight="1">
      <c r="A540" s="1">
        <v>1615</v>
      </c>
      <c r="B540" s="1" t="s">
        <v>1666</v>
      </c>
      <c r="C540" s="1" t="s">
        <v>846</v>
      </c>
      <c r="D540" s="4">
        <v>39856.580555555556</v>
      </c>
      <c r="E540" s="1" t="s">
        <v>84</v>
      </c>
      <c r="F540" s="1"/>
      <c r="G540" s="5" t="s">
        <v>64</v>
      </c>
      <c r="H540" s="1"/>
      <c r="I540" s="1" t="s">
        <v>64</v>
      </c>
      <c r="J540" s="1" t="s">
        <v>1667</v>
      </c>
      <c r="K540" s="1"/>
      <c r="L540" s="2" t="s">
        <v>1668</v>
      </c>
      <c r="M540" s="1"/>
      <c r="N540" s="1"/>
      <c r="O540" s="1"/>
      <c r="P540" s="1"/>
      <c r="Q540" s="1"/>
      <c r="R540" s="1"/>
      <c r="S540" s="1"/>
      <c r="T540" s="1"/>
      <c r="U540" s="1"/>
      <c r="V540" s="1"/>
      <c r="W540" s="1"/>
      <c r="X540" s="1"/>
      <c r="Y540" s="1"/>
      <c r="Z540" s="1"/>
    </row>
    <row r="541" spans="1:26" ht="33.75" customHeight="1">
      <c r="A541" s="1">
        <v>1703</v>
      </c>
      <c r="B541" s="1" t="s">
        <v>1669</v>
      </c>
      <c r="C541" s="1" t="s">
        <v>1519</v>
      </c>
      <c r="D541" s="4">
        <v>39856.587500000001</v>
      </c>
      <c r="E541" s="1" t="s">
        <v>54</v>
      </c>
      <c r="F541" s="1" t="s">
        <v>1670</v>
      </c>
      <c r="G541" s="6" t="s">
        <v>78</v>
      </c>
      <c r="H541" s="5" t="s">
        <v>870</v>
      </c>
      <c r="I541" s="1" t="s">
        <v>1671</v>
      </c>
      <c r="J541" s="1"/>
      <c r="K541" s="1" t="s">
        <v>1672</v>
      </c>
      <c r="L541" s="2" t="s">
        <v>1673</v>
      </c>
      <c r="M541" s="1"/>
      <c r="N541" s="1"/>
      <c r="O541" s="1"/>
      <c r="P541" s="1"/>
      <c r="Q541" s="1"/>
      <c r="R541" s="1"/>
      <c r="S541" s="1"/>
      <c r="T541" s="1"/>
      <c r="U541" s="1"/>
      <c r="V541" s="1"/>
      <c r="W541" s="1"/>
      <c r="X541" s="1"/>
      <c r="Y541" s="1"/>
      <c r="Z541" s="1"/>
    </row>
    <row r="542" spans="1:26" ht="33.75" customHeight="1">
      <c r="A542" s="1">
        <v>1616</v>
      </c>
      <c r="B542" s="1" t="s">
        <v>1674</v>
      </c>
      <c r="C542" s="1" t="s">
        <v>846</v>
      </c>
      <c r="D542" s="4">
        <v>39856.698611111111</v>
      </c>
      <c r="E542" s="1" t="s">
        <v>1089</v>
      </c>
      <c r="F542" s="1"/>
      <c r="G542" s="5" t="s">
        <v>64</v>
      </c>
      <c r="H542" s="1" t="s">
        <v>263</v>
      </c>
      <c r="I542" s="1" t="s">
        <v>64</v>
      </c>
      <c r="J542" s="1" t="s">
        <v>1675</v>
      </c>
      <c r="K542" s="1"/>
      <c r="L542" s="2" t="s">
        <v>1676</v>
      </c>
      <c r="M542" s="1"/>
      <c r="N542" s="1"/>
      <c r="O542" s="1"/>
      <c r="P542" s="1"/>
      <c r="Q542" s="1"/>
      <c r="R542" s="1"/>
      <c r="S542" s="1"/>
      <c r="T542" s="1"/>
      <c r="U542" s="1"/>
      <c r="V542" s="1"/>
      <c r="W542" s="1"/>
      <c r="X542" s="1"/>
      <c r="Y542" s="1"/>
      <c r="Z542" s="1"/>
    </row>
    <row r="543" spans="1:26" ht="33.75" customHeight="1">
      <c r="A543" s="1">
        <v>719</v>
      </c>
      <c r="B543" s="1" t="s">
        <v>1677</v>
      </c>
      <c r="C543" s="1" t="s">
        <v>1196</v>
      </c>
      <c r="D543" s="4">
        <v>39856.729861111111</v>
      </c>
      <c r="E543" s="1" t="s">
        <v>14</v>
      </c>
      <c r="F543" s="1"/>
      <c r="G543" s="5" t="s">
        <v>15</v>
      </c>
      <c r="H543" s="5" t="s">
        <v>150</v>
      </c>
      <c r="I543" s="1" t="s">
        <v>1660</v>
      </c>
      <c r="J543" s="1"/>
      <c r="K543" s="1" t="s">
        <v>1678</v>
      </c>
      <c r="L543" s="2" t="s">
        <v>1679</v>
      </c>
      <c r="M543" s="1"/>
      <c r="N543" s="1"/>
      <c r="O543" s="1"/>
      <c r="P543" s="1"/>
      <c r="Q543" s="1"/>
      <c r="R543" s="1"/>
      <c r="S543" s="1"/>
      <c r="T543" s="1"/>
      <c r="U543" s="1"/>
      <c r="V543" s="1"/>
      <c r="W543" s="1"/>
      <c r="X543" s="1"/>
      <c r="Y543" s="1"/>
      <c r="Z543" s="1"/>
    </row>
    <row r="544" spans="1:26" ht="33.75" customHeight="1">
      <c r="A544" s="1">
        <v>1617</v>
      </c>
      <c r="B544" s="1" t="s">
        <v>1680</v>
      </c>
      <c r="C544" s="1" t="s">
        <v>846</v>
      </c>
      <c r="D544" s="4">
        <v>39856.768750000003</v>
      </c>
      <c r="E544" s="1" t="s">
        <v>84</v>
      </c>
      <c r="F544" s="1" t="s">
        <v>1666</v>
      </c>
      <c r="G544" s="5" t="s">
        <v>64</v>
      </c>
      <c r="H544" s="5" t="s">
        <v>179</v>
      </c>
      <c r="I544" s="1" t="s">
        <v>1681</v>
      </c>
      <c r="J544" s="1"/>
      <c r="K544" s="1"/>
      <c r="L544" s="2" t="s">
        <v>1682</v>
      </c>
      <c r="M544" s="1"/>
      <c r="N544" s="1"/>
      <c r="O544" s="1"/>
      <c r="P544" s="1"/>
      <c r="Q544" s="1"/>
      <c r="R544" s="1"/>
      <c r="S544" s="1"/>
      <c r="T544" s="1"/>
      <c r="U544" s="1"/>
      <c r="V544" s="1"/>
      <c r="W544" s="1"/>
      <c r="X544" s="1"/>
      <c r="Y544" s="1"/>
      <c r="Z544" s="1"/>
    </row>
    <row r="545" spans="1:26" ht="33.75" customHeight="1">
      <c r="A545" s="1">
        <v>1704</v>
      </c>
      <c r="B545" s="1" t="s">
        <v>1683</v>
      </c>
      <c r="C545" s="1" t="s">
        <v>1519</v>
      </c>
      <c r="D545" s="4">
        <v>39856.779861111114</v>
      </c>
      <c r="E545" s="1" t="s">
        <v>1618</v>
      </c>
      <c r="F545" s="1"/>
      <c r="G545" s="5" t="s">
        <v>26</v>
      </c>
      <c r="H545" s="5" t="s">
        <v>133</v>
      </c>
      <c r="I545" s="1" t="s">
        <v>28</v>
      </c>
      <c r="J545" s="1" t="s">
        <v>134</v>
      </c>
      <c r="K545" s="1" t="s">
        <v>1684</v>
      </c>
      <c r="L545" s="2" t="s">
        <v>1685</v>
      </c>
      <c r="M545" s="1"/>
      <c r="N545" s="1"/>
      <c r="O545" s="1"/>
      <c r="P545" s="1"/>
      <c r="Q545" s="1"/>
      <c r="R545" s="1"/>
      <c r="S545" s="1"/>
      <c r="T545" s="1"/>
      <c r="U545" s="1"/>
      <c r="V545" s="1"/>
      <c r="W545" s="1"/>
      <c r="X545" s="1"/>
      <c r="Y545" s="1"/>
      <c r="Z545" s="1"/>
    </row>
    <row r="546" spans="1:26" ht="33.75" customHeight="1">
      <c r="A546" s="1">
        <v>1618</v>
      </c>
      <c r="B546" s="1" t="s">
        <v>1686</v>
      </c>
      <c r="C546" s="1" t="s">
        <v>846</v>
      </c>
      <c r="D546" s="4">
        <v>39856.836111111108</v>
      </c>
      <c r="E546" s="1" t="s">
        <v>1089</v>
      </c>
      <c r="F546" s="1"/>
      <c r="G546" s="5" t="s">
        <v>64</v>
      </c>
      <c r="H546" s="1" t="s">
        <v>218</v>
      </c>
      <c r="I546" s="1" t="s">
        <v>64</v>
      </c>
      <c r="J546" s="1" t="s">
        <v>1675</v>
      </c>
      <c r="K546" s="1"/>
      <c r="L546" s="2" t="s">
        <v>1687</v>
      </c>
      <c r="M546" s="1"/>
      <c r="N546" s="1"/>
      <c r="O546" s="1"/>
      <c r="P546" s="1"/>
      <c r="Q546" s="1"/>
      <c r="R546" s="1"/>
      <c r="S546" s="1"/>
      <c r="T546" s="1"/>
      <c r="U546" s="1"/>
      <c r="V546" s="1"/>
      <c r="W546" s="1"/>
      <c r="X546" s="1"/>
      <c r="Y546" s="1"/>
      <c r="Z546" s="1"/>
    </row>
    <row r="547" spans="1:26" ht="33.75" customHeight="1">
      <c r="A547" s="1">
        <v>1619</v>
      </c>
      <c r="B547" s="1" t="s">
        <v>1688</v>
      </c>
      <c r="C547" s="1" t="s">
        <v>846</v>
      </c>
      <c r="D547" s="4">
        <v>39856.849305555559</v>
      </c>
      <c r="E547" s="1" t="s">
        <v>84</v>
      </c>
      <c r="F547" s="1" t="s">
        <v>1686</v>
      </c>
      <c r="G547" s="6" t="s">
        <v>78</v>
      </c>
      <c r="H547" s="5" t="s">
        <v>479</v>
      </c>
      <c r="I547" s="1" t="s">
        <v>1689</v>
      </c>
      <c r="J547" s="1" t="s">
        <v>1690</v>
      </c>
      <c r="K547" s="1"/>
      <c r="L547" s="2" t="s">
        <v>1691</v>
      </c>
      <c r="M547" s="1"/>
      <c r="N547" s="1"/>
      <c r="O547" s="1"/>
      <c r="P547" s="1"/>
      <c r="Q547" s="1"/>
      <c r="R547" s="1"/>
      <c r="S547" s="1"/>
      <c r="T547" s="1"/>
      <c r="U547" s="1"/>
      <c r="V547" s="1"/>
      <c r="W547" s="1"/>
      <c r="X547" s="1"/>
      <c r="Y547" s="1"/>
      <c r="Z547" s="1"/>
    </row>
    <row r="548" spans="1:26" ht="33.75" customHeight="1">
      <c r="A548" s="1">
        <v>1620</v>
      </c>
      <c r="B548" s="1" t="s">
        <v>1692</v>
      </c>
      <c r="C548" s="1" t="s">
        <v>846</v>
      </c>
      <c r="D548" s="4">
        <v>39856.863888888889</v>
      </c>
      <c r="E548" s="1" t="s">
        <v>54</v>
      </c>
      <c r="F548" s="1"/>
      <c r="G548" s="5" t="s">
        <v>33</v>
      </c>
      <c r="H548" s="5" t="s">
        <v>34</v>
      </c>
      <c r="I548" s="1" t="s">
        <v>35</v>
      </c>
      <c r="J548" s="1"/>
      <c r="K548" s="1" t="s">
        <v>1693</v>
      </c>
      <c r="L548" s="2" t="s">
        <v>1694</v>
      </c>
      <c r="M548" s="1"/>
      <c r="N548" s="1"/>
      <c r="O548" s="1"/>
      <c r="P548" s="1"/>
      <c r="Q548" s="1"/>
      <c r="R548" s="1"/>
      <c r="S548" s="1"/>
      <c r="T548" s="1"/>
      <c r="U548" s="1"/>
      <c r="V548" s="1"/>
      <c r="W548" s="1"/>
      <c r="X548" s="1"/>
      <c r="Y548" s="1"/>
      <c r="Z548" s="1"/>
    </row>
    <row r="549" spans="1:26" ht="33.75" customHeight="1">
      <c r="A549" s="1">
        <v>744</v>
      </c>
      <c r="B549" s="1" t="s">
        <v>1695</v>
      </c>
      <c r="C549" s="1" t="s">
        <v>1696</v>
      </c>
      <c r="D549" s="4">
        <v>39857.879166666666</v>
      </c>
      <c r="E549" s="1" t="s">
        <v>1528</v>
      </c>
      <c r="F549" s="1"/>
      <c r="G549" s="6" t="s">
        <v>78</v>
      </c>
      <c r="H549" s="5" t="s">
        <v>223</v>
      </c>
      <c r="I549" s="1" t="s">
        <v>1697</v>
      </c>
      <c r="J549" s="1"/>
      <c r="K549" s="1" t="s">
        <v>1698</v>
      </c>
      <c r="L549" s="2" t="s">
        <v>1699</v>
      </c>
      <c r="M549" s="1"/>
      <c r="N549" s="1"/>
      <c r="O549" s="1"/>
      <c r="P549" s="1"/>
      <c r="Q549" s="1"/>
      <c r="R549" s="1"/>
      <c r="S549" s="1"/>
      <c r="T549" s="1"/>
      <c r="U549" s="1"/>
      <c r="V549" s="1"/>
      <c r="W549" s="1"/>
      <c r="X549" s="1"/>
      <c r="Y549" s="1"/>
      <c r="Z549" s="1"/>
    </row>
    <row r="550" spans="1:26" ht="33.75" customHeight="1">
      <c r="A550" s="1">
        <v>1706</v>
      </c>
      <c r="B550" s="1" t="s">
        <v>1700</v>
      </c>
      <c r="C550" s="1" t="s">
        <v>1519</v>
      </c>
      <c r="D550" s="4">
        <v>39856.868750000001</v>
      </c>
      <c r="E550" s="1" t="s">
        <v>54</v>
      </c>
      <c r="F550" s="1" t="s">
        <v>1683</v>
      </c>
      <c r="G550" s="5" t="s">
        <v>26</v>
      </c>
      <c r="H550" s="5" t="s">
        <v>27</v>
      </c>
      <c r="I550" s="1" t="s">
        <v>28</v>
      </c>
      <c r="J550" s="1" t="s">
        <v>259</v>
      </c>
      <c r="K550" s="1" t="s">
        <v>1701</v>
      </c>
      <c r="L550" s="2" t="s">
        <v>1702</v>
      </c>
      <c r="M550" s="1"/>
      <c r="N550" s="1"/>
      <c r="O550" s="1"/>
      <c r="P550" s="1"/>
      <c r="Q550" s="1"/>
      <c r="R550" s="1"/>
      <c r="S550" s="1"/>
      <c r="T550" s="1"/>
      <c r="U550" s="1"/>
      <c r="V550" s="1"/>
      <c r="W550" s="1"/>
      <c r="X550" s="1"/>
      <c r="Y550" s="1"/>
      <c r="Z550" s="1"/>
    </row>
    <row r="551" spans="1:26" ht="33.75" customHeight="1">
      <c r="A551" s="1">
        <v>1621</v>
      </c>
      <c r="B551" s="1" t="s">
        <v>1703</v>
      </c>
      <c r="C551" s="1" t="s">
        <v>846</v>
      </c>
      <c r="D551" s="4">
        <v>39856.869444444441</v>
      </c>
      <c r="E551" s="1" t="s">
        <v>1089</v>
      </c>
      <c r="F551" s="1"/>
      <c r="G551" s="5" t="s">
        <v>64</v>
      </c>
      <c r="H551" s="5" t="s">
        <v>218</v>
      </c>
      <c r="I551" s="1" t="s">
        <v>64</v>
      </c>
      <c r="J551" s="1"/>
      <c r="K551" s="1"/>
      <c r="L551" s="2" t="s">
        <v>1704</v>
      </c>
      <c r="M551" s="1"/>
      <c r="N551" s="1"/>
      <c r="O551" s="1"/>
      <c r="P551" s="1"/>
      <c r="Q551" s="1"/>
      <c r="R551" s="1"/>
      <c r="S551" s="1"/>
      <c r="T551" s="1"/>
      <c r="U551" s="1"/>
      <c r="V551" s="1"/>
      <c r="W551" s="1"/>
      <c r="X551" s="1"/>
      <c r="Y551" s="1"/>
      <c r="Z551" s="1"/>
    </row>
    <row r="552" spans="1:26" ht="33.75" customHeight="1">
      <c r="A552" s="1">
        <v>1622</v>
      </c>
      <c r="B552" s="1" t="s">
        <v>1705</v>
      </c>
      <c r="C552" s="1" t="s">
        <v>846</v>
      </c>
      <c r="D552" s="4">
        <v>39856.87777777778</v>
      </c>
      <c r="E552" s="1" t="s">
        <v>1089</v>
      </c>
      <c r="F552" s="1" t="s">
        <v>1706</v>
      </c>
      <c r="G552" s="5" t="s">
        <v>64</v>
      </c>
      <c r="H552" s="5" t="s">
        <v>218</v>
      </c>
      <c r="I552" s="1" t="s">
        <v>64</v>
      </c>
      <c r="J552" s="1"/>
      <c r="K552" s="1"/>
      <c r="L552" s="2" t="s">
        <v>1707</v>
      </c>
      <c r="M552" s="1"/>
      <c r="N552" s="1"/>
      <c r="O552" s="1"/>
      <c r="P552" s="1"/>
      <c r="Q552" s="1"/>
      <c r="R552" s="1"/>
      <c r="S552" s="1"/>
      <c r="T552" s="1"/>
      <c r="U552" s="1"/>
      <c r="V552" s="1"/>
      <c r="W552" s="1"/>
      <c r="X552" s="1"/>
      <c r="Y552" s="1"/>
      <c r="Z552" s="1"/>
    </row>
    <row r="553" spans="1:26" ht="33.75" customHeight="1">
      <c r="A553" s="1">
        <v>1623</v>
      </c>
      <c r="B553" s="1" t="s">
        <v>1708</v>
      </c>
      <c r="C553" s="1" t="s">
        <v>846</v>
      </c>
      <c r="D553" s="4">
        <v>39856.883333333331</v>
      </c>
      <c r="E553" s="1" t="s">
        <v>54</v>
      </c>
      <c r="F553" s="1"/>
      <c r="G553" s="5" t="s">
        <v>33</v>
      </c>
      <c r="H553" s="5" t="s">
        <v>34</v>
      </c>
      <c r="I553" s="1" t="s">
        <v>1605</v>
      </c>
      <c r="J553" s="1"/>
      <c r="K553" s="1" t="s">
        <v>1709</v>
      </c>
      <c r="L553" s="2" t="s">
        <v>1710</v>
      </c>
      <c r="M553" s="1"/>
      <c r="N553" s="1"/>
      <c r="O553" s="1"/>
      <c r="P553" s="1"/>
      <c r="Q553" s="1"/>
      <c r="R553" s="1"/>
      <c r="S553" s="1"/>
      <c r="T553" s="1"/>
      <c r="U553" s="1"/>
      <c r="V553" s="1"/>
      <c r="W553" s="1"/>
      <c r="X553" s="1"/>
      <c r="Y553" s="1"/>
      <c r="Z553" s="1"/>
    </row>
    <row r="554" spans="1:26" ht="33.75" customHeight="1">
      <c r="A554" s="1">
        <v>1624</v>
      </c>
      <c r="B554" s="1" t="s">
        <v>1711</v>
      </c>
      <c r="C554" s="1" t="s">
        <v>846</v>
      </c>
      <c r="D554" s="4">
        <v>39856.950694444444</v>
      </c>
      <c r="E554" s="1" t="s">
        <v>1089</v>
      </c>
      <c r="F554" s="1"/>
      <c r="G554" s="5" t="s">
        <v>64</v>
      </c>
      <c r="H554" s="1" t="s">
        <v>263</v>
      </c>
      <c r="I554" s="1" t="s">
        <v>64</v>
      </c>
      <c r="J554" s="1"/>
      <c r="K554" s="1"/>
      <c r="L554" s="2" t="s">
        <v>1712</v>
      </c>
      <c r="M554" s="1"/>
      <c r="N554" s="1"/>
      <c r="O554" s="1"/>
      <c r="P554" s="1"/>
      <c r="Q554" s="1"/>
      <c r="R554" s="1"/>
      <c r="S554" s="1"/>
      <c r="T554" s="1"/>
      <c r="U554" s="1"/>
      <c r="V554" s="1"/>
      <c r="W554" s="1"/>
      <c r="X554" s="1"/>
      <c r="Y554" s="1"/>
      <c r="Z554" s="1"/>
    </row>
    <row r="555" spans="1:26" ht="33.75" customHeight="1">
      <c r="A555" s="1">
        <v>1625</v>
      </c>
      <c r="B555" s="1" t="s">
        <v>1713</v>
      </c>
      <c r="C555" s="1" t="s">
        <v>846</v>
      </c>
      <c r="D555" s="4">
        <v>39856.978472222225</v>
      </c>
      <c r="E555" s="1" t="s">
        <v>1089</v>
      </c>
      <c r="F555" s="1" t="s">
        <v>1714</v>
      </c>
      <c r="G555" s="5" t="s">
        <v>26</v>
      </c>
      <c r="H555" s="5" t="s">
        <v>133</v>
      </c>
      <c r="I555" s="1" t="s">
        <v>1715</v>
      </c>
      <c r="J555" s="1"/>
      <c r="K555" s="1"/>
      <c r="L555" s="2" t="s">
        <v>1716</v>
      </c>
      <c r="M555" s="1"/>
      <c r="N555" s="1"/>
      <c r="O555" s="1"/>
      <c r="P555" s="1"/>
      <c r="Q555" s="1"/>
      <c r="R555" s="1"/>
      <c r="S555" s="1"/>
      <c r="T555" s="1"/>
      <c r="U555" s="1"/>
      <c r="V555" s="1"/>
      <c r="W555" s="1"/>
      <c r="X555" s="1"/>
      <c r="Y555" s="1"/>
      <c r="Z555" s="1"/>
    </row>
    <row r="556" spans="1:26" ht="33.75" customHeight="1">
      <c r="A556" s="1">
        <v>720</v>
      </c>
      <c r="B556" s="1" t="s">
        <v>1717</v>
      </c>
      <c r="C556" s="1" t="s">
        <v>1196</v>
      </c>
      <c r="D556" s="4">
        <v>39857.01666666667</v>
      </c>
      <c r="E556" s="1" t="s">
        <v>320</v>
      </c>
      <c r="F556" s="1" t="s">
        <v>1718</v>
      </c>
      <c r="G556" s="6" t="s">
        <v>78</v>
      </c>
      <c r="H556" s="1" t="s">
        <v>479</v>
      </c>
      <c r="I556" s="1" t="s">
        <v>480</v>
      </c>
      <c r="J556" s="1" t="s">
        <v>481</v>
      </c>
      <c r="K556" s="1"/>
      <c r="L556" s="2" t="s">
        <v>1719</v>
      </c>
      <c r="M556" s="1"/>
      <c r="N556" s="1"/>
      <c r="O556" s="1"/>
      <c r="P556" s="1"/>
      <c r="Q556" s="1"/>
      <c r="R556" s="1"/>
      <c r="S556" s="1"/>
      <c r="T556" s="1"/>
      <c r="U556" s="1"/>
      <c r="V556" s="1"/>
      <c r="W556" s="1"/>
      <c r="X556" s="1"/>
      <c r="Y556" s="1"/>
      <c r="Z556" s="1"/>
    </row>
    <row r="557" spans="1:26" ht="33.75" customHeight="1">
      <c r="A557" s="1">
        <v>721</v>
      </c>
      <c r="B557" s="1" t="s">
        <v>1720</v>
      </c>
      <c r="C557" s="1" t="s">
        <v>1196</v>
      </c>
      <c r="D557" s="4">
        <v>39857.038194444445</v>
      </c>
      <c r="E557" s="1" t="s">
        <v>14</v>
      </c>
      <c r="F557" s="1" t="s">
        <v>1721</v>
      </c>
      <c r="G557" s="6" t="s">
        <v>78</v>
      </c>
      <c r="H557" s="5" t="s">
        <v>197</v>
      </c>
      <c r="I557" s="1" t="s">
        <v>1722</v>
      </c>
      <c r="J557" s="1"/>
      <c r="K557" s="1"/>
      <c r="L557" s="2" t="s">
        <v>1723</v>
      </c>
      <c r="M557" s="1"/>
      <c r="N557" s="1"/>
      <c r="O557" s="1"/>
      <c r="P557" s="1"/>
      <c r="Q557" s="1"/>
      <c r="R557" s="1"/>
      <c r="S557" s="1"/>
      <c r="T557" s="1"/>
      <c r="U557" s="1"/>
      <c r="V557" s="1"/>
      <c r="W557" s="1"/>
      <c r="X557" s="1"/>
      <c r="Y557" s="1"/>
      <c r="Z557" s="1"/>
    </row>
    <row r="558" spans="1:26" ht="33.75" customHeight="1">
      <c r="A558" s="1">
        <v>722</v>
      </c>
      <c r="B558" s="1" t="s">
        <v>1724</v>
      </c>
      <c r="C558" s="1" t="s">
        <v>1196</v>
      </c>
      <c r="D558" s="4">
        <v>39857.043749999997</v>
      </c>
      <c r="E558" s="1" t="s">
        <v>14</v>
      </c>
      <c r="F558" s="1"/>
      <c r="G558" s="6" t="s">
        <v>78</v>
      </c>
      <c r="H558" s="5" t="s">
        <v>197</v>
      </c>
      <c r="I558" s="1" t="s">
        <v>1725</v>
      </c>
      <c r="J558" s="1"/>
      <c r="K558" s="1" t="s">
        <v>1726</v>
      </c>
      <c r="L558" s="2" t="s">
        <v>1727</v>
      </c>
      <c r="M558" s="1"/>
      <c r="N558" s="1"/>
      <c r="O558" s="1"/>
      <c r="P558" s="1"/>
      <c r="Q558" s="1"/>
      <c r="R558" s="1"/>
      <c r="S558" s="1"/>
      <c r="T558" s="1"/>
      <c r="U558" s="1"/>
      <c r="V558" s="1"/>
      <c r="W558" s="1"/>
      <c r="X558" s="1"/>
      <c r="Y558" s="1"/>
      <c r="Z558" s="1"/>
    </row>
    <row r="559" spans="1:26" ht="33.75" customHeight="1">
      <c r="A559" s="1">
        <v>723</v>
      </c>
      <c r="B559" s="1" t="s">
        <v>1728</v>
      </c>
      <c r="C559" s="1" t="s">
        <v>1196</v>
      </c>
      <c r="D559" s="4">
        <v>39857.065972222219</v>
      </c>
      <c r="E559" s="1" t="s">
        <v>14</v>
      </c>
      <c r="F559" s="1" t="s">
        <v>1724</v>
      </c>
      <c r="G559" s="5" t="s">
        <v>64</v>
      </c>
      <c r="H559" s="5" t="s">
        <v>179</v>
      </c>
      <c r="I559" s="1" t="s">
        <v>179</v>
      </c>
      <c r="J559" s="1"/>
      <c r="K559" s="1"/>
      <c r="L559" s="2" t="s">
        <v>1729</v>
      </c>
      <c r="M559" s="1"/>
      <c r="N559" s="1"/>
      <c r="O559" s="1"/>
      <c r="P559" s="1"/>
      <c r="Q559" s="1"/>
      <c r="R559" s="1"/>
      <c r="S559" s="1"/>
      <c r="T559" s="1"/>
      <c r="U559" s="1"/>
      <c r="V559" s="1"/>
      <c r="W559" s="1"/>
      <c r="X559" s="1"/>
      <c r="Y559" s="1"/>
      <c r="Z559" s="1"/>
    </row>
    <row r="560" spans="1:26" ht="33.75" customHeight="1">
      <c r="A560" s="1">
        <v>1626</v>
      </c>
      <c r="B560" s="1" t="s">
        <v>1730</v>
      </c>
      <c r="C560" s="1" t="s">
        <v>846</v>
      </c>
      <c r="D560" s="4">
        <v>39857.184027777781</v>
      </c>
      <c r="E560" s="1" t="s">
        <v>1089</v>
      </c>
      <c r="F560" s="1"/>
      <c r="G560" s="5" t="s">
        <v>64</v>
      </c>
      <c r="H560" s="1" t="s">
        <v>263</v>
      </c>
      <c r="I560" s="1" t="s">
        <v>64</v>
      </c>
      <c r="J560" s="1"/>
      <c r="K560" s="1" t="s">
        <v>1731</v>
      </c>
      <c r="L560" s="2" t="s">
        <v>1732</v>
      </c>
      <c r="M560" s="1"/>
      <c r="N560" s="1"/>
      <c r="O560" s="1"/>
      <c r="P560" s="1"/>
      <c r="Q560" s="1"/>
      <c r="R560" s="1"/>
      <c r="S560" s="1"/>
      <c r="T560" s="1"/>
      <c r="U560" s="1"/>
      <c r="V560" s="1"/>
      <c r="W560" s="1"/>
      <c r="X560" s="1"/>
      <c r="Y560" s="1"/>
      <c r="Z560" s="1"/>
    </row>
    <row r="561" spans="1:26" ht="33.75" customHeight="1">
      <c r="A561" s="1">
        <v>8</v>
      </c>
      <c r="B561" s="1" t="s">
        <v>12</v>
      </c>
      <c r="C561" s="1" t="s">
        <v>1696</v>
      </c>
      <c r="D561" s="4">
        <v>39857.310497685183</v>
      </c>
      <c r="E561" s="1" t="s">
        <v>14</v>
      </c>
      <c r="F561" s="1"/>
      <c r="G561" s="6" t="s">
        <v>78</v>
      </c>
      <c r="H561" s="5" t="s">
        <v>88</v>
      </c>
      <c r="I561" s="1" t="s">
        <v>493</v>
      </c>
      <c r="J561" s="1"/>
      <c r="K561" s="1" t="s">
        <v>1733</v>
      </c>
      <c r="L561" s="2" t="s">
        <v>1734</v>
      </c>
      <c r="M561" s="1"/>
      <c r="N561" s="1"/>
      <c r="O561" s="1"/>
      <c r="P561" s="1"/>
      <c r="Q561" s="1"/>
      <c r="R561" s="1"/>
      <c r="S561" s="1"/>
      <c r="T561" s="1"/>
      <c r="U561" s="1"/>
      <c r="V561" s="1"/>
      <c r="W561" s="1"/>
      <c r="X561" s="1"/>
      <c r="Y561" s="1"/>
      <c r="Z561" s="1"/>
    </row>
    <row r="562" spans="1:26" ht="33.75" customHeight="1">
      <c r="A562" s="1">
        <v>1627</v>
      </c>
      <c r="B562" s="1" t="s">
        <v>1735</v>
      </c>
      <c r="C562" s="1" t="s">
        <v>846</v>
      </c>
      <c r="D562" s="4">
        <v>39857.318749999999</v>
      </c>
      <c r="E562" s="1" t="s">
        <v>54</v>
      </c>
      <c r="F562" s="1" t="s">
        <v>1713</v>
      </c>
      <c r="G562" s="5" t="s">
        <v>15</v>
      </c>
      <c r="H562" s="5" t="s">
        <v>150</v>
      </c>
      <c r="I562" s="1" t="s">
        <v>1715</v>
      </c>
      <c r="J562" s="1"/>
      <c r="K562" s="1"/>
      <c r="L562" s="2" t="s">
        <v>1736</v>
      </c>
      <c r="M562" s="1"/>
      <c r="N562" s="1"/>
      <c r="O562" s="1"/>
      <c r="P562" s="1"/>
      <c r="Q562" s="1"/>
      <c r="R562" s="1"/>
      <c r="S562" s="1"/>
      <c r="T562" s="1"/>
      <c r="U562" s="1"/>
      <c r="V562" s="1"/>
      <c r="W562" s="1"/>
      <c r="X562" s="1"/>
      <c r="Y562" s="1"/>
      <c r="Z562" s="1"/>
    </row>
    <row r="563" spans="1:26" ht="33.75" customHeight="1">
      <c r="A563" s="1">
        <v>1628</v>
      </c>
      <c r="B563" s="1" t="s">
        <v>1737</v>
      </c>
      <c r="C563" s="1" t="s">
        <v>846</v>
      </c>
      <c r="D563" s="4">
        <v>39857.325694444444</v>
      </c>
      <c r="E563" s="1" t="s">
        <v>84</v>
      </c>
      <c r="F563" s="1" t="s">
        <v>1705</v>
      </c>
      <c r="G563" s="5" t="s">
        <v>64</v>
      </c>
      <c r="H563" s="1" t="s">
        <v>263</v>
      </c>
      <c r="I563" s="1" t="s">
        <v>64</v>
      </c>
      <c r="J563" s="1"/>
      <c r="K563" s="1" t="s">
        <v>1738</v>
      </c>
      <c r="L563" s="2" t="s">
        <v>1739</v>
      </c>
      <c r="M563" s="1"/>
      <c r="N563" s="1"/>
      <c r="O563" s="1"/>
      <c r="P563" s="1"/>
      <c r="Q563" s="1"/>
      <c r="R563" s="1"/>
      <c r="S563" s="1"/>
      <c r="T563" s="1"/>
      <c r="U563" s="1"/>
      <c r="V563" s="1"/>
      <c r="W563" s="1"/>
      <c r="X563" s="1"/>
      <c r="Y563" s="1"/>
      <c r="Z563" s="1"/>
    </row>
    <row r="564" spans="1:26" ht="33.75" customHeight="1">
      <c r="A564" s="1">
        <v>1629</v>
      </c>
      <c r="B564" s="1" t="s">
        <v>1740</v>
      </c>
      <c r="C564" s="1" t="s">
        <v>846</v>
      </c>
      <c r="D564" s="4">
        <v>39857.366666666669</v>
      </c>
      <c r="E564" s="1" t="s">
        <v>474</v>
      </c>
      <c r="F564" s="1" t="s">
        <v>1741</v>
      </c>
      <c r="G564" s="5" t="s">
        <v>26</v>
      </c>
      <c r="H564" s="5" t="s">
        <v>133</v>
      </c>
      <c r="I564" s="1" t="s">
        <v>28</v>
      </c>
      <c r="J564" s="1" t="s">
        <v>134</v>
      </c>
      <c r="K564" s="1"/>
      <c r="L564" s="2" t="s">
        <v>1742</v>
      </c>
      <c r="M564" s="1"/>
      <c r="N564" s="1"/>
      <c r="O564" s="1"/>
      <c r="P564" s="1"/>
      <c r="Q564" s="1"/>
      <c r="R564" s="1"/>
      <c r="S564" s="1"/>
      <c r="T564" s="1"/>
      <c r="U564" s="1"/>
      <c r="V564" s="1"/>
      <c r="W564" s="1"/>
      <c r="X564" s="1"/>
      <c r="Y564" s="1"/>
      <c r="Z564" s="1"/>
    </row>
    <row r="565" spans="1:26" ht="33.75" customHeight="1">
      <c r="A565" s="1">
        <v>1630</v>
      </c>
      <c r="B565" s="1" t="s">
        <v>1743</v>
      </c>
      <c r="C565" s="1" t="s">
        <v>846</v>
      </c>
      <c r="D565" s="4">
        <v>39857.367361111108</v>
      </c>
      <c r="E565" s="1" t="s">
        <v>474</v>
      </c>
      <c r="F565" s="1"/>
      <c r="G565" s="5" t="s">
        <v>26</v>
      </c>
      <c r="H565" s="5" t="s">
        <v>27</v>
      </c>
      <c r="I565" s="1" t="s">
        <v>28</v>
      </c>
      <c r="J565" s="1" t="s">
        <v>29</v>
      </c>
      <c r="K565" s="1" t="s">
        <v>1744</v>
      </c>
      <c r="L565" s="2" t="s">
        <v>1745</v>
      </c>
      <c r="M565" s="1"/>
      <c r="N565" s="1"/>
      <c r="O565" s="1"/>
      <c r="P565" s="1"/>
      <c r="Q565" s="1"/>
      <c r="R565" s="1"/>
      <c r="S565" s="1"/>
      <c r="T565" s="1"/>
      <c r="U565" s="1"/>
      <c r="V565" s="1"/>
      <c r="W565" s="1"/>
      <c r="X565" s="1"/>
      <c r="Y565" s="1"/>
      <c r="Z565" s="1"/>
    </row>
    <row r="566" spans="1:26" ht="33.75" customHeight="1">
      <c r="A566" s="1">
        <v>725</v>
      </c>
      <c r="B566" s="1" t="s">
        <v>1746</v>
      </c>
      <c r="C566" s="1" t="s">
        <v>1196</v>
      </c>
      <c r="D566" s="4">
        <v>39857.46875</v>
      </c>
      <c r="E566" s="1" t="s">
        <v>255</v>
      </c>
      <c r="F566" s="1"/>
      <c r="G566" s="5" t="s">
        <v>26</v>
      </c>
      <c r="H566" s="5" t="s">
        <v>133</v>
      </c>
      <c r="I566" s="1" t="s">
        <v>28</v>
      </c>
      <c r="J566" s="1" t="s">
        <v>134</v>
      </c>
      <c r="K566" s="1" t="s">
        <v>1747</v>
      </c>
      <c r="L566" s="2" t="s">
        <v>1748</v>
      </c>
      <c r="M566" s="1"/>
      <c r="N566" s="1"/>
      <c r="O566" s="1"/>
      <c r="P566" s="1"/>
      <c r="Q566" s="1"/>
      <c r="R566" s="1"/>
      <c r="S566" s="1"/>
      <c r="T566" s="1"/>
      <c r="U566" s="1"/>
      <c r="V566" s="1"/>
      <c r="W566" s="1"/>
      <c r="X566" s="1"/>
      <c r="Y566" s="1"/>
      <c r="Z566" s="1"/>
    </row>
    <row r="567" spans="1:26" ht="33.75" customHeight="1">
      <c r="A567" s="1">
        <v>739</v>
      </c>
      <c r="B567" s="1" t="s">
        <v>1749</v>
      </c>
      <c r="C567" s="1" t="s">
        <v>1696</v>
      </c>
      <c r="D567" s="4">
        <v>39857.479166666664</v>
      </c>
      <c r="E567" s="1" t="s">
        <v>14</v>
      </c>
      <c r="F567" s="1">
        <v>490</v>
      </c>
      <c r="G567" s="5" t="s">
        <v>64</v>
      </c>
      <c r="H567" s="5" t="s">
        <v>282</v>
      </c>
      <c r="I567" s="1" t="s">
        <v>64</v>
      </c>
      <c r="J567" s="1"/>
      <c r="K567" s="1" t="s">
        <v>1750</v>
      </c>
      <c r="L567" s="2" t="s">
        <v>1751</v>
      </c>
      <c r="M567" s="1"/>
      <c r="N567" s="1"/>
      <c r="O567" s="1"/>
      <c r="P567" s="1"/>
      <c r="Q567" s="1"/>
      <c r="R567" s="1"/>
      <c r="S567" s="1"/>
      <c r="T567" s="1"/>
      <c r="U567" s="1"/>
      <c r="V567" s="1"/>
      <c r="W567" s="1"/>
      <c r="X567" s="1"/>
      <c r="Y567" s="1"/>
      <c r="Z567" s="1"/>
    </row>
    <row r="568" spans="1:26" ht="33.75" customHeight="1">
      <c r="A568" s="1">
        <v>740</v>
      </c>
      <c r="B568" s="1" t="s">
        <v>1752</v>
      </c>
      <c r="C568" s="1" t="s">
        <v>1696</v>
      </c>
      <c r="D568" s="4">
        <v>39857.491666666669</v>
      </c>
      <c r="E568" s="1" t="s">
        <v>14</v>
      </c>
      <c r="F568" s="1"/>
      <c r="G568" s="5" t="s">
        <v>64</v>
      </c>
      <c r="H568" s="5" t="s">
        <v>282</v>
      </c>
      <c r="I568" s="1" t="s">
        <v>64</v>
      </c>
      <c r="J568" s="1"/>
      <c r="K568" s="1" t="s">
        <v>1753</v>
      </c>
      <c r="L568" s="2" t="s">
        <v>1754</v>
      </c>
      <c r="M568" s="1"/>
      <c r="N568" s="1"/>
      <c r="O568" s="1"/>
      <c r="P568" s="1"/>
      <c r="Q568" s="1"/>
      <c r="R568" s="1"/>
      <c r="S568" s="1"/>
      <c r="T568" s="1"/>
      <c r="U568" s="1"/>
      <c r="V568" s="1"/>
      <c r="W568" s="1"/>
      <c r="X568" s="1"/>
      <c r="Y568" s="1"/>
      <c r="Z568" s="1"/>
    </row>
    <row r="569" spans="1:26" ht="33.75" customHeight="1">
      <c r="A569" s="1">
        <v>1708</v>
      </c>
      <c r="B569" s="1" t="s">
        <v>1755</v>
      </c>
      <c r="C569" s="1" t="s">
        <v>1519</v>
      </c>
      <c r="D569" s="4">
        <v>39857.49722222222</v>
      </c>
      <c r="E569" s="1" t="s">
        <v>772</v>
      </c>
      <c r="F569" s="1"/>
      <c r="G569" s="5" t="s">
        <v>15</v>
      </c>
      <c r="H569" s="5" t="s">
        <v>402</v>
      </c>
      <c r="I569" s="1" t="s">
        <v>576</v>
      </c>
      <c r="J569" s="1"/>
      <c r="K569" s="1" t="s">
        <v>1756</v>
      </c>
      <c r="L569" s="2" t="s">
        <v>1757</v>
      </c>
      <c r="M569" s="1"/>
      <c r="N569" s="1"/>
      <c r="O569" s="1"/>
      <c r="P569" s="1"/>
      <c r="Q569" s="1"/>
      <c r="R569" s="1"/>
      <c r="S569" s="1"/>
      <c r="T569" s="1"/>
      <c r="U569" s="1"/>
      <c r="V569" s="1"/>
      <c r="W569" s="1"/>
      <c r="X569" s="1"/>
      <c r="Y569" s="1"/>
      <c r="Z569" s="1"/>
    </row>
    <row r="570" spans="1:26" ht="33.75" customHeight="1">
      <c r="A570" s="1">
        <v>1631</v>
      </c>
      <c r="B570" s="1" t="s">
        <v>1758</v>
      </c>
      <c r="C570" s="1" t="s">
        <v>846</v>
      </c>
      <c r="D570" s="4">
        <v>39857.50277777778</v>
      </c>
      <c r="E570" s="1" t="s">
        <v>772</v>
      </c>
      <c r="F570" s="1"/>
      <c r="G570" s="5" t="s">
        <v>26</v>
      </c>
      <c r="H570" s="5" t="s">
        <v>133</v>
      </c>
      <c r="I570" s="1" t="s">
        <v>28</v>
      </c>
      <c r="J570" s="1" t="s">
        <v>134</v>
      </c>
      <c r="K570" s="1"/>
      <c r="L570" s="2" t="s">
        <v>1759</v>
      </c>
      <c r="M570" s="1"/>
      <c r="N570" s="1"/>
      <c r="O570" s="1"/>
      <c r="P570" s="1"/>
      <c r="Q570" s="1"/>
      <c r="R570" s="1"/>
      <c r="S570" s="1"/>
      <c r="T570" s="1"/>
      <c r="U570" s="1"/>
      <c r="V570" s="1"/>
      <c r="W570" s="1"/>
      <c r="X570" s="1"/>
      <c r="Y570" s="1"/>
      <c r="Z570" s="1"/>
    </row>
    <row r="571" spans="1:26" ht="33.75" customHeight="1">
      <c r="A571" s="1">
        <v>741</v>
      </c>
      <c r="B571" s="1" t="s">
        <v>1760</v>
      </c>
      <c r="C571" s="1" t="s">
        <v>1696</v>
      </c>
      <c r="D571" s="4">
        <v>39857.525000000001</v>
      </c>
      <c r="E571" s="1" t="s">
        <v>14</v>
      </c>
      <c r="F571" s="1"/>
      <c r="G571" s="5" t="s">
        <v>26</v>
      </c>
      <c r="H571" s="5" t="s">
        <v>27</v>
      </c>
      <c r="I571" s="1" t="s">
        <v>28</v>
      </c>
      <c r="J571" s="1" t="s">
        <v>29</v>
      </c>
      <c r="K571" s="1"/>
      <c r="L571" s="2" t="s">
        <v>1761</v>
      </c>
      <c r="M571" s="1"/>
      <c r="N571" s="1"/>
      <c r="O571" s="1"/>
      <c r="P571" s="1"/>
      <c r="Q571" s="1"/>
      <c r="R571" s="1"/>
      <c r="S571" s="1"/>
      <c r="T571" s="1"/>
      <c r="U571" s="1"/>
      <c r="V571" s="1"/>
      <c r="W571" s="1"/>
      <c r="X571" s="1"/>
      <c r="Y571" s="1"/>
      <c r="Z571" s="1"/>
    </row>
    <row r="572" spans="1:26" ht="33.75" customHeight="1">
      <c r="A572" s="1">
        <v>726</v>
      </c>
      <c r="B572" s="1" t="s">
        <v>1762</v>
      </c>
      <c r="C572" s="1" t="s">
        <v>1196</v>
      </c>
      <c r="D572" s="4">
        <v>39857.594444444447</v>
      </c>
      <c r="E572" s="1" t="s">
        <v>14</v>
      </c>
      <c r="F572" s="1" t="s">
        <v>1746</v>
      </c>
      <c r="G572" s="5" t="s">
        <v>26</v>
      </c>
      <c r="H572" s="5" t="s">
        <v>27</v>
      </c>
      <c r="I572" s="1" t="s">
        <v>28</v>
      </c>
      <c r="J572" s="1" t="s">
        <v>259</v>
      </c>
      <c r="K572" s="1"/>
      <c r="L572" s="2" t="s">
        <v>1763</v>
      </c>
      <c r="M572" s="1"/>
      <c r="N572" s="1"/>
      <c r="O572" s="1"/>
      <c r="P572" s="1"/>
      <c r="Q572" s="1"/>
      <c r="R572" s="1"/>
      <c r="S572" s="1"/>
      <c r="T572" s="1"/>
      <c r="U572" s="1"/>
      <c r="V572" s="1"/>
      <c r="W572" s="1"/>
      <c r="X572" s="1"/>
      <c r="Y572" s="1"/>
      <c r="Z572" s="1"/>
    </row>
    <row r="573" spans="1:26" ht="33.75" customHeight="1">
      <c r="A573" s="1">
        <v>727</v>
      </c>
      <c r="B573" s="1" t="s">
        <v>1764</v>
      </c>
      <c r="C573" s="1" t="s">
        <v>1196</v>
      </c>
      <c r="D573" s="4">
        <v>39857.644444444442</v>
      </c>
      <c r="E573" s="1" t="s">
        <v>14</v>
      </c>
      <c r="F573" s="1"/>
      <c r="G573" s="5" t="s">
        <v>15</v>
      </c>
      <c r="H573" s="5" t="s">
        <v>150</v>
      </c>
      <c r="I573" s="1" t="s">
        <v>1765</v>
      </c>
      <c r="J573" s="1"/>
      <c r="K573" s="1"/>
      <c r="L573" s="2" t="s">
        <v>1766</v>
      </c>
      <c r="M573" s="1"/>
      <c r="N573" s="1"/>
      <c r="O573" s="1"/>
      <c r="P573" s="1"/>
      <c r="Q573" s="1"/>
      <c r="R573" s="1"/>
      <c r="S573" s="1"/>
      <c r="T573" s="1"/>
      <c r="U573" s="1"/>
      <c r="V573" s="1"/>
      <c r="W573" s="1"/>
      <c r="X573" s="1"/>
      <c r="Y573" s="1"/>
      <c r="Z573" s="1"/>
    </row>
    <row r="574" spans="1:26" ht="33.75" customHeight="1">
      <c r="A574" s="1">
        <v>1632</v>
      </c>
      <c r="B574" s="1" t="s">
        <v>1767</v>
      </c>
      <c r="C574" s="1" t="s">
        <v>846</v>
      </c>
      <c r="D574" s="4">
        <v>39857.676388888889</v>
      </c>
      <c r="E574" s="1" t="s">
        <v>1768</v>
      </c>
      <c r="F574" s="1"/>
      <c r="G574" s="5" t="s">
        <v>64</v>
      </c>
      <c r="H574" s="5" t="s">
        <v>263</v>
      </c>
      <c r="I574" s="1" t="s">
        <v>1017</v>
      </c>
      <c r="J574" s="1"/>
      <c r="K574" s="1"/>
      <c r="L574" s="2" t="s">
        <v>1769</v>
      </c>
      <c r="M574" s="1"/>
      <c r="N574" s="1"/>
      <c r="O574" s="1"/>
      <c r="P574" s="1"/>
      <c r="Q574" s="1"/>
      <c r="R574" s="1"/>
      <c r="S574" s="1"/>
      <c r="T574" s="1"/>
      <c r="U574" s="1"/>
      <c r="V574" s="1"/>
      <c r="W574" s="1"/>
      <c r="X574" s="1"/>
      <c r="Y574" s="1"/>
      <c r="Z574" s="1"/>
    </row>
    <row r="575" spans="1:26" ht="33.75" customHeight="1">
      <c r="A575" s="1">
        <v>1633</v>
      </c>
      <c r="B575" s="1" t="s">
        <v>1770</v>
      </c>
      <c r="C575" s="1" t="s">
        <v>846</v>
      </c>
      <c r="D575" s="4">
        <v>39857.713194444441</v>
      </c>
      <c r="E575" s="1" t="s">
        <v>54</v>
      </c>
      <c r="F575" s="1" t="s">
        <v>1767</v>
      </c>
      <c r="G575" s="5" t="s">
        <v>64</v>
      </c>
      <c r="H575" s="5" t="s">
        <v>263</v>
      </c>
      <c r="I575" s="1" t="s">
        <v>1771</v>
      </c>
      <c r="J575" s="1"/>
      <c r="K575" s="1"/>
      <c r="L575" s="2" t="s">
        <v>1772</v>
      </c>
      <c r="M575" s="1"/>
      <c r="N575" s="1"/>
      <c r="O575" s="1"/>
      <c r="P575" s="1"/>
      <c r="Q575" s="1"/>
      <c r="R575" s="1"/>
      <c r="S575" s="1"/>
      <c r="T575" s="1"/>
      <c r="U575" s="1"/>
      <c r="V575" s="1"/>
      <c r="W575" s="1"/>
      <c r="X575" s="1"/>
      <c r="Y575" s="1"/>
      <c r="Z575" s="1"/>
    </row>
    <row r="576" spans="1:26" ht="33.75" customHeight="1">
      <c r="A576" s="1">
        <v>742</v>
      </c>
      <c r="B576" s="1" t="s">
        <v>1773</v>
      </c>
      <c r="C576" s="1" t="s">
        <v>1696</v>
      </c>
      <c r="D576" s="4">
        <v>39857.724305555559</v>
      </c>
      <c r="E576" s="1" t="s">
        <v>14</v>
      </c>
      <c r="F576" s="1"/>
      <c r="G576" s="5" t="s">
        <v>64</v>
      </c>
      <c r="H576" s="5" t="s">
        <v>282</v>
      </c>
      <c r="I576" s="1" t="s">
        <v>64</v>
      </c>
      <c r="J576" s="1"/>
      <c r="K576" s="1" t="s">
        <v>1774</v>
      </c>
      <c r="L576" s="2" t="s">
        <v>1775</v>
      </c>
      <c r="M576" s="1"/>
      <c r="N576" s="1"/>
      <c r="O576" s="1"/>
      <c r="P576" s="1"/>
      <c r="Q576" s="1"/>
      <c r="R576" s="1"/>
      <c r="S576" s="1"/>
      <c r="T576" s="1"/>
      <c r="U576" s="1"/>
      <c r="V576" s="1"/>
      <c r="W576" s="1"/>
      <c r="X576" s="1"/>
      <c r="Y576" s="1"/>
      <c r="Z576" s="1"/>
    </row>
    <row r="577" spans="1:26" ht="33.75" customHeight="1">
      <c r="A577" s="1">
        <v>743</v>
      </c>
      <c r="B577" s="1" t="s">
        <v>1776</v>
      </c>
      <c r="C577" s="1" t="s">
        <v>1696</v>
      </c>
      <c r="D577" s="4">
        <v>39857.800694444442</v>
      </c>
      <c r="E577" s="1" t="s">
        <v>196</v>
      </c>
      <c r="F577" s="1"/>
      <c r="G577" s="5" t="s">
        <v>26</v>
      </c>
      <c r="H577" s="5" t="s">
        <v>133</v>
      </c>
      <c r="I577" s="1" t="s">
        <v>28</v>
      </c>
      <c r="J577" s="1" t="s">
        <v>134</v>
      </c>
      <c r="K577" s="1" t="s">
        <v>1777</v>
      </c>
      <c r="L577" s="2" t="s">
        <v>1778</v>
      </c>
      <c r="M577" s="1"/>
      <c r="N577" s="1"/>
      <c r="O577" s="1"/>
      <c r="P577" s="1"/>
      <c r="Q577" s="1"/>
      <c r="R577" s="1"/>
      <c r="S577" s="1"/>
      <c r="T577" s="1"/>
      <c r="U577" s="1"/>
      <c r="V577" s="1"/>
      <c r="W577" s="1"/>
      <c r="X577" s="1"/>
      <c r="Y577" s="1"/>
      <c r="Z577" s="1"/>
    </row>
    <row r="578" spans="1:26" ht="33.75" customHeight="1">
      <c r="A578" s="1">
        <v>1635</v>
      </c>
      <c r="B578" s="1" t="s">
        <v>1779</v>
      </c>
      <c r="C578" s="1" t="s">
        <v>846</v>
      </c>
      <c r="D578" s="4">
        <v>39857.843055555553</v>
      </c>
      <c r="E578" s="1" t="s">
        <v>54</v>
      </c>
      <c r="F578" s="1"/>
      <c r="G578" s="5" t="s">
        <v>64</v>
      </c>
      <c r="H578" s="5" t="s">
        <v>65</v>
      </c>
      <c r="I578" s="1" t="s">
        <v>886</v>
      </c>
      <c r="J578" s="1"/>
      <c r="K578" s="1" t="s">
        <v>1780</v>
      </c>
      <c r="L578" s="2" t="s">
        <v>1781</v>
      </c>
      <c r="M578" s="1"/>
      <c r="N578" s="1"/>
      <c r="O578" s="1"/>
      <c r="P578" s="1"/>
      <c r="Q578" s="1"/>
      <c r="R578" s="1"/>
      <c r="S578" s="1"/>
      <c r="T578" s="1"/>
      <c r="U578" s="1"/>
      <c r="V578" s="1"/>
      <c r="W578" s="1"/>
      <c r="X578" s="1"/>
      <c r="Y578" s="1"/>
      <c r="Z578" s="1"/>
    </row>
    <row r="579" spans="1:26" ht="33.75" customHeight="1">
      <c r="A579" s="1">
        <v>1709</v>
      </c>
      <c r="B579" s="1" t="s">
        <v>1782</v>
      </c>
      <c r="C579" s="1" t="s">
        <v>1519</v>
      </c>
      <c r="D579" s="4">
        <v>39857.87222222222</v>
      </c>
      <c r="E579" s="1" t="s">
        <v>54</v>
      </c>
      <c r="F579" s="1"/>
      <c r="G579" s="5" t="s">
        <v>64</v>
      </c>
      <c r="H579" s="1" t="s">
        <v>218</v>
      </c>
      <c r="I579" s="1" t="s">
        <v>64</v>
      </c>
      <c r="J579" s="1"/>
      <c r="K579" s="1"/>
      <c r="L579" s="2" t="s">
        <v>1783</v>
      </c>
      <c r="M579" s="1"/>
      <c r="N579" s="1"/>
      <c r="O579" s="1"/>
      <c r="P579" s="1"/>
      <c r="Q579" s="1"/>
      <c r="R579" s="1"/>
      <c r="S579" s="1"/>
      <c r="T579" s="1"/>
      <c r="U579" s="1"/>
      <c r="V579" s="1"/>
      <c r="W579" s="1"/>
      <c r="X579" s="1"/>
      <c r="Y579" s="1"/>
      <c r="Z579" s="1"/>
    </row>
    <row r="580" spans="1:26" ht="33.75" customHeight="1">
      <c r="A580" s="1">
        <v>748</v>
      </c>
      <c r="B580" s="1" t="s">
        <v>1784</v>
      </c>
      <c r="C580" s="1" t="s">
        <v>1696</v>
      </c>
      <c r="D580" s="4">
        <v>39858.050694444442</v>
      </c>
      <c r="E580" s="1" t="s">
        <v>1528</v>
      </c>
      <c r="F580" s="1"/>
      <c r="G580" s="1" t="s">
        <v>64</v>
      </c>
      <c r="H580" s="1" t="s">
        <v>263</v>
      </c>
      <c r="I580" s="1" t="s">
        <v>238</v>
      </c>
      <c r="J580" s="1" t="s">
        <v>1443</v>
      </c>
      <c r="K580" s="1" t="s">
        <v>1785</v>
      </c>
      <c r="L580" s="2" t="s">
        <v>1786</v>
      </c>
      <c r="M580" s="1"/>
      <c r="N580" s="1"/>
      <c r="O580" s="1"/>
      <c r="P580" s="1"/>
      <c r="Q580" s="1"/>
      <c r="R580" s="1"/>
      <c r="S580" s="1"/>
      <c r="T580" s="1"/>
      <c r="U580" s="1"/>
      <c r="V580" s="1"/>
      <c r="W580" s="1"/>
      <c r="X580" s="1"/>
      <c r="Y580" s="1"/>
      <c r="Z580" s="1"/>
    </row>
    <row r="581" spans="1:26" ht="33.75" customHeight="1">
      <c r="A581" s="1">
        <v>745</v>
      </c>
      <c r="B581" s="1" t="s">
        <v>1787</v>
      </c>
      <c r="C581" s="1" t="s">
        <v>1696</v>
      </c>
      <c r="D581" s="4">
        <v>39857.880555555559</v>
      </c>
      <c r="E581" s="1" t="s">
        <v>196</v>
      </c>
      <c r="F581" s="1" t="s">
        <v>1776</v>
      </c>
      <c r="G581" s="5" t="s">
        <v>26</v>
      </c>
      <c r="H581" s="5" t="s">
        <v>133</v>
      </c>
      <c r="I581" s="1" t="s">
        <v>64</v>
      </c>
      <c r="J581" s="1"/>
      <c r="K581" s="1" t="s">
        <v>1788</v>
      </c>
      <c r="L581" s="2" t="s">
        <v>1789</v>
      </c>
      <c r="M581" s="1"/>
      <c r="N581" s="1"/>
      <c r="O581" s="1"/>
      <c r="P581" s="1"/>
      <c r="Q581" s="1"/>
      <c r="R581" s="1"/>
      <c r="S581" s="1"/>
      <c r="T581" s="1"/>
      <c r="U581" s="1"/>
      <c r="V581" s="1"/>
      <c r="W581" s="1"/>
      <c r="X581" s="1"/>
      <c r="Y581" s="1"/>
      <c r="Z581" s="1"/>
    </row>
    <row r="582" spans="1:26" ht="33.75" customHeight="1">
      <c r="A582" s="1">
        <v>746</v>
      </c>
      <c r="B582" s="1" t="s">
        <v>1790</v>
      </c>
      <c r="C582" s="1" t="s">
        <v>1696</v>
      </c>
      <c r="D582" s="4">
        <v>39857.887499999997</v>
      </c>
      <c r="E582" s="1" t="s">
        <v>196</v>
      </c>
      <c r="F582" s="1" t="s">
        <v>1787</v>
      </c>
      <c r="G582" s="5" t="s">
        <v>64</v>
      </c>
      <c r="H582" s="5" t="s">
        <v>431</v>
      </c>
      <c r="I582" s="1" t="s">
        <v>1791</v>
      </c>
      <c r="J582" s="1"/>
      <c r="K582" s="1"/>
      <c r="L582" s="2" t="s">
        <v>1792</v>
      </c>
      <c r="M582" s="1"/>
      <c r="N582" s="1"/>
      <c r="O582" s="1"/>
      <c r="P582" s="1"/>
      <c r="Q582" s="1"/>
      <c r="R582" s="1"/>
      <c r="S582" s="1"/>
      <c r="T582" s="1"/>
      <c r="U582" s="1"/>
      <c r="V582" s="1"/>
      <c r="W582" s="1"/>
      <c r="X582" s="1"/>
      <c r="Y582" s="1"/>
      <c r="Z582" s="1"/>
    </row>
    <row r="583" spans="1:26" ht="33.75" customHeight="1">
      <c r="A583" s="1">
        <v>1710</v>
      </c>
      <c r="B583" s="1" t="s">
        <v>1793</v>
      </c>
      <c r="C583" s="1" t="s">
        <v>1519</v>
      </c>
      <c r="D583" s="4">
        <v>39857.9375</v>
      </c>
      <c r="E583" s="1" t="s">
        <v>54</v>
      </c>
      <c r="F583" s="1"/>
      <c r="G583" s="6" t="s">
        <v>78</v>
      </c>
      <c r="H583" s="5" t="s">
        <v>197</v>
      </c>
      <c r="I583" s="1" t="s">
        <v>56</v>
      </c>
      <c r="J583" s="1"/>
      <c r="K583" s="1" t="s">
        <v>1794</v>
      </c>
      <c r="L583" s="2" t="s">
        <v>1795</v>
      </c>
      <c r="M583" s="1"/>
      <c r="N583" s="1"/>
      <c r="O583" s="1"/>
      <c r="P583" s="1"/>
      <c r="Q583" s="1"/>
      <c r="R583" s="1"/>
      <c r="S583" s="1"/>
      <c r="T583" s="1"/>
      <c r="U583" s="1"/>
      <c r="V583" s="1"/>
      <c r="W583" s="1"/>
      <c r="X583" s="1"/>
      <c r="Y583" s="1"/>
      <c r="Z583" s="1"/>
    </row>
    <row r="584" spans="1:26" ht="33.75" customHeight="1">
      <c r="A584" s="1">
        <v>728</v>
      </c>
      <c r="B584" s="1" t="s">
        <v>1796</v>
      </c>
      <c r="C584" s="1" t="s">
        <v>1196</v>
      </c>
      <c r="D584" s="4">
        <v>39857.955555555556</v>
      </c>
      <c r="E584" s="1" t="s">
        <v>314</v>
      </c>
      <c r="F584" s="1" t="s">
        <v>1764</v>
      </c>
      <c r="G584" s="5" t="s">
        <v>26</v>
      </c>
      <c r="H584" s="5" t="s">
        <v>133</v>
      </c>
      <c r="I584" s="1" t="s">
        <v>1797</v>
      </c>
      <c r="J584" s="1"/>
      <c r="K584" s="1"/>
      <c r="L584" s="2" t="s">
        <v>1798</v>
      </c>
      <c r="M584" s="1"/>
      <c r="N584" s="1"/>
      <c r="O584" s="1"/>
      <c r="P584" s="1"/>
      <c r="Q584" s="1"/>
      <c r="R584" s="1"/>
      <c r="S584" s="1"/>
      <c r="T584" s="1"/>
      <c r="U584" s="1"/>
      <c r="V584" s="1"/>
      <c r="W584" s="1"/>
      <c r="X584" s="1"/>
      <c r="Y584" s="1"/>
      <c r="Z584" s="1"/>
    </row>
    <row r="585" spans="1:26" ht="33.75" customHeight="1">
      <c r="A585" s="1">
        <v>1636</v>
      </c>
      <c r="B585" s="1" t="s">
        <v>1799</v>
      </c>
      <c r="C585" s="1" t="s">
        <v>846</v>
      </c>
      <c r="D585" s="4">
        <v>39858.01666666667</v>
      </c>
      <c r="E585" s="1" t="s">
        <v>1089</v>
      </c>
      <c r="F585" s="1" t="s">
        <v>1800</v>
      </c>
      <c r="G585" s="5" t="s">
        <v>64</v>
      </c>
      <c r="H585" s="1" t="s">
        <v>263</v>
      </c>
      <c r="I585" s="1" t="s">
        <v>64</v>
      </c>
      <c r="J585" s="1"/>
      <c r="K585" s="1"/>
      <c r="L585" s="2" t="s">
        <v>1801</v>
      </c>
      <c r="M585" s="1"/>
      <c r="N585" s="1"/>
      <c r="O585" s="1"/>
      <c r="P585" s="1"/>
      <c r="Q585" s="1"/>
      <c r="R585" s="1"/>
      <c r="S585" s="1"/>
      <c r="T585" s="1"/>
      <c r="U585" s="1"/>
      <c r="V585" s="1"/>
      <c r="W585" s="1"/>
      <c r="X585" s="1"/>
      <c r="Y585" s="1"/>
      <c r="Z585" s="1"/>
    </row>
    <row r="586" spans="1:26" ht="33.75" customHeight="1">
      <c r="A586" s="1">
        <v>729</v>
      </c>
      <c r="B586" s="1" t="s">
        <v>1802</v>
      </c>
      <c r="C586" s="1" t="s">
        <v>1196</v>
      </c>
      <c r="D586" s="4">
        <v>39858.040277777778</v>
      </c>
      <c r="E586" s="1" t="s">
        <v>14</v>
      </c>
      <c r="F586" s="1"/>
      <c r="G586" s="5" t="s">
        <v>15</v>
      </c>
      <c r="H586" s="5" t="s">
        <v>150</v>
      </c>
      <c r="I586" s="1" t="s">
        <v>1803</v>
      </c>
      <c r="J586" s="1"/>
      <c r="K586" s="1" t="s">
        <v>1804</v>
      </c>
      <c r="L586" s="2" t="s">
        <v>1805</v>
      </c>
      <c r="M586" s="1"/>
      <c r="N586" s="1"/>
      <c r="O586" s="1"/>
      <c r="P586" s="1"/>
      <c r="Q586" s="1"/>
      <c r="R586" s="1"/>
      <c r="S586" s="1"/>
      <c r="T586" s="1"/>
      <c r="U586" s="1"/>
      <c r="V586" s="1"/>
      <c r="W586" s="1"/>
      <c r="X586" s="1"/>
      <c r="Y586" s="1"/>
      <c r="Z586" s="1"/>
    </row>
    <row r="587" spans="1:26" ht="33.75" customHeight="1">
      <c r="A587" s="1">
        <v>747</v>
      </c>
      <c r="B587" s="1" t="s">
        <v>1806</v>
      </c>
      <c r="C587" s="1" t="s">
        <v>1696</v>
      </c>
      <c r="D587" s="4">
        <v>39858.046527777777</v>
      </c>
      <c r="E587" s="1" t="s">
        <v>1807</v>
      </c>
      <c r="F587" s="1"/>
      <c r="G587" s="1" t="s">
        <v>64</v>
      </c>
      <c r="H587" s="1" t="s">
        <v>263</v>
      </c>
      <c r="I587" s="1" t="s">
        <v>238</v>
      </c>
      <c r="J587" s="1" t="s">
        <v>1443</v>
      </c>
      <c r="K587" s="1"/>
      <c r="L587" s="2" t="s">
        <v>1808</v>
      </c>
      <c r="M587" s="1"/>
      <c r="N587" s="1"/>
      <c r="O587" s="1"/>
      <c r="P587" s="1"/>
      <c r="Q587" s="1"/>
      <c r="R587" s="1"/>
      <c r="S587" s="1"/>
      <c r="T587" s="1"/>
      <c r="U587" s="1"/>
      <c r="V587" s="1"/>
      <c r="W587" s="1"/>
      <c r="X587" s="1"/>
      <c r="Y587" s="1"/>
      <c r="Z587" s="1"/>
    </row>
    <row r="588" spans="1:26" ht="33.75" customHeight="1">
      <c r="A588" s="1">
        <v>758</v>
      </c>
      <c r="B588" s="1" t="s">
        <v>1809</v>
      </c>
      <c r="C588" s="1" t="s">
        <v>1696</v>
      </c>
      <c r="D588" s="4">
        <v>39859.904861111114</v>
      </c>
      <c r="E588" s="1" t="s">
        <v>1528</v>
      </c>
      <c r="F588" s="1"/>
      <c r="G588" s="5" t="s">
        <v>64</v>
      </c>
      <c r="H588" s="1" t="s">
        <v>218</v>
      </c>
      <c r="I588" s="1" t="s">
        <v>64</v>
      </c>
      <c r="J588" s="1"/>
      <c r="K588" s="1"/>
      <c r="L588" s="2" t="s">
        <v>1810</v>
      </c>
      <c r="M588" s="1"/>
      <c r="N588" s="1"/>
      <c r="O588" s="1"/>
      <c r="P588" s="1"/>
      <c r="Q588" s="1"/>
      <c r="R588" s="1"/>
      <c r="S588" s="1"/>
      <c r="T588" s="1"/>
      <c r="U588" s="1"/>
      <c r="V588" s="1"/>
      <c r="W588" s="1"/>
      <c r="X588" s="1"/>
      <c r="Y588" s="1"/>
      <c r="Z588" s="1"/>
    </row>
    <row r="589" spans="1:26" ht="33.75" customHeight="1">
      <c r="A589" s="1">
        <v>749</v>
      </c>
      <c r="B589" s="1" t="s">
        <v>1811</v>
      </c>
      <c r="C589" s="1" t="s">
        <v>1696</v>
      </c>
      <c r="D589" s="4">
        <v>39858.054861111108</v>
      </c>
      <c r="E589" s="1" t="s">
        <v>14</v>
      </c>
      <c r="F589" s="1" t="s">
        <v>1812</v>
      </c>
      <c r="G589" s="5" t="s">
        <v>26</v>
      </c>
      <c r="H589" s="5" t="s">
        <v>27</v>
      </c>
      <c r="I589" s="1" t="s">
        <v>28</v>
      </c>
      <c r="J589" s="1" t="s">
        <v>259</v>
      </c>
      <c r="K589" s="1"/>
      <c r="L589" s="2" t="s">
        <v>1813</v>
      </c>
      <c r="M589" s="1"/>
      <c r="N589" s="1"/>
      <c r="O589" s="1"/>
      <c r="P589" s="1"/>
      <c r="Q589" s="1"/>
      <c r="R589" s="1"/>
      <c r="S589" s="1"/>
      <c r="T589" s="1"/>
      <c r="U589" s="1"/>
      <c r="V589" s="1"/>
      <c r="W589" s="1"/>
      <c r="X589" s="1"/>
      <c r="Y589" s="1"/>
      <c r="Z589" s="1"/>
    </row>
    <row r="590" spans="1:26" ht="33.75" customHeight="1">
      <c r="A590" s="1">
        <v>1567</v>
      </c>
      <c r="B590" s="1" t="s">
        <v>12</v>
      </c>
      <c r="C590" s="1" t="s">
        <v>1814</v>
      </c>
      <c r="D590" s="4">
        <v>39858.175752314812</v>
      </c>
      <c r="E590" s="1" t="s">
        <v>175</v>
      </c>
      <c r="F590" s="1"/>
      <c r="G590" s="5" t="s">
        <v>64</v>
      </c>
      <c r="H590" s="5" t="s">
        <v>65</v>
      </c>
      <c r="I590" s="1" t="s">
        <v>886</v>
      </c>
      <c r="J590" s="1"/>
      <c r="K590" s="1" t="s">
        <v>1815</v>
      </c>
      <c r="L590" s="2" t="s">
        <v>1816</v>
      </c>
      <c r="M590" s="1"/>
      <c r="N590" s="1"/>
      <c r="O590" s="1"/>
      <c r="P590" s="1"/>
      <c r="Q590" s="1"/>
      <c r="R590" s="1"/>
      <c r="S590" s="1"/>
      <c r="T590" s="1"/>
      <c r="U590" s="1"/>
      <c r="V590" s="1"/>
      <c r="W590" s="1"/>
      <c r="X590" s="1"/>
      <c r="Y590" s="1"/>
      <c r="Z590" s="1"/>
    </row>
    <row r="591" spans="1:26" ht="33.75" customHeight="1">
      <c r="A591" s="1">
        <v>1784</v>
      </c>
      <c r="B591" s="1" t="s">
        <v>1817</v>
      </c>
      <c r="C591" s="1" t="s">
        <v>1814</v>
      </c>
      <c r="D591" s="4">
        <v>39858.293055555558</v>
      </c>
      <c r="E591" s="1" t="s">
        <v>1768</v>
      </c>
      <c r="F591" s="1">
        <v>275</v>
      </c>
      <c r="G591" s="5" t="s">
        <v>64</v>
      </c>
      <c r="H591" s="5" t="s">
        <v>65</v>
      </c>
      <c r="I591" s="1" t="s">
        <v>886</v>
      </c>
      <c r="J591" s="1"/>
      <c r="K591" s="1" t="s">
        <v>1780</v>
      </c>
      <c r="L591" s="2" t="s">
        <v>1818</v>
      </c>
      <c r="M591" s="1"/>
      <c r="N591" s="1"/>
      <c r="O591" s="1"/>
      <c r="P591" s="1"/>
      <c r="Q591" s="1"/>
      <c r="R591" s="1"/>
      <c r="S591" s="1"/>
      <c r="T591" s="1"/>
      <c r="U591" s="1"/>
      <c r="V591" s="1"/>
      <c r="W591" s="1"/>
      <c r="X591" s="1"/>
      <c r="Y591" s="1"/>
      <c r="Z591" s="1"/>
    </row>
    <row r="592" spans="1:26" ht="33.75" customHeight="1">
      <c r="A592" s="1">
        <v>1785</v>
      </c>
      <c r="B592" s="1" t="s">
        <v>1819</v>
      </c>
      <c r="C592" s="1" t="s">
        <v>1814</v>
      </c>
      <c r="D592" s="4">
        <v>39858.335416666669</v>
      </c>
      <c r="E592" s="1" t="s">
        <v>54</v>
      </c>
      <c r="F592" s="1"/>
      <c r="G592" s="5" t="s">
        <v>64</v>
      </c>
      <c r="H592" s="5" t="s">
        <v>263</v>
      </c>
      <c r="I592" s="1" t="s">
        <v>1820</v>
      </c>
      <c r="J592" s="1"/>
      <c r="K592" s="1"/>
      <c r="L592" s="2" t="s">
        <v>1821</v>
      </c>
      <c r="M592" s="1"/>
      <c r="N592" s="1"/>
      <c r="O592" s="1"/>
      <c r="P592" s="1"/>
      <c r="Q592" s="1"/>
      <c r="R592" s="1"/>
      <c r="S592" s="1"/>
      <c r="T592" s="1"/>
      <c r="U592" s="1"/>
      <c r="V592" s="1"/>
      <c r="W592" s="1"/>
      <c r="X592" s="1"/>
      <c r="Y592" s="1"/>
      <c r="Z592" s="1"/>
    </row>
    <row r="593" spans="1:26" ht="33.75" customHeight="1">
      <c r="A593" s="1">
        <v>730</v>
      </c>
      <c r="B593" s="1" t="s">
        <v>1822</v>
      </c>
      <c r="C593" s="1" t="s">
        <v>1196</v>
      </c>
      <c r="D593" s="4">
        <v>39858.347916666666</v>
      </c>
      <c r="E593" s="1" t="s">
        <v>255</v>
      </c>
      <c r="F593" s="1"/>
      <c r="G593" s="5" t="s">
        <v>26</v>
      </c>
      <c r="H593" s="5" t="s">
        <v>133</v>
      </c>
      <c r="I593" s="1" t="s">
        <v>28</v>
      </c>
      <c r="J593" s="1" t="s">
        <v>134</v>
      </c>
      <c r="K593" s="1"/>
      <c r="L593" s="2" t="s">
        <v>1823</v>
      </c>
      <c r="M593" s="1"/>
      <c r="N593" s="1"/>
      <c r="O593" s="1"/>
      <c r="P593" s="1"/>
      <c r="Q593" s="1"/>
      <c r="R593" s="1"/>
      <c r="S593" s="1"/>
      <c r="T593" s="1"/>
      <c r="U593" s="1"/>
      <c r="V593" s="1"/>
      <c r="W593" s="1"/>
      <c r="X593" s="1"/>
      <c r="Y593" s="1"/>
      <c r="Z593" s="1"/>
    </row>
    <row r="594" spans="1:26" ht="33.75" customHeight="1">
      <c r="A594" s="1">
        <v>750</v>
      </c>
      <c r="B594" s="1" t="s">
        <v>1824</v>
      </c>
      <c r="C594" s="1" t="s">
        <v>1696</v>
      </c>
      <c r="D594" s="4">
        <v>39858.359027777777</v>
      </c>
      <c r="E594" s="1" t="s">
        <v>54</v>
      </c>
      <c r="F594" s="1"/>
      <c r="G594" s="5" t="s">
        <v>64</v>
      </c>
      <c r="H594" s="1" t="s">
        <v>218</v>
      </c>
      <c r="I594" s="1" t="s">
        <v>64</v>
      </c>
      <c r="J594" s="1"/>
      <c r="K594" s="1" t="s">
        <v>1825</v>
      </c>
      <c r="L594" s="2" t="s">
        <v>1826</v>
      </c>
      <c r="M594" s="1"/>
      <c r="N594" s="1"/>
      <c r="O594" s="1"/>
      <c r="P594" s="1"/>
      <c r="Q594" s="1"/>
      <c r="R594" s="1"/>
      <c r="S594" s="1"/>
      <c r="T594" s="1"/>
      <c r="U594" s="1"/>
      <c r="V594" s="1"/>
      <c r="W594" s="1"/>
      <c r="X594" s="1"/>
      <c r="Y594" s="1"/>
      <c r="Z594" s="1"/>
    </row>
    <row r="595" spans="1:26" ht="33.75" customHeight="1">
      <c r="A595" s="1">
        <v>731</v>
      </c>
      <c r="B595" s="1" t="s">
        <v>1827</v>
      </c>
      <c r="C595" s="1" t="s">
        <v>1196</v>
      </c>
      <c r="D595" s="4">
        <v>39858.361805555556</v>
      </c>
      <c r="E595" s="1" t="s">
        <v>54</v>
      </c>
      <c r="F595" s="1" t="s">
        <v>1822</v>
      </c>
      <c r="G595" s="5" t="s">
        <v>26</v>
      </c>
      <c r="H595" s="5" t="s">
        <v>27</v>
      </c>
      <c r="I595" s="1" t="s">
        <v>28</v>
      </c>
      <c r="J595" s="1" t="s">
        <v>259</v>
      </c>
      <c r="K595" s="1"/>
      <c r="L595" s="2" t="s">
        <v>1828</v>
      </c>
      <c r="M595" s="1"/>
      <c r="N595" s="1"/>
      <c r="O595" s="1"/>
      <c r="P595" s="1"/>
      <c r="Q595" s="1"/>
      <c r="R595" s="1"/>
      <c r="S595" s="1"/>
      <c r="T595" s="1"/>
      <c r="U595" s="1"/>
      <c r="V595" s="1"/>
      <c r="W595" s="1"/>
      <c r="X595" s="1"/>
      <c r="Y595" s="1"/>
      <c r="Z595" s="1"/>
    </row>
    <row r="596" spans="1:26" ht="33.75" customHeight="1">
      <c r="A596" s="1">
        <v>1711</v>
      </c>
      <c r="B596" s="1" t="s">
        <v>1829</v>
      </c>
      <c r="C596" s="1" t="s">
        <v>1519</v>
      </c>
      <c r="D596" s="4">
        <v>39858.383333333331</v>
      </c>
      <c r="E596" s="1" t="s">
        <v>320</v>
      </c>
      <c r="F596" s="1"/>
      <c r="G596" s="5" t="s">
        <v>26</v>
      </c>
      <c r="H596" s="5" t="s">
        <v>133</v>
      </c>
      <c r="I596" s="1" t="s">
        <v>28</v>
      </c>
      <c r="J596" s="1" t="s">
        <v>134</v>
      </c>
      <c r="K596" s="1" t="s">
        <v>1830</v>
      </c>
      <c r="L596" s="2" t="s">
        <v>1831</v>
      </c>
      <c r="M596" s="1"/>
      <c r="N596" s="1"/>
      <c r="O596" s="1"/>
      <c r="P596" s="1"/>
      <c r="Q596" s="1"/>
      <c r="R596" s="1"/>
      <c r="S596" s="1"/>
      <c r="T596" s="1"/>
      <c r="U596" s="1"/>
      <c r="V596" s="1"/>
      <c r="W596" s="1"/>
      <c r="X596" s="1"/>
      <c r="Y596" s="1"/>
      <c r="Z596" s="1"/>
    </row>
    <row r="597" spans="1:26" ht="33.75" customHeight="1">
      <c r="A597" s="1">
        <v>732</v>
      </c>
      <c r="B597" s="1" t="s">
        <v>1832</v>
      </c>
      <c r="C597" s="1" t="s">
        <v>1196</v>
      </c>
      <c r="D597" s="4">
        <v>39858.385416666664</v>
      </c>
      <c r="E597" s="1" t="s">
        <v>14</v>
      </c>
      <c r="F597" s="1" t="s">
        <v>1822</v>
      </c>
      <c r="G597" s="5" t="s">
        <v>26</v>
      </c>
      <c r="H597" s="5" t="s">
        <v>27</v>
      </c>
      <c r="I597" s="1" t="s">
        <v>28</v>
      </c>
      <c r="J597" s="1" t="s">
        <v>259</v>
      </c>
      <c r="K597" s="1"/>
      <c r="L597" s="2" t="s">
        <v>1833</v>
      </c>
      <c r="M597" s="1"/>
      <c r="N597" s="1"/>
      <c r="O597" s="1"/>
      <c r="P597" s="1"/>
      <c r="Q597" s="1"/>
      <c r="R597" s="1"/>
      <c r="S597" s="1"/>
      <c r="T597" s="1"/>
      <c r="U597" s="1"/>
      <c r="V597" s="1"/>
      <c r="W597" s="1"/>
      <c r="X597" s="1"/>
      <c r="Y597" s="1"/>
      <c r="Z597" s="1"/>
    </row>
    <row r="598" spans="1:26" ht="33.75" customHeight="1">
      <c r="A598" s="1">
        <v>751</v>
      </c>
      <c r="B598" s="1" t="s">
        <v>1834</v>
      </c>
      <c r="C598" s="1" t="s">
        <v>1696</v>
      </c>
      <c r="D598" s="4">
        <v>39858.404166666667</v>
      </c>
      <c r="E598" s="1" t="s">
        <v>14</v>
      </c>
      <c r="F598" s="1" t="s">
        <v>1835</v>
      </c>
      <c r="G598" s="5" t="s">
        <v>64</v>
      </c>
      <c r="H598" s="5" t="s">
        <v>263</v>
      </c>
      <c r="I598" s="1" t="s">
        <v>1836</v>
      </c>
      <c r="J598" s="1"/>
      <c r="K598" s="1"/>
      <c r="L598" s="2" t="s">
        <v>1837</v>
      </c>
      <c r="M598" s="1"/>
      <c r="N598" s="1"/>
      <c r="O598" s="1"/>
      <c r="P598" s="1"/>
      <c r="Q598" s="1"/>
      <c r="R598" s="1"/>
      <c r="S598" s="1"/>
      <c r="T598" s="1"/>
      <c r="U598" s="1"/>
      <c r="V598" s="1"/>
      <c r="W598" s="1"/>
      <c r="X598" s="1"/>
      <c r="Y598" s="1"/>
      <c r="Z598" s="1"/>
    </row>
    <row r="599" spans="1:26" ht="33.75" customHeight="1">
      <c r="A599" s="1">
        <v>1712</v>
      </c>
      <c r="B599" s="1" t="s">
        <v>1838</v>
      </c>
      <c r="C599" s="1" t="s">
        <v>1519</v>
      </c>
      <c r="D599" s="4">
        <v>39858.423611111109</v>
      </c>
      <c r="E599" s="1" t="s">
        <v>54</v>
      </c>
      <c r="F599" s="1" t="s">
        <v>1829</v>
      </c>
      <c r="G599" s="5" t="s">
        <v>15</v>
      </c>
      <c r="H599" s="5" t="s">
        <v>402</v>
      </c>
      <c r="I599" s="1" t="s">
        <v>576</v>
      </c>
      <c r="J599" s="1"/>
      <c r="K599" s="1" t="s">
        <v>1839</v>
      </c>
      <c r="L599" s="2" t="s">
        <v>1840</v>
      </c>
      <c r="M599" s="1"/>
      <c r="N599" s="1"/>
      <c r="O599" s="1"/>
      <c r="P599" s="1"/>
      <c r="Q599" s="1"/>
      <c r="R599" s="1"/>
      <c r="S599" s="1"/>
      <c r="T599" s="1"/>
      <c r="U599" s="1"/>
      <c r="V599" s="1"/>
      <c r="W599" s="1"/>
      <c r="X599" s="1"/>
      <c r="Y599" s="1"/>
      <c r="Z599" s="1"/>
    </row>
    <row r="600" spans="1:26" ht="33.75" customHeight="1">
      <c r="A600" s="1">
        <v>1713</v>
      </c>
      <c r="B600" s="1" t="s">
        <v>1841</v>
      </c>
      <c r="C600" s="1" t="s">
        <v>1519</v>
      </c>
      <c r="D600" s="4">
        <v>39858.440972222219</v>
      </c>
      <c r="E600" s="1" t="s">
        <v>54</v>
      </c>
      <c r="F600" s="1"/>
      <c r="G600" s="5" t="s">
        <v>15</v>
      </c>
      <c r="H600" s="5" t="s">
        <v>402</v>
      </c>
      <c r="I600" s="1" t="s">
        <v>576</v>
      </c>
      <c r="J600" s="1"/>
      <c r="K600" s="1" t="s">
        <v>1842</v>
      </c>
      <c r="L600" s="2" t="s">
        <v>1843</v>
      </c>
      <c r="M600" s="1"/>
      <c r="N600" s="1"/>
      <c r="O600" s="1"/>
      <c r="P600" s="1"/>
      <c r="Q600" s="1"/>
      <c r="R600" s="1"/>
      <c r="S600" s="1"/>
      <c r="T600" s="1"/>
      <c r="U600" s="1"/>
      <c r="V600" s="1"/>
      <c r="W600" s="1"/>
      <c r="X600" s="1"/>
      <c r="Y600" s="1"/>
      <c r="Z600" s="1"/>
    </row>
    <row r="601" spans="1:26" ht="33.75" customHeight="1">
      <c r="A601" s="1">
        <v>1714</v>
      </c>
      <c r="B601" s="1" t="s">
        <v>1844</v>
      </c>
      <c r="C601" s="1" t="s">
        <v>1519</v>
      </c>
      <c r="D601" s="4">
        <v>39858.49722222222</v>
      </c>
      <c r="E601" s="1" t="s">
        <v>54</v>
      </c>
      <c r="F601" s="1"/>
      <c r="G601" s="5" t="s">
        <v>15</v>
      </c>
      <c r="H601" s="5" t="s">
        <v>402</v>
      </c>
      <c r="I601" s="1" t="s">
        <v>576</v>
      </c>
      <c r="J601" s="1"/>
      <c r="K601" s="1" t="s">
        <v>1845</v>
      </c>
      <c r="L601" s="2" t="s">
        <v>1846</v>
      </c>
      <c r="M601" s="1"/>
      <c r="N601" s="1"/>
      <c r="O601" s="1"/>
      <c r="P601" s="1"/>
      <c r="Q601" s="1"/>
      <c r="R601" s="1"/>
      <c r="S601" s="1"/>
      <c r="T601" s="1"/>
      <c r="U601" s="1"/>
      <c r="V601" s="1"/>
      <c r="W601" s="1"/>
      <c r="X601" s="1"/>
      <c r="Y601" s="1"/>
      <c r="Z601" s="1"/>
    </row>
    <row r="602" spans="1:26" ht="33.75" customHeight="1">
      <c r="A602" s="1">
        <v>1715</v>
      </c>
      <c r="B602" s="1" t="s">
        <v>1847</v>
      </c>
      <c r="C602" s="1" t="s">
        <v>1519</v>
      </c>
      <c r="D602" s="4">
        <v>39858.536805555559</v>
      </c>
      <c r="E602" s="1" t="s">
        <v>54</v>
      </c>
      <c r="F602" s="1" t="s">
        <v>1844</v>
      </c>
      <c r="G602" s="6" t="s">
        <v>78</v>
      </c>
      <c r="H602" s="5" t="s">
        <v>79</v>
      </c>
      <c r="I602" s="1" t="s">
        <v>1848</v>
      </c>
      <c r="J602" s="1"/>
      <c r="K602" s="1"/>
      <c r="L602" s="2" t="s">
        <v>1849</v>
      </c>
      <c r="M602" s="1"/>
      <c r="N602" s="1"/>
      <c r="O602" s="1"/>
      <c r="P602" s="1"/>
      <c r="Q602" s="1"/>
      <c r="R602" s="1"/>
      <c r="S602" s="1"/>
      <c r="T602" s="1"/>
      <c r="U602" s="1"/>
      <c r="V602" s="1"/>
      <c r="W602" s="1"/>
      <c r="X602" s="1"/>
      <c r="Y602" s="1"/>
      <c r="Z602" s="1"/>
    </row>
    <row r="603" spans="1:26" ht="33.75" customHeight="1">
      <c r="A603" s="1">
        <v>1716</v>
      </c>
      <c r="B603" s="1" t="s">
        <v>1850</v>
      </c>
      <c r="C603" s="1" t="s">
        <v>1519</v>
      </c>
      <c r="D603" s="4">
        <v>39858.584027777775</v>
      </c>
      <c r="E603" s="1" t="s">
        <v>320</v>
      </c>
      <c r="F603" s="1" t="s">
        <v>1844</v>
      </c>
      <c r="G603" s="5" t="s">
        <v>26</v>
      </c>
      <c r="H603" s="5" t="s">
        <v>133</v>
      </c>
      <c r="I603" s="1" t="s">
        <v>1851</v>
      </c>
      <c r="J603" s="1"/>
      <c r="K603" s="1" t="s">
        <v>1852</v>
      </c>
      <c r="L603" s="2" t="s">
        <v>1853</v>
      </c>
      <c r="M603" s="1"/>
      <c r="N603" s="1"/>
      <c r="O603" s="1"/>
      <c r="P603" s="1"/>
      <c r="Q603" s="1"/>
      <c r="R603" s="1"/>
      <c r="S603" s="1"/>
      <c r="T603" s="1"/>
      <c r="U603" s="1"/>
      <c r="V603" s="1"/>
      <c r="W603" s="1"/>
      <c r="X603" s="1"/>
      <c r="Y603" s="1"/>
      <c r="Z603" s="1"/>
    </row>
    <row r="604" spans="1:26" ht="33.75" customHeight="1">
      <c r="A604" s="1">
        <v>1717</v>
      </c>
      <c r="B604" s="1" t="s">
        <v>1854</v>
      </c>
      <c r="C604" s="1" t="s">
        <v>1519</v>
      </c>
      <c r="D604" s="4">
        <v>39858.61041666667</v>
      </c>
      <c r="E604" s="1" t="s">
        <v>54</v>
      </c>
      <c r="F604" s="1" t="s">
        <v>1850</v>
      </c>
      <c r="G604" s="5" t="s">
        <v>64</v>
      </c>
      <c r="H604" s="5" t="s">
        <v>263</v>
      </c>
      <c r="I604" s="1" t="s">
        <v>28</v>
      </c>
      <c r="J604" s="1" t="s">
        <v>29</v>
      </c>
      <c r="K604" s="1" t="s">
        <v>1855</v>
      </c>
      <c r="L604" s="2" t="s">
        <v>1856</v>
      </c>
      <c r="M604" s="1"/>
      <c r="N604" s="1"/>
      <c r="O604" s="1"/>
      <c r="P604" s="1"/>
      <c r="Q604" s="1"/>
      <c r="R604" s="1"/>
      <c r="S604" s="1"/>
      <c r="T604" s="1"/>
      <c r="U604" s="1"/>
      <c r="V604" s="1"/>
      <c r="W604" s="1"/>
      <c r="X604" s="1"/>
      <c r="Y604" s="1"/>
      <c r="Z604" s="1"/>
    </row>
    <row r="605" spans="1:26" ht="33.75" customHeight="1">
      <c r="A605" s="1">
        <v>752</v>
      </c>
      <c r="B605" s="1" t="s">
        <v>1857</v>
      </c>
      <c r="C605" s="1" t="s">
        <v>1696</v>
      </c>
      <c r="D605" s="4">
        <v>39858.71875</v>
      </c>
      <c r="E605" s="1" t="s">
        <v>320</v>
      </c>
      <c r="F605" s="1" t="s">
        <v>1824</v>
      </c>
      <c r="G605" s="5" t="s">
        <v>26</v>
      </c>
      <c r="H605" s="5" t="s">
        <v>133</v>
      </c>
      <c r="I605" s="1" t="s">
        <v>28</v>
      </c>
      <c r="J605" s="1" t="s">
        <v>134</v>
      </c>
      <c r="K605" s="1"/>
      <c r="L605" s="2" t="s">
        <v>1858</v>
      </c>
      <c r="M605" s="1"/>
      <c r="N605" s="1"/>
      <c r="O605" s="1"/>
      <c r="P605" s="1"/>
      <c r="Q605" s="1"/>
      <c r="R605" s="1"/>
      <c r="S605" s="1"/>
      <c r="T605" s="1"/>
      <c r="U605" s="1"/>
      <c r="V605" s="1"/>
      <c r="W605" s="1"/>
      <c r="X605" s="1"/>
      <c r="Y605" s="1"/>
      <c r="Z605" s="1"/>
    </row>
    <row r="606" spans="1:26" ht="33.75" customHeight="1">
      <c r="A606" s="1">
        <v>1718</v>
      </c>
      <c r="B606" s="1" t="s">
        <v>1859</v>
      </c>
      <c r="C606" s="1" t="s">
        <v>1519</v>
      </c>
      <c r="D606" s="4">
        <v>39858.836805555555</v>
      </c>
      <c r="E606" s="1" t="s">
        <v>320</v>
      </c>
      <c r="F606" s="1" t="s">
        <v>1854</v>
      </c>
      <c r="G606" s="5" t="s">
        <v>15</v>
      </c>
      <c r="H606" s="5" t="s">
        <v>150</v>
      </c>
      <c r="I606" s="1" t="s">
        <v>1860</v>
      </c>
      <c r="J606" s="1"/>
      <c r="K606" s="1" t="s">
        <v>1861</v>
      </c>
      <c r="L606" s="2" t="s">
        <v>1862</v>
      </c>
      <c r="M606" s="1"/>
      <c r="N606" s="1"/>
      <c r="O606" s="1"/>
      <c r="P606" s="1"/>
      <c r="Q606" s="1"/>
      <c r="R606" s="1"/>
      <c r="S606" s="1"/>
      <c r="T606" s="1"/>
      <c r="U606" s="1"/>
      <c r="V606" s="1"/>
      <c r="W606" s="1"/>
      <c r="X606" s="1"/>
      <c r="Y606" s="1"/>
      <c r="Z606" s="1"/>
    </row>
    <row r="607" spans="1:26" ht="33.75" customHeight="1">
      <c r="A607" s="1">
        <v>733</v>
      </c>
      <c r="B607" s="1" t="s">
        <v>1863</v>
      </c>
      <c r="C607" s="1" t="s">
        <v>1196</v>
      </c>
      <c r="D607" s="4">
        <v>39858.845138888886</v>
      </c>
      <c r="E607" s="1" t="s">
        <v>255</v>
      </c>
      <c r="F607" s="1" t="s">
        <v>1864</v>
      </c>
      <c r="G607" s="5" t="s">
        <v>15</v>
      </c>
      <c r="H607" s="5" t="s">
        <v>150</v>
      </c>
      <c r="I607" s="1" t="s">
        <v>1865</v>
      </c>
      <c r="J607" s="1"/>
      <c r="K607" s="1"/>
      <c r="L607" s="2" t="s">
        <v>1866</v>
      </c>
      <c r="M607" s="1"/>
      <c r="N607" s="1"/>
      <c r="O607" s="1"/>
      <c r="P607" s="1"/>
      <c r="Q607" s="1"/>
      <c r="R607" s="1"/>
      <c r="S607" s="1"/>
      <c r="T607" s="1"/>
      <c r="U607" s="1"/>
      <c r="V607" s="1"/>
      <c r="W607" s="1"/>
      <c r="X607" s="1"/>
      <c r="Y607" s="1"/>
      <c r="Z607" s="1"/>
    </row>
    <row r="608" spans="1:26" ht="33.75" customHeight="1">
      <c r="A608" s="1">
        <v>753</v>
      </c>
      <c r="B608" s="1" t="s">
        <v>1867</v>
      </c>
      <c r="C608" s="1" t="s">
        <v>1696</v>
      </c>
      <c r="D608" s="4">
        <v>39858.914583333331</v>
      </c>
      <c r="E608" s="1" t="s">
        <v>54</v>
      </c>
      <c r="F608" s="1" t="s">
        <v>1857</v>
      </c>
      <c r="G608" s="5" t="s">
        <v>26</v>
      </c>
      <c r="H608" s="5" t="s">
        <v>27</v>
      </c>
      <c r="I608" s="1" t="s">
        <v>28</v>
      </c>
      <c r="J608" s="1" t="s">
        <v>259</v>
      </c>
      <c r="K608" s="1"/>
      <c r="L608" s="2" t="s">
        <v>1868</v>
      </c>
      <c r="M608" s="1"/>
      <c r="N608" s="1"/>
      <c r="O608" s="1"/>
      <c r="P608" s="1"/>
      <c r="Q608" s="1"/>
      <c r="R608" s="1"/>
      <c r="S608" s="1"/>
      <c r="T608" s="1"/>
      <c r="U608" s="1"/>
      <c r="V608" s="1"/>
      <c r="W608" s="1"/>
      <c r="X608" s="1"/>
      <c r="Y608" s="1"/>
      <c r="Z608" s="1"/>
    </row>
    <row r="609" spans="1:26" ht="33.75" customHeight="1">
      <c r="A609" s="1">
        <v>1786</v>
      </c>
      <c r="B609" s="1" t="s">
        <v>1869</v>
      </c>
      <c r="C609" s="1" t="s">
        <v>1814</v>
      </c>
      <c r="D609" s="4">
        <v>39858.918055555558</v>
      </c>
      <c r="E609" s="1" t="s">
        <v>1089</v>
      </c>
      <c r="F609" s="1"/>
      <c r="G609" s="5" t="s">
        <v>64</v>
      </c>
      <c r="H609" s="5" t="s">
        <v>263</v>
      </c>
      <c r="I609" s="1" t="s">
        <v>1870</v>
      </c>
      <c r="J609" s="1"/>
      <c r="K609" s="1"/>
      <c r="L609" s="2" t="s">
        <v>1871</v>
      </c>
      <c r="M609" s="1"/>
      <c r="N609" s="1"/>
      <c r="O609" s="1"/>
      <c r="P609" s="1"/>
      <c r="Q609" s="1"/>
      <c r="R609" s="1"/>
      <c r="S609" s="1"/>
      <c r="T609" s="1"/>
      <c r="U609" s="1"/>
      <c r="V609" s="1"/>
      <c r="W609" s="1"/>
      <c r="X609" s="1"/>
      <c r="Y609" s="1"/>
      <c r="Z609" s="1"/>
    </row>
    <row r="610" spans="1:26" ht="33.75" customHeight="1">
      <c r="A610" s="1">
        <v>1787</v>
      </c>
      <c r="B610" s="1" t="s">
        <v>1872</v>
      </c>
      <c r="C610" s="1" t="s">
        <v>1814</v>
      </c>
      <c r="D610" s="4">
        <v>39858.938194444447</v>
      </c>
      <c r="E610" s="1" t="s">
        <v>1089</v>
      </c>
      <c r="F610" s="1" t="s">
        <v>1869</v>
      </c>
      <c r="G610" s="5" t="s">
        <v>26</v>
      </c>
      <c r="H610" s="1" t="s">
        <v>133</v>
      </c>
      <c r="I610" s="1" t="s">
        <v>64</v>
      </c>
      <c r="J610" s="1" t="s">
        <v>1873</v>
      </c>
      <c r="K610" s="1"/>
      <c r="L610" s="2" t="s">
        <v>1874</v>
      </c>
      <c r="M610" s="1"/>
      <c r="N610" s="1"/>
      <c r="O610" s="1"/>
      <c r="P610" s="1"/>
      <c r="Q610" s="1"/>
      <c r="R610" s="1"/>
      <c r="S610" s="1"/>
      <c r="T610" s="1"/>
      <c r="U610" s="1"/>
      <c r="V610" s="1"/>
      <c r="W610" s="1"/>
      <c r="X610" s="1"/>
      <c r="Y610" s="1"/>
      <c r="Z610" s="1"/>
    </row>
    <row r="611" spans="1:26" ht="33.75" customHeight="1">
      <c r="A611" s="1">
        <v>1788</v>
      </c>
      <c r="B611" s="1" t="s">
        <v>1875</v>
      </c>
      <c r="C611" s="1" t="s">
        <v>1814</v>
      </c>
      <c r="D611" s="4">
        <v>39858.949305555558</v>
      </c>
      <c r="E611" s="1" t="s">
        <v>54</v>
      </c>
      <c r="F611" s="1" t="s">
        <v>1872</v>
      </c>
      <c r="G611" s="5" t="s">
        <v>26</v>
      </c>
      <c r="H611" s="1" t="s">
        <v>27</v>
      </c>
      <c r="I611" s="1" t="s">
        <v>64</v>
      </c>
      <c r="J611" s="1" t="s">
        <v>1873</v>
      </c>
      <c r="K611" s="1"/>
      <c r="L611" s="2" t="s">
        <v>1876</v>
      </c>
      <c r="M611" s="1"/>
      <c r="N611" s="1"/>
      <c r="O611" s="1"/>
      <c r="P611" s="1"/>
      <c r="Q611" s="1"/>
      <c r="R611" s="1"/>
      <c r="S611" s="1"/>
      <c r="T611" s="1"/>
      <c r="U611" s="1"/>
      <c r="V611" s="1"/>
      <c r="W611" s="1"/>
      <c r="X611" s="1"/>
      <c r="Y611" s="1"/>
      <c r="Z611" s="1"/>
    </row>
    <row r="612" spans="1:26" ht="33.75" customHeight="1">
      <c r="A612" s="1">
        <v>1719</v>
      </c>
      <c r="B612" s="1" t="s">
        <v>1877</v>
      </c>
      <c r="C612" s="1" t="s">
        <v>1519</v>
      </c>
      <c r="D612" s="4">
        <v>39858.959722222222</v>
      </c>
      <c r="E612" s="1" t="s">
        <v>54</v>
      </c>
      <c r="F612" s="1" t="s">
        <v>1859</v>
      </c>
      <c r="G612" s="6" t="s">
        <v>78</v>
      </c>
      <c r="H612" s="5" t="s">
        <v>870</v>
      </c>
      <c r="I612" s="1" t="s">
        <v>480</v>
      </c>
      <c r="J612" s="1" t="s">
        <v>481</v>
      </c>
      <c r="K612" s="1" t="s">
        <v>1878</v>
      </c>
      <c r="L612" s="2" t="s">
        <v>1879</v>
      </c>
      <c r="M612" s="1"/>
      <c r="N612" s="1"/>
      <c r="O612" s="1"/>
      <c r="P612" s="1"/>
      <c r="Q612" s="1"/>
      <c r="R612" s="1"/>
      <c r="S612" s="1"/>
      <c r="T612" s="1"/>
      <c r="U612" s="1"/>
      <c r="V612" s="1"/>
      <c r="W612" s="1"/>
      <c r="X612" s="1"/>
      <c r="Y612" s="1"/>
      <c r="Z612" s="1"/>
    </row>
    <row r="613" spans="1:26" ht="33.75" customHeight="1">
      <c r="A613" s="1">
        <v>1789</v>
      </c>
      <c r="B613" s="1" t="s">
        <v>1880</v>
      </c>
      <c r="C613" s="1" t="s">
        <v>1814</v>
      </c>
      <c r="D613" s="4">
        <v>39859.005555555559</v>
      </c>
      <c r="E613" s="1" t="s">
        <v>1089</v>
      </c>
      <c r="F613" s="1" t="s">
        <v>1875</v>
      </c>
      <c r="G613" s="5" t="s">
        <v>26</v>
      </c>
      <c r="H613" s="1" t="s">
        <v>27</v>
      </c>
      <c r="I613" s="1" t="s">
        <v>64</v>
      </c>
      <c r="J613" s="1" t="s">
        <v>1873</v>
      </c>
      <c r="K613" s="1" t="s">
        <v>1881</v>
      </c>
      <c r="L613" s="2" t="s">
        <v>1882</v>
      </c>
      <c r="M613" s="1"/>
      <c r="N613" s="1"/>
      <c r="O613" s="1"/>
      <c r="P613" s="1"/>
      <c r="Q613" s="1"/>
      <c r="R613" s="1"/>
      <c r="S613" s="1"/>
      <c r="T613" s="1"/>
      <c r="U613" s="1"/>
      <c r="V613" s="1"/>
      <c r="W613" s="1"/>
      <c r="X613" s="1"/>
      <c r="Y613" s="1"/>
      <c r="Z613" s="1"/>
    </row>
    <row r="614" spans="1:26" ht="33.75" customHeight="1">
      <c r="A614" s="1">
        <v>734</v>
      </c>
      <c r="B614" s="1" t="s">
        <v>1883</v>
      </c>
      <c r="C614" s="1" t="s">
        <v>1196</v>
      </c>
      <c r="D614" s="4">
        <v>39859.195138888892</v>
      </c>
      <c r="E614" s="1" t="s">
        <v>54</v>
      </c>
      <c r="F614" s="1"/>
      <c r="G614" s="5" t="s">
        <v>64</v>
      </c>
      <c r="H614" s="5" t="s">
        <v>263</v>
      </c>
      <c r="I614" s="1" t="s">
        <v>1884</v>
      </c>
      <c r="J614" s="1"/>
      <c r="K614" s="1"/>
      <c r="L614" s="2" t="s">
        <v>1885</v>
      </c>
      <c r="M614" s="1"/>
      <c r="N614" s="1"/>
      <c r="O614" s="1"/>
      <c r="P614" s="1"/>
      <c r="Q614" s="1"/>
      <c r="R614" s="1"/>
      <c r="S614" s="1"/>
      <c r="T614" s="1"/>
      <c r="U614" s="1"/>
      <c r="V614" s="1"/>
      <c r="W614" s="1"/>
      <c r="X614" s="1"/>
      <c r="Y614" s="1"/>
      <c r="Z614" s="1"/>
    </row>
    <row r="615" spans="1:26" ht="33.75" customHeight="1">
      <c r="A615" s="1">
        <v>1790</v>
      </c>
      <c r="B615" s="1" t="s">
        <v>1886</v>
      </c>
      <c r="C615" s="1" t="s">
        <v>1814</v>
      </c>
      <c r="D615" s="4">
        <v>39859.322222222225</v>
      </c>
      <c r="E615" s="1" t="s">
        <v>1887</v>
      </c>
      <c r="F615" s="1"/>
      <c r="G615" s="5" t="s">
        <v>64</v>
      </c>
      <c r="H615" s="5" t="s">
        <v>375</v>
      </c>
      <c r="I615" s="1" t="s">
        <v>1888</v>
      </c>
      <c r="J615" s="1"/>
      <c r="K615" s="1"/>
      <c r="L615" s="2" t="s">
        <v>1889</v>
      </c>
      <c r="M615" s="1"/>
      <c r="N615" s="1"/>
      <c r="O615" s="1"/>
      <c r="P615" s="1"/>
      <c r="Q615" s="1"/>
      <c r="R615" s="1"/>
      <c r="S615" s="1"/>
      <c r="T615" s="1"/>
      <c r="U615" s="1"/>
      <c r="V615" s="1"/>
      <c r="W615" s="1"/>
      <c r="X615" s="1"/>
      <c r="Y615" s="1"/>
      <c r="Z615" s="1"/>
    </row>
    <row r="616" spans="1:26" ht="33.75" customHeight="1">
      <c r="A616" s="1">
        <v>754</v>
      </c>
      <c r="B616" s="1" t="s">
        <v>1890</v>
      </c>
      <c r="C616" s="1" t="s">
        <v>1696</v>
      </c>
      <c r="D616" s="4">
        <v>39859.337500000001</v>
      </c>
      <c r="E616" s="1" t="s">
        <v>54</v>
      </c>
      <c r="F616" s="1">
        <v>130</v>
      </c>
      <c r="G616" s="6" t="s">
        <v>78</v>
      </c>
      <c r="H616" s="5" t="s">
        <v>79</v>
      </c>
      <c r="I616" s="1" t="s">
        <v>1891</v>
      </c>
      <c r="J616" s="1"/>
      <c r="K616" s="1" t="s">
        <v>1892</v>
      </c>
      <c r="L616" s="2" t="s">
        <v>1893</v>
      </c>
      <c r="M616" s="1"/>
      <c r="N616" s="1"/>
      <c r="O616" s="1"/>
      <c r="P616" s="1"/>
      <c r="Q616" s="1"/>
      <c r="R616" s="1"/>
      <c r="S616" s="1"/>
      <c r="T616" s="1"/>
      <c r="U616" s="1"/>
      <c r="V616" s="1"/>
      <c r="W616" s="1"/>
      <c r="X616" s="1"/>
      <c r="Y616" s="1"/>
      <c r="Z616" s="1"/>
    </row>
    <row r="617" spans="1:26" ht="33.75" customHeight="1">
      <c r="A617" s="1">
        <v>1791</v>
      </c>
      <c r="B617" s="1" t="s">
        <v>1894</v>
      </c>
      <c r="C617" s="1" t="s">
        <v>1814</v>
      </c>
      <c r="D617" s="4">
        <v>39859.378472222219</v>
      </c>
      <c r="E617" s="1" t="s">
        <v>54</v>
      </c>
      <c r="F617" s="1" t="s">
        <v>1886</v>
      </c>
      <c r="G617" s="5" t="s">
        <v>26</v>
      </c>
      <c r="H617" s="5" t="s">
        <v>27</v>
      </c>
      <c r="I617" s="1" t="s">
        <v>28</v>
      </c>
      <c r="J617" s="1" t="s">
        <v>259</v>
      </c>
      <c r="K617" s="1" t="s">
        <v>1895</v>
      </c>
      <c r="L617" s="2" t="s">
        <v>1896</v>
      </c>
      <c r="M617" s="1"/>
      <c r="N617" s="1"/>
      <c r="O617" s="1"/>
      <c r="P617" s="1"/>
      <c r="Q617" s="1"/>
      <c r="R617" s="1"/>
      <c r="S617" s="1"/>
      <c r="T617" s="1"/>
      <c r="U617" s="1"/>
      <c r="V617" s="1"/>
      <c r="W617" s="1"/>
      <c r="X617" s="1"/>
      <c r="Y617" s="1"/>
      <c r="Z617" s="1"/>
    </row>
    <row r="618" spans="1:26" ht="33.75" customHeight="1">
      <c r="A618" s="1">
        <v>735</v>
      </c>
      <c r="B618" s="1" t="s">
        <v>1897</v>
      </c>
      <c r="C618" s="1" t="s">
        <v>1196</v>
      </c>
      <c r="D618" s="4">
        <v>39859.394444444442</v>
      </c>
      <c r="E618" s="1" t="s">
        <v>255</v>
      </c>
      <c r="F618" s="1"/>
      <c r="G618" s="5" t="s">
        <v>64</v>
      </c>
      <c r="H618" s="5" t="s">
        <v>263</v>
      </c>
      <c r="I618" s="1" t="s">
        <v>1803</v>
      </c>
      <c r="J618" s="1"/>
      <c r="K618" s="1" t="s">
        <v>1898</v>
      </c>
      <c r="L618" s="2" t="s">
        <v>1899</v>
      </c>
      <c r="M618" s="1"/>
      <c r="N618" s="1"/>
      <c r="O618" s="1"/>
      <c r="P618" s="1"/>
      <c r="Q618" s="1"/>
      <c r="R618" s="1"/>
      <c r="S618" s="1"/>
      <c r="T618" s="1"/>
      <c r="U618" s="1"/>
      <c r="V618" s="1"/>
      <c r="W618" s="1"/>
      <c r="X618" s="1"/>
      <c r="Y618" s="1"/>
      <c r="Z618" s="1"/>
    </row>
    <row r="619" spans="1:26" ht="33.75" customHeight="1">
      <c r="A619" s="1">
        <v>736</v>
      </c>
      <c r="B619" s="1" t="s">
        <v>1900</v>
      </c>
      <c r="C619" s="1" t="s">
        <v>1196</v>
      </c>
      <c r="D619" s="4">
        <v>39859.414583333331</v>
      </c>
      <c r="E619" s="1" t="s">
        <v>255</v>
      </c>
      <c r="F619" s="1"/>
      <c r="G619" s="5" t="s">
        <v>64</v>
      </c>
      <c r="H619" s="5" t="s">
        <v>65</v>
      </c>
      <c r="I619" s="1" t="s">
        <v>886</v>
      </c>
      <c r="J619" s="1"/>
      <c r="K619" s="1"/>
      <c r="L619" s="2" t="s">
        <v>1901</v>
      </c>
      <c r="M619" s="1"/>
      <c r="N619" s="1"/>
      <c r="O619" s="1"/>
      <c r="P619" s="1"/>
      <c r="Q619" s="1"/>
      <c r="R619" s="1"/>
      <c r="S619" s="1"/>
      <c r="T619" s="1"/>
      <c r="U619" s="1"/>
      <c r="V619" s="1"/>
      <c r="W619" s="1"/>
      <c r="X619" s="1"/>
      <c r="Y619" s="1"/>
      <c r="Z619" s="1"/>
    </row>
    <row r="620" spans="1:26" ht="33.75" customHeight="1">
      <c r="A620" s="1">
        <v>1792</v>
      </c>
      <c r="B620" s="1" t="s">
        <v>1902</v>
      </c>
      <c r="C620" s="1" t="s">
        <v>1814</v>
      </c>
      <c r="D620" s="4">
        <v>39859.470833333333</v>
      </c>
      <c r="E620" s="1" t="s">
        <v>772</v>
      </c>
      <c r="F620" s="1"/>
      <c r="G620" s="5" t="s">
        <v>64</v>
      </c>
      <c r="H620" s="1" t="s">
        <v>263</v>
      </c>
      <c r="I620" s="1" t="s">
        <v>64</v>
      </c>
      <c r="J620" s="1"/>
      <c r="K620" s="1" t="s">
        <v>1744</v>
      </c>
      <c r="L620" s="2" t="s">
        <v>1903</v>
      </c>
      <c r="M620" s="1"/>
      <c r="N620" s="1"/>
      <c r="O620" s="1"/>
      <c r="P620" s="1"/>
      <c r="Q620" s="1"/>
      <c r="R620" s="1"/>
      <c r="S620" s="1"/>
      <c r="T620" s="1"/>
      <c r="U620" s="1"/>
      <c r="V620" s="1"/>
      <c r="W620" s="1"/>
      <c r="X620" s="1"/>
      <c r="Y620" s="1"/>
      <c r="Z620" s="1"/>
    </row>
    <row r="621" spans="1:26" ht="33.75" customHeight="1">
      <c r="A621" s="1">
        <v>1793</v>
      </c>
      <c r="B621" s="1" t="s">
        <v>1904</v>
      </c>
      <c r="C621" s="1" t="s">
        <v>1814</v>
      </c>
      <c r="D621" s="4">
        <v>39859.491666666669</v>
      </c>
      <c r="E621" s="1" t="s">
        <v>772</v>
      </c>
      <c r="F621" s="1"/>
      <c r="G621" s="5" t="s">
        <v>64</v>
      </c>
      <c r="H621" s="1" t="s">
        <v>263</v>
      </c>
      <c r="I621" s="1" t="s">
        <v>64</v>
      </c>
      <c r="J621" s="1"/>
      <c r="K621" s="1"/>
      <c r="L621" s="2" t="s">
        <v>1905</v>
      </c>
      <c r="M621" s="1"/>
      <c r="N621" s="1"/>
      <c r="O621" s="1"/>
      <c r="P621" s="1"/>
      <c r="Q621" s="1"/>
      <c r="R621" s="1"/>
      <c r="S621" s="1"/>
      <c r="T621" s="1"/>
      <c r="U621" s="1"/>
      <c r="V621" s="1"/>
      <c r="W621" s="1"/>
      <c r="X621" s="1"/>
      <c r="Y621" s="1"/>
      <c r="Z621" s="1"/>
    </row>
    <row r="622" spans="1:26" ht="33.75" customHeight="1">
      <c r="A622" s="1">
        <v>1794</v>
      </c>
      <c r="B622" s="1" t="s">
        <v>1906</v>
      </c>
      <c r="C622" s="1" t="s">
        <v>1814</v>
      </c>
      <c r="D622" s="4">
        <v>39859.574999999997</v>
      </c>
      <c r="E622" s="1" t="s">
        <v>54</v>
      </c>
      <c r="F622" s="1"/>
      <c r="G622" s="5" t="s">
        <v>64</v>
      </c>
      <c r="H622" s="5" t="s">
        <v>1053</v>
      </c>
      <c r="I622" s="1" t="s">
        <v>1423</v>
      </c>
      <c r="J622" s="1"/>
      <c r="K622" s="1" t="s">
        <v>1744</v>
      </c>
      <c r="L622" s="2" t="s">
        <v>1907</v>
      </c>
      <c r="M622" s="1"/>
      <c r="N622" s="1"/>
      <c r="O622" s="1"/>
      <c r="P622" s="1"/>
      <c r="Q622" s="1"/>
      <c r="R622" s="1"/>
      <c r="S622" s="1"/>
      <c r="T622" s="1"/>
      <c r="U622" s="1"/>
      <c r="V622" s="1"/>
      <c r="W622" s="1"/>
      <c r="X622" s="1"/>
      <c r="Y622" s="1"/>
      <c r="Z622" s="1"/>
    </row>
    <row r="623" spans="1:26" ht="33.75" customHeight="1">
      <c r="A623" s="1">
        <v>1795</v>
      </c>
      <c r="B623" s="1" t="s">
        <v>1908</v>
      </c>
      <c r="C623" s="1" t="s">
        <v>1814</v>
      </c>
      <c r="D623" s="4">
        <v>39859.586111111108</v>
      </c>
      <c r="E623" s="1" t="s">
        <v>1887</v>
      </c>
      <c r="F623" s="1"/>
      <c r="G623" s="5" t="s">
        <v>26</v>
      </c>
      <c r="H623" s="5" t="s">
        <v>27</v>
      </c>
      <c r="I623" s="1" t="s">
        <v>28</v>
      </c>
      <c r="J623" s="1" t="s">
        <v>29</v>
      </c>
      <c r="K623" s="1" t="s">
        <v>1909</v>
      </c>
      <c r="L623" s="2" t="s">
        <v>1910</v>
      </c>
      <c r="M623" s="1"/>
      <c r="N623" s="1"/>
      <c r="O623" s="1"/>
      <c r="P623" s="1"/>
      <c r="Q623" s="1"/>
      <c r="R623" s="1"/>
      <c r="S623" s="1"/>
      <c r="T623" s="1"/>
      <c r="U623" s="1"/>
      <c r="V623" s="1"/>
      <c r="W623" s="1"/>
      <c r="X623" s="1"/>
      <c r="Y623" s="1"/>
      <c r="Z623" s="1"/>
    </row>
    <row r="624" spans="1:26" ht="33.75" customHeight="1">
      <c r="A624" s="1">
        <v>1796</v>
      </c>
      <c r="B624" s="1" t="s">
        <v>1911</v>
      </c>
      <c r="C624" s="1" t="s">
        <v>1814</v>
      </c>
      <c r="D624" s="4">
        <v>39859.613194444442</v>
      </c>
      <c r="E624" s="1" t="s">
        <v>54</v>
      </c>
      <c r="F624" s="1" t="s">
        <v>1902</v>
      </c>
      <c r="G624" s="5" t="s">
        <v>64</v>
      </c>
      <c r="H624" s="1" t="s">
        <v>218</v>
      </c>
      <c r="I624" s="1" t="s">
        <v>64</v>
      </c>
      <c r="J624" s="1"/>
      <c r="K624" s="1"/>
      <c r="L624" s="2" t="s">
        <v>1912</v>
      </c>
      <c r="M624" s="1"/>
      <c r="N624" s="1"/>
      <c r="O624" s="1"/>
      <c r="P624" s="1"/>
      <c r="Q624" s="1"/>
      <c r="R624" s="1"/>
      <c r="S624" s="1"/>
      <c r="T624" s="1"/>
      <c r="U624" s="1"/>
      <c r="V624" s="1"/>
      <c r="W624" s="1"/>
      <c r="X624" s="1"/>
      <c r="Y624" s="1"/>
      <c r="Z624" s="1"/>
    </row>
    <row r="625" spans="1:26" ht="33.75" customHeight="1">
      <c r="A625" s="1">
        <v>755</v>
      </c>
      <c r="B625" s="1" t="s">
        <v>1913</v>
      </c>
      <c r="C625" s="1" t="s">
        <v>1696</v>
      </c>
      <c r="D625" s="4">
        <v>39859.661805555559</v>
      </c>
      <c r="E625" s="1" t="s">
        <v>14</v>
      </c>
      <c r="F625" s="1" t="s">
        <v>1890</v>
      </c>
      <c r="G625" s="5" t="s">
        <v>26</v>
      </c>
      <c r="H625" s="5" t="s">
        <v>133</v>
      </c>
      <c r="I625" s="1" t="s">
        <v>28</v>
      </c>
      <c r="J625" s="1" t="s">
        <v>134</v>
      </c>
      <c r="K625" s="1" t="s">
        <v>26</v>
      </c>
      <c r="L625" s="2" t="s">
        <v>1914</v>
      </c>
      <c r="M625" s="1"/>
      <c r="N625" s="1"/>
      <c r="O625" s="1"/>
      <c r="P625" s="1"/>
      <c r="Q625" s="1"/>
      <c r="R625" s="1"/>
      <c r="S625" s="1"/>
      <c r="T625" s="1"/>
      <c r="U625" s="1"/>
      <c r="V625" s="1"/>
      <c r="W625" s="1"/>
      <c r="X625" s="1"/>
      <c r="Y625" s="1"/>
      <c r="Z625" s="1"/>
    </row>
    <row r="626" spans="1:26" ht="33.75" customHeight="1">
      <c r="A626" s="1">
        <v>1720</v>
      </c>
      <c r="B626" s="1" t="s">
        <v>1915</v>
      </c>
      <c r="C626" s="1" t="s">
        <v>1519</v>
      </c>
      <c r="D626" s="4">
        <v>39859.679861111108</v>
      </c>
      <c r="E626" s="1" t="s">
        <v>54</v>
      </c>
      <c r="F626" s="1"/>
      <c r="G626" s="5" t="s">
        <v>15</v>
      </c>
      <c r="H626" s="5" t="s">
        <v>402</v>
      </c>
      <c r="I626" s="1" t="s">
        <v>576</v>
      </c>
      <c r="J626" s="1"/>
      <c r="K626" s="1" t="s">
        <v>1916</v>
      </c>
      <c r="L626" s="2" t="s">
        <v>1917</v>
      </c>
      <c r="M626" s="1"/>
      <c r="N626" s="1"/>
      <c r="O626" s="1"/>
      <c r="P626" s="1"/>
      <c r="Q626" s="1"/>
      <c r="R626" s="1"/>
      <c r="S626" s="1"/>
      <c r="T626" s="1"/>
      <c r="U626" s="1"/>
      <c r="V626" s="1"/>
      <c r="W626" s="1"/>
      <c r="X626" s="1"/>
      <c r="Y626" s="1"/>
      <c r="Z626" s="1"/>
    </row>
    <row r="627" spans="1:26" ht="33.75" customHeight="1">
      <c r="A627" s="1">
        <v>1797</v>
      </c>
      <c r="B627" s="1" t="s">
        <v>1918</v>
      </c>
      <c r="C627" s="1" t="s">
        <v>1814</v>
      </c>
      <c r="D627" s="4">
        <v>39859.699999999997</v>
      </c>
      <c r="E627" s="1" t="s">
        <v>1089</v>
      </c>
      <c r="F627" s="1" t="s">
        <v>1919</v>
      </c>
      <c r="G627" s="5" t="s">
        <v>64</v>
      </c>
      <c r="H627" s="1" t="s">
        <v>263</v>
      </c>
      <c r="I627" s="1" t="s">
        <v>64</v>
      </c>
      <c r="J627" s="1"/>
      <c r="K627" s="1"/>
      <c r="L627" s="2" t="s">
        <v>1920</v>
      </c>
      <c r="M627" s="1"/>
      <c r="N627" s="1"/>
      <c r="O627" s="1"/>
      <c r="P627" s="1"/>
      <c r="Q627" s="1"/>
      <c r="R627" s="1"/>
      <c r="S627" s="1"/>
      <c r="T627" s="1"/>
      <c r="U627" s="1"/>
      <c r="V627" s="1"/>
      <c r="W627" s="1"/>
      <c r="X627" s="1"/>
      <c r="Y627" s="1"/>
      <c r="Z627" s="1"/>
    </row>
    <row r="628" spans="1:26" ht="33.75" customHeight="1">
      <c r="A628" s="1">
        <v>756</v>
      </c>
      <c r="B628" s="1" t="s">
        <v>1921</v>
      </c>
      <c r="C628" s="1" t="s">
        <v>1696</v>
      </c>
      <c r="D628" s="4">
        <v>39859.727777777778</v>
      </c>
      <c r="E628" s="1" t="s">
        <v>14</v>
      </c>
      <c r="F628" s="1" t="s">
        <v>1913</v>
      </c>
      <c r="G628" s="5" t="s">
        <v>26</v>
      </c>
      <c r="H628" s="5" t="s">
        <v>27</v>
      </c>
      <c r="I628" s="1" t="s">
        <v>1922</v>
      </c>
      <c r="J628" s="1"/>
      <c r="K628" s="1"/>
      <c r="L628" s="2" t="s">
        <v>1923</v>
      </c>
      <c r="M628" s="1"/>
      <c r="N628" s="1"/>
      <c r="O628" s="1"/>
      <c r="P628" s="1"/>
      <c r="Q628" s="1"/>
      <c r="R628" s="1"/>
      <c r="S628" s="1"/>
      <c r="T628" s="1"/>
      <c r="U628" s="1"/>
      <c r="V628" s="1"/>
      <c r="W628" s="1"/>
      <c r="X628" s="1"/>
      <c r="Y628" s="1"/>
      <c r="Z628" s="1"/>
    </row>
    <row r="629" spans="1:26" ht="33.75" customHeight="1">
      <c r="A629" s="1">
        <v>1798</v>
      </c>
      <c r="B629" s="1" t="s">
        <v>1924</v>
      </c>
      <c r="C629" s="1" t="s">
        <v>1814</v>
      </c>
      <c r="D629" s="4">
        <v>39859.728472222225</v>
      </c>
      <c r="E629" s="1" t="s">
        <v>196</v>
      </c>
      <c r="F629" s="1"/>
      <c r="G629" s="5" t="s">
        <v>64</v>
      </c>
      <c r="H629" s="1" t="s">
        <v>218</v>
      </c>
      <c r="I629" s="1" t="s">
        <v>64</v>
      </c>
      <c r="J629" s="1"/>
      <c r="K629" s="1" t="s">
        <v>1925</v>
      </c>
      <c r="L629" s="2" t="s">
        <v>1926</v>
      </c>
      <c r="M629" s="1"/>
      <c r="N629" s="1"/>
      <c r="O629" s="1"/>
      <c r="P629" s="1"/>
      <c r="Q629" s="1"/>
      <c r="R629" s="1"/>
      <c r="S629" s="1"/>
      <c r="T629" s="1"/>
      <c r="U629" s="1"/>
      <c r="V629" s="1"/>
      <c r="W629" s="1"/>
      <c r="X629" s="1"/>
      <c r="Y629" s="1"/>
      <c r="Z629" s="1"/>
    </row>
    <row r="630" spans="1:26" ht="33.75" customHeight="1">
      <c r="A630" s="1">
        <v>1799</v>
      </c>
      <c r="B630" s="1" t="s">
        <v>1927</v>
      </c>
      <c r="C630" s="1" t="s">
        <v>1814</v>
      </c>
      <c r="D630" s="4">
        <v>39859.738194444442</v>
      </c>
      <c r="E630" s="1" t="s">
        <v>54</v>
      </c>
      <c r="F630" s="1" t="s">
        <v>1924</v>
      </c>
      <c r="G630" s="5" t="s">
        <v>64</v>
      </c>
      <c r="H630" s="1" t="s">
        <v>218</v>
      </c>
      <c r="I630" s="1" t="s">
        <v>64</v>
      </c>
      <c r="J630" s="1"/>
      <c r="K630" s="1"/>
      <c r="L630" s="2" t="s">
        <v>1928</v>
      </c>
      <c r="M630" s="1"/>
      <c r="N630" s="1"/>
      <c r="O630" s="1"/>
      <c r="P630" s="1"/>
      <c r="Q630" s="1"/>
      <c r="R630" s="1"/>
      <c r="S630" s="1"/>
      <c r="T630" s="1"/>
      <c r="U630" s="1"/>
      <c r="V630" s="1"/>
      <c r="W630" s="1"/>
      <c r="X630" s="1"/>
      <c r="Y630" s="1"/>
      <c r="Z630" s="1"/>
    </row>
    <row r="631" spans="1:26" ht="33.75" customHeight="1">
      <c r="A631" s="1">
        <v>1800</v>
      </c>
      <c r="B631" s="1" t="s">
        <v>1929</v>
      </c>
      <c r="C631" s="1" t="s">
        <v>1814</v>
      </c>
      <c r="D631" s="4">
        <v>39859.742361111108</v>
      </c>
      <c r="E631" s="1" t="s">
        <v>54</v>
      </c>
      <c r="F631" s="1"/>
      <c r="G631" s="6" t="s">
        <v>78</v>
      </c>
      <c r="H631" s="5" t="s">
        <v>79</v>
      </c>
      <c r="I631" s="1" t="s">
        <v>840</v>
      </c>
      <c r="J631" s="1" t="s">
        <v>450</v>
      </c>
      <c r="K631" s="1" t="s">
        <v>1930</v>
      </c>
      <c r="L631" s="2" t="s">
        <v>1931</v>
      </c>
      <c r="M631" s="1"/>
      <c r="N631" s="1"/>
      <c r="O631" s="1"/>
      <c r="P631" s="1"/>
      <c r="Q631" s="1"/>
      <c r="R631" s="1"/>
      <c r="S631" s="1"/>
      <c r="T631" s="1"/>
      <c r="U631" s="1"/>
      <c r="V631" s="1"/>
      <c r="W631" s="1"/>
      <c r="X631" s="1"/>
      <c r="Y631" s="1"/>
      <c r="Z631" s="1"/>
    </row>
    <row r="632" spans="1:26" ht="33.75" customHeight="1">
      <c r="A632" s="1">
        <v>1801</v>
      </c>
      <c r="B632" s="1" t="s">
        <v>1932</v>
      </c>
      <c r="C632" s="1" t="s">
        <v>1814</v>
      </c>
      <c r="D632" s="4">
        <v>39859.75</v>
      </c>
      <c r="E632" s="1" t="s">
        <v>196</v>
      </c>
      <c r="F632" s="1" t="s">
        <v>1927</v>
      </c>
      <c r="G632" s="5" t="s">
        <v>64</v>
      </c>
      <c r="H632" s="1" t="s">
        <v>218</v>
      </c>
      <c r="I632" s="1" t="s">
        <v>64</v>
      </c>
      <c r="J632" s="1"/>
      <c r="K632" s="1"/>
      <c r="L632" s="2" t="s">
        <v>1933</v>
      </c>
      <c r="M632" s="1"/>
      <c r="N632" s="1"/>
      <c r="O632" s="1"/>
      <c r="P632" s="1"/>
      <c r="Q632" s="1"/>
      <c r="R632" s="1"/>
      <c r="S632" s="1"/>
      <c r="T632" s="1"/>
      <c r="U632" s="1"/>
      <c r="V632" s="1"/>
      <c r="W632" s="1"/>
      <c r="X632" s="1"/>
      <c r="Y632" s="1"/>
      <c r="Z632" s="1"/>
    </row>
    <row r="633" spans="1:26" ht="33.75" customHeight="1">
      <c r="A633" s="1">
        <v>757</v>
      </c>
      <c r="B633" s="1" t="s">
        <v>1934</v>
      </c>
      <c r="C633" s="1" t="s">
        <v>1696</v>
      </c>
      <c r="D633" s="4">
        <v>39859.770138888889</v>
      </c>
      <c r="E633" s="1" t="s">
        <v>54</v>
      </c>
      <c r="F633" s="1"/>
      <c r="G633" s="5" t="s">
        <v>33</v>
      </c>
      <c r="H633" s="5" t="s">
        <v>34</v>
      </c>
      <c r="I633" s="1" t="s">
        <v>1605</v>
      </c>
      <c r="J633" s="1"/>
      <c r="K633" s="1" t="s">
        <v>1935</v>
      </c>
      <c r="L633" s="2" t="s">
        <v>1936</v>
      </c>
      <c r="M633" s="1"/>
      <c r="N633" s="1"/>
      <c r="O633" s="1"/>
      <c r="P633" s="1"/>
      <c r="Q633" s="1"/>
      <c r="R633" s="1"/>
      <c r="S633" s="1"/>
      <c r="T633" s="1"/>
      <c r="U633" s="1"/>
      <c r="V633" s="1"/>
      <c r="W633" s="1"/>
      <c r="X633" s="1"/>
      <c r="Y633" s="1"/>
      <c r="Z633" s="1"/>
    </row>
    <row r="634" spans="1:26" ht="33.75" customHeight="1">
      <c r="A634" s="1">
        <v>1802</v>
      </c>
      <c r="B634" s="1" t="s">
        <v>1937</v>
      </c>
      <c r="C634" s="1" t="s">
        <v>1814</v>
      </c>
      <c r="D634" s="4">
        <v>39859.772916666669</v>
      </c>
      <c r="E634" s="1" t="s">
        <v>196</v>
      </c>
      <c r="F634" s="1"/>
      <c r="G634" s="5" t="s">
        <v>64</v>
      </c>
      <c r="H634" s="1" t="s">
        <v>218</v>
      </c>
      <c r="I634" s="1" t="s">
        <v>64</v>
      </c>
      <c r="J634" s="1"/>
      <c r="K634" s="1"/>
      <c r="L634" s="2" t="s">
        <v>1938</v>
      </c>
      <c r="M634" s="1"/>
      <c r="N634" s="1"/>
      <c r="O634" s="1"/>
      <c r="P634" s="1"/>
      <c r="Q634" s="1"/>
      <c r="R634" s="1"/>
      <c r="S634" s="1"/>
      <c r="T634" s="1"/>
      <c r="U634" s="1"/>
      <c r="V634" s="1"/>
      <c r="W634" s="1"/>
      <c r="X634" s="1"/>
      <c r="Y634" s="1"/>
      <c r="Z634" s="1"/>
    </row>
    <row r="635" spans="1:26" ht="33.75" customHeight="1">
      <c r="A635" s="1">
        <v>760</v>
      </c>
      <c r="B635" s="1" t="s">
        <v>1939</v>
      </c>
      <c r="C635" s="1" t="s">
        <v>1696</v>
      </c>
      <c r="D635" s="4">
        <v>39860.027777777781</v>
      </c>
      <c r="E635" s="1" t="s">
        <v>1528</v>
      </c>
      <c r="F635" s="1" t="s">
        <v>1940</v>
      </c>
      <c r="G635" s="5" t="s">
        <v>26</v>
      </c>
      <c r="H635" s="5" t="s">
        <v>27</v>
      </c>
      <c r="I635" s="1" t="s">
        <v>28</v>
      </c>
      <c r="J635" s="1" t="s">
        <v>29</v>
      </c>
      <c r="K635" s="1"/>
      <c r="L635" s="2" t="s">
        <v>1941</v>
      </c>
      <c r="M635" s="1"/>
      <c r="N635" s="1"/>
      <c r="O635" s="1"/>
      <c r="P635" s="1"/>
      <c r="Q635" s="1"/>
      <c r="R635" s="1"/>
      <c r="S635" s="1"/>
      <c r="T635" s="1"/>
      <c r="U635" s="1"/>
      <c r="V635" s="1"/>
      <c r="W635" s="1"/>
      <c r="X635" s="1"/>
      <c r="Y635" s="1"/>
      <c r="Z635" s="1"/>
    </row>
    <row r="636" spans="1:26" ht="33.75" customHeight="1">
      <c r="A636" s="1">
        <v>759</v>
      </c>
      <c r="B636" s="1" t="s">
        <v>1940</v>
      </c>
      <c r="C636" s="1" t="s">
        <v>1696</v>
      </c>
      <c r="D636" s="4">
        <v>39859.957638888889</v>
      </c>
      <c r="E636" s="1" t="s">
        <v>54</v>
      </c>
      <c r="F636" s="1" t="s">
        <v>1809</v>
      </c>
      <c r="G636" s="5" t="s">
        <v>26</v>
      </c>
      <c r="H636" s="5" t="s">
        <v>27</v>
      </c>
      <c r="I636" s="1" t="s">
        <v>28</v>
      </c>
      <c r="J636" s="1" t="s">
        <v>259</v>
      </c>
      <c r="K636" s="1"/>
      <c r="L636" s="2" t="s">
        <v>1942</v>
      </c>
      <c r="M636" s="1"/>
      <c r="N636" s="1"/>
      <c r="O636" s="1"/>
      <c r="P636" s="1"/>
      <c r="Q636" s="1"/>
      <c r="R636" s="1"/>
      <c r="S636" s="1"/>
      <c r="T636" s="1"/>
      <c r="U636" s="1"/>
      <c r="V636" s="1"/>
      <c r="W636" s="1"/>
      <c r="X636" s="1"/>
      <c r="Y636" s="1"/>
      <c r="Z636" s="1"/>
    </row>
    <row r="637" spans="1:26" ht="33.75" customHeight="1">
      <c r="A637" s="1">
        <v>773</v>
      </c>
      <c r="B637" s="1" t="s">
        <v>1943</v>
      </c>
      <c r="C637" s="1" t="s">
        <v>1696</v>
      </c>
      <c r="D637" s="4">
        <v>39860.944444444445</v>
      </c>
      <c r="E637" s="1" t="s">
        <v>1528</v>
      </c>
      <c r="F637" s="1"/>
      <c r="G637" s="5" t="s">
        <v>15</v>
      </c>
      <c r="H637" s="5" t="s">
        <v>150</v>
      </c>
      <c r="I637" s="1" t="s">
        <v>1017</v>
      </c>
      <c r="J637" s="1"/>
      <c r="K637" s="1" t="s">
        <v>1944</v>
      </c>
      <c r="L637" s="2" t="s">
        <v>1945</v>
      </c>
      <c r="M637" s="1"/>
      <c r="N637" s="1"/>
      <c r="O637" s="1"/>
      <c r="P637" s="1"/>
      <c r="Q637" s="1"/>
      <c r="R637" s="1"/>
      <c r="S637" s="1"/>
      <c r="T637" s="1"/>
      <c r="U637" s="1"/>
      <c r="V637" s="1"/>
      <c r="W637" s="1"/>
      <c r="X637" s="1"/>
      <c r="Y637" s="1"/>
      <c r="Z637" s="1"/>
    </row>
    <row r="638" spans="1:26" ht="33.75" customHeight="1">
      <c r="A638" s="1">
        <v>761</v>
      </c>
      <c r="B638" s="1" t="s">
        <v>1946</v>
      </c>
      <c r="C638" s="1" t="s">
        <v>1696</v>
      </c>
      <c r="D638" s="4">
        <v>39860.076388888891</v>
      </c>
      <c r="E638" s="1" t="s">
        <v>54</v>
      </c>
      <c r="F638" s="1" t="s">
        <v>1939</v>
      </c>
      <c r="G638" s="5" t="s">
        <v>64</v>
      </c>
      <c r="H638" s="5" t="s">
        <v>1053</v>
      </c>
      <c r="I638" s="1" t="s">
        <v>1922</v>
      </c>
      <c r="J638" s="1"/>
      <c r="K638" s="1"/>
      <c r="L638" s="2" t="s">
        <v>1947</v>
      </c>
      <c r="M638" s="1"/>
      <c r="N638" s="1"/>
      <c r="O638" s="1"/>
      <c r="P638" s="1"/>
      <c r="Q638" s="1"/>
      <c r="R638" s="1"/>
      <c r="S638" s="1"/>
      <c r="T638" s="1"/>
      <c r="U638" s="1"/>
      <c r="V638" s="1"/>
      <c r="W638" s="1"/>
      <c r="X638" s="1"/>
      <c r="Y638" s="1"/>
      <c r="Z638" s="1"/>
    </row>
    <row r="639" spans="1:26" ht="33.75" customHeight="1">
      <c r="A639" s="1">
        <v>1803</v>
      </c>
      <c r="B639" s="1" t="s">
        <v>1948</v>
      </c>
      <c r="C639" s="1" t="s">
        <v>1814</v>
      </c>
      <c r="D639" s="4">
        <v>39860.166666666664</v>
      </c>
      <c r="E639" s="1" t="s">
        <v>1089</v>
      </c>
      <c r="F639" s="1"/>
      <c r="G639" s="5" t="s">
        <v>64</v>
      </c>
      <c r="H639" s="1" t="s">
        <v>263</v>
      </c>
      <c r="I639" s="1" t="s">
        <v>64</v>
      </c>
      <c r="J639" s="1"/>
      <c r="K639" s="1"/>
      <c r="L639" s="2" t="s">
        <v>1949</v>
      </c>
      <c r="M639" s="1"/>
      <c r="N639" s="1"/>
      <c r="O639" s="1"/>
      <c r="P639" s="1"/>
      <c r="Q639" s="1"/>
      <c r="R639" s="1"/>
      <c r="S639" s="1"/>
      <c r="T639" s="1"/>
      <c r="U639" s="1"/>
      <c r="V639" s="1"/>
      <c r="W639" s="1"/>
      <c r="X639" s="1"/>
      <c r="Y639" s="1"/>
      <c r="Z639" s="1"/>
    </row>
    <row r="640" spans="1:26" ht="33.75" customHeight="1">
      <c r="A640" s="1">
        <v>762</v>
      </c>
      <c r="B640" s="1" t="s">
        <v>1950</v>
      </c>
      <c r="C640" s="1" t="s">
        <v>1696</v>
      </c>
      <c r="D640" s="4">
        <v>39860.232638888891</v>
      </c>
      <c r="E640" s="1" t="s">
        <v>320</v>
      </c>
      <c r="F640" s="1"/>
      <c r="G640" s="5" t="s">
        <v>64</v>
      </c>
      <c r="H640" s="1" t="s">
        <v>263</v>
      </c>
      <c r="I640" s="1" t="s">
        <v>64</v>
      </c>
      <c r="J640" s="1"/>
      <c r="K640" s="1"/>
      <c r="L640" s="2" t="s">
        <v>1951</v>
      </c>
      <c r="M640" s="1"/>
      <c r="N640" s="1"/>
      <c r="O640" s="1"/>
      <c r="P640" s="1"/>
      <c r="Q640" s="1"/>
      <c r="R640" s="1"/>
      <c r="S640" s="1"/>
      <c r="T640" s="1"/>
      <c r="U640" s="1"/>
      <c r="V640" s="1"/>
      <c r="W640" s="1"/>
      <c r="X640" s="1"/>
      <c r="Y640" s="1"/>
      <c r="Z640" s="1"/>
    </row>
    <row r="641" spans="1:26" ht="33.75" customHeight="1">
      <c r="A641" s="1">
        <v>1804</v>
      </c>
      <c r="B641" s="1" t="s">
        <v>1952</v>
      </c>
      <c r="C641" s="1" t="s">
        <v>1814</v>
      </c>
      <c r="D641" s="4">
        <v>39860.241666666669</v>
      </c>
      <c r="E641" s="1" t="s">
        <v>84</v>
      </c>
      <c r="F641" s="1"/>
      <c r="G641" s="5" t="s">
        <v>15</v>
      </c>
      <c r="H641" s="5" t="s">
        <v>402</v>
      </c>
      <c r="I641" s="1" t="s">
        <v>576</v>
      </c>
      <c r="J641" s="1"/>
      <c r="K641" s="1" t="s">
        <v>1953</v>
      </c>
      <c r="L641" s="2" t="s">
        <v>1954</v>
      </c>
      <c r="M641" s="1"/>
      <c r="N641" s="1"/>
      <c r="O641" s="1"/>
      <c r="P641" s="1"/>
      <c r="Q641" s="1"/>
      <c r="R641" s="1"/>
      <c r="S641" s="1"/>
      <c r="T641" s="1"/>
      <c r="U641" s="1"/>
      <c r="V641" s="1"/>
      <c r="W641" s="1"/>
      <c r="X641" s="1"/>
      <c r="Y641" s="1"/>
      <c r="Z641" s="1"/>
    </row>
    <row r="642" spans="1:26" ht="33.75" customHeight="1">
      <c r="A642" s="1">
        <v>763</v>
      </c>
      <c r="B642" s="1" t="s">
        <v>1955</v>
      </c>
      <c r="C642" s="1" t="s">
        <v>1696</v>
      </c>
      <c r="D642" s="4">
        <v>39860.334027777775</v>
      </c>
      <c r="E642" s="1" t="s">
        <v>255</v>
      </c>
      <c r="F642" s="1">
        <v>477</v>
      </c>
      <c r="G642" s="5" t="s">
        <v>26</v>
      </c>
      <c r="H642" s="5" t="s">
        <v>133</v>
      </c>
      <c r="I642" s="1" t="s">
        <v>28</v>
      </c>
      <c r="J642" s="1" t="s">
        <v>134</v>
      </c>
      <c r="K642" s="1"/>
      <c r="L642" s="2" t="s">
        <v>1956</v>
      </c>
      <c r="M642" s="1"/>
      <c r="N642" s="1"/>
      <c r="O642" s="1"/>
      <c r="P642" s="1"/>
      <c r="Q642" s="1"/>
      <c r="R642" s="1"/>
      <c r="S642" s="1"/>
      <c r="T642" s="1"/>
      <c r="U642" s="1"/>
      <c r="V642" s="1"/>
      <c r="W642" s="1"/>
      <c r="X642" s="1"/>
      <c r="Y642" s="1"/>
      <c r="Z642" s="1"/>
    </row>
    <row r="643" spans="1:26" ht="33.75" customHeight="1">
      <c r="A643" s="1">
        <v>764</v>
      </c>
      <c r="B643" s="1" t="s">
        <v>1957</v>
      </c>
      <c r="C643" s="1" t="s">
        <v>1696</v>
      </c>
      <c r="D643" s="4">
        <v>39860.359722222223</v>
      </c>
      <c r="E643" s="1" t="s">
        <v>54</v>
      </c>
      <c r="F643" s="1" t="s">
        <v>1809</v>
      </c>
      <c r="G643" s="5" t="s">
        <v>64</v>
      </c>
      <c r="H643" s="1" t="s">
        <v>218</v>
      </c>
      <c r="I643" s="1" t="s">
        <v>64</v>
      </c>
      <c r="J643" s="1"/>
      <c r="K643" s="1"/>
      <c r="L643" s="2" t="s">
        <v>1958</v>
      </c>
      <c r="M643" s="1"/>
      <c r="N643" s="1"/>
      <c r="O643" s="1"/>
      <c r="P643" s="1"/>
      <c r="Q643" s="1"/>
      <c r="R643" s="1"/>
      <c r="S643" s="1"/>
      <c r="T643" s="1"/>
      <c r="U643" s="1"/>
      <c r="V643" s="1"/>
      <c r="W643" s="1"/>
      <c r="X643" s="1"/>
      <c r="Y643" s="1"/>
      <c r="Z643" s="1"/>
    </row>
    <row r="644" spans="1:26" ht="33.75" customHeight="1">
      <c r="A644" s="1">
        <v>765</v>
      </c>
      <c r="B644" s="1" t="s">
        <v>1959</v>
      </c>
      <c r="C644" s="1" t="s">
        <v>1696</v>
      </c>
      <c r="D644" s="4">
        <v>39860.374305555553</v>
      </c>
      <c r="E644" s="1" t="s">
        <v>54</v>
      </c>
      <c r="F644" s="1"/>
      <c r="G644" s="5" t="s">
        <v>33</v>
      </c>
      <c r="H644" s="5" t="s">
        <v>34</v>
      </c>
      <c r="I644" s="1" t="s">
        <v>1605</v>
      </c>
      <c r="J644" s="1"/>
      <c r="K644" s="1" t="s">
        <v>1960</v>
      </c>
      <c r="L644" s="2" t="s">
        <v>1961</v>
      </c>
      <c r="M644" s="1"/>
      <c r="N644" s="1"/>
      <c r="O644" s="1"/>
      <c r="P644" s="1"/>
      <c r="Q644" s="1"/>
      <c r="R644" s="1"/>
      <c r="S644" s="1"/>
      <c r="T644" s="1"/>
      <c r="U644" s="1"/>
      <c r="V644" s="1"/>
      <c r="W644" s="1"/>
      <c r="X644" s="1"/>
      <c r="Y644" s="1"/>
      <c r="Z644" s="1"/>
    </row>
    <row r="645" spans="1:26" ht="33.75" customHeight="1">
      <c r="A645" s="1">
        <v>1805</v>
      </c>
      <c r="B645" s="1" t="s">
        <v>1962</v>
      </c>
      <c r="C645" s="1" t="s">
        <v>1814</v>
      </c>
      <c r="D645" s="4">
        <v>39860.377083333333</v>
      </c>
      <c r="E645" s="1" t="s">
        <v>196</v>
      </c>
      <c r="F645" s="1" t="s">
        <v>1948</v>
      </c>
      <c r="G645" s="5" t="s">
        <v>64</v>
      </c>
      <c r="H645" s="1" t="s">
        <v>263</v>
      </c>
      <c r="I645" s="1" t="s">
        <v>64</v>
      </c>
      <c r="J645" s="1"/>
      <c r="K645" s="1"/>
      <c r="L645" s="2" t="s">
        <v>1963</v>
      </c>
      <c r="M645" s="1"/>
      <c r="N645" s="1"/>
      <c r="O645" s="1"/>
      <c r="P645" s="1"/>
      <c r="Q645" s="1"/>
      <c r="R645" s="1"/>
      <c r="S645" s="1"/>
      <c r="T645" s="1"/>
      <c r="U645" s="1"/>
      <c r="V645" s="1"/>
      <c r="W645" s="1"/>
      <c r="X645" s="1"/>
      <c r="Y645" s="1"/>
      <c r="Z645" s="1"/>
    </row>
    <row r="646" spans="1:26" ht="33.75" customHeight="1">
      <c r="A646" s="1">
        <v>1806</v>
      </c>
      <c r="B646" s="1" t="s">
        <v>1964</v>
      </c>
      <c r="C646" s="1" t="s">
        <v>1814</v>
      </c>
      <c r="D646" s="4">
        <v>39860.381249999999</v>
      </c>
      <c r="E646" s="1" t="s">
        <v>196</v>
      </c>
      <c r="F646" s="1" t="s">
        <v>1948</v>
      </c>
      <c r="G646" s="5" t="s">
        <v>64</v>
      </c>
      <c r="H646" s="1"/>
      <c r="I646" s="1" t="s">
        <v>64</v>
      </c>
      <c r="J646" s="1"/>
      <c r="K646" s="1" t="s">
        <v>1965</v>
      </c>
      <c r="L646" s="2" t="s">
        <v>1966</v>
      </c>
      <c r="M646" s="1"/>
      <c r="N646" s="1"/>
      <c r="O646" s="1"/>
      <c r="P646" s="1"/>
      <c r="Q646" s="1"/>
      <c r="R646" s="1"/>
      <c r="S646" s="1"/>
      <c r="T646" s="1"/>
      <c r="U646" s="1"/>
      <c r="V646" s="1"/>
      <c r="W646" s="1"/>
      <c r="X646" s="1"/>
      <c r="Y646" s="1"/>
      <c r="Z646" s="1"/>
    </row>
    <row r="647" spans="1:26" ht="33.75" customHeight="1">
      <c r="A647" s="1">
        <v>1807</v>
      </c>
      <c r="B647" s="1" t="s">
        <v>1967</v>
      </c>
      <c r="C647" s="1" t="s">
        <v>1814</v>
      </c>
      <c r="D647" s="4">
        <v>39860.397916666669</v>
      </c>
      <c r="E647" s="1" t="s">
        <v>196</v>
      </c>
      <c r="F647" s="1"/>
      <c r="G647" s="5" t="s">
        <v>64</v>
      </c>
      <c r="H647" s="1"/>
      <c r="I647" s="1" t="s">
        <v>64</v>
      </c>
      <c r="J647" s="1"/>
      <c r="K647" s="1"/>
      <c r="L647" s="2" t="s">
        <v>1968</v>
      </c>
      <c r="M647" s="1"/>
      <c r="N647" s="1"/>
      <c r="O647" s="1"/>
      <c r="P647" s="1"/>
      <c r="Q647" s="1"/>
      <c r="R647" s="1"/>
      <c r="S647" s="1"/>
      <c r="T647" s="1"/>
      <c r="U647" s="1"/>
      <c r="V647" s="1"/>
      <c r="W647" s="1"/>
      <c r="X647" s="1"/>
      <c r="Y647" s="1"/>
      <c r="Z647" s="1"/>
    </row>
    <row r="648" spans="1:26" ht="33.75" customHeight="1">
      <c r="A648" s="1">
        <v>1808</v>
      </c>
      <c r="B648" s="1" t="s">
        <v>1969</v>
      </c>
      <c r="C648" s="1" t="s">
        <v>1814</v>
      </c>
      <c r="D648" s="4">
        <v>39860.40625</v>
      </c>
      <c r="E648" s="1" t="s">
        <v>1887</v>
      </c>
      <c r="F648" s="1"/>
      <c r="G648" s="5" t="s">
        <v>64</v>
      </c>
      <c r="H648" s="5" t="s">
        <v>375</v>
      </c>
      <c r="I648" s="1" t="s">
        <v>900</v>
      </c>
      <c r="J648" s="1"/>
      <c r="K648" s="1"/>
      <c r="L648" s="2" t="s">
        <v>1970</v>
      </c>
      <c r="M648" s="1"/>
      <c r="N648" s="1"/>
      <c r="O648" s="1"/>
      <c r="P648" s="1"/>
      <c r="Q648" s="1"/>
      <c r="R648" s="1"/>
      <c r="S648" s="1"/>
      <c r="T648" s="1"/>
      <c r="U648" s="1"/>
      <c r="V648" s="1"/>
      <c r="W648" s="1"/>
      <c r="X648" s="1"/>
      <c r="Y648" s="1"/>
      <c r="Z648" s="1"/>
    </row>
    <row r="649" spans="1:26" ht="33.75" customHeight="1">
      <c r="A649" s="1">
        <v>1809</v>
      </c>
      <c r="B649" s="1" t="s">
        <v>1971</v>
      </c>
      <c r="C649" s="1" t="s">
        <v>1814</v>
      </c>
      <c r="D649" s="4">
        <v>39860.411111111112</v>
      </c>
      <c r="E649" s="1" t="s">
        <v>1887</v>
      </c>
      <c r="F649" s="1"/>
      <c r="G649" s="5" t="s">
        <v>15</v>
      </c>
      <c r="H649" s="5" t="s">
        <v>150</v>
      </c>
      <c r="I649" s="1" t="s">
        <v>999</v>
      </c>
      <c r="J649" s="1"/>
      <c r="K649" s="1" t="s">
        <v>1972</v>
      </c>
      <c r="L649" s="2" t="s">
        <v>1973</v>
      </c>
      <c r="M649" s="1"/>
      <c r="N649" s="1"/>
      <c r="O649" s="1"/>
      <c r="P649" s="1"/>
      <c r="Q649" s="1"/>
      <c r="R649" s="1"/>
      <c r="S649" s="1"/>
      <c r="T649" s="1"/>
      <c r="U649" s="1"/>
      <c r="V649" s="1"/>
      <c r="W649" s="1"/>
      <c r="X649" s="1"/>
      <c r="Y649" s="1"/>
      <c r="Z649" s="1"/>
    </row>
    <row r="650" spans="1:26" ht="33.75" customHeight="1">
      <c r="A650" s="1">
        <v>1810</v>
      </c>
      <c r="B650" s="1" t="s">
        <v>1974</v>
      </c>
      <c r="C650" s="1" t="s">
        <v>1814</v>
      </c>
      <c r="D650" s="4">
        <v>39860.444444444445</v>
      </c>
      <c r="E650" s="1" t="s">
        <v>54</v>
      </c>
      <c r="F650" s="1"/>
      <c r="G650" s="5" t="s">
        <v>33</v>
      </c>
      <c r="H650" s="5" t="s">
        <v>34</v>
      </c>
      <c r="I650" s="1" t="s">
        <v>1605</v>
      </c>
      <c r="J650" s="1"/>
      <c r="K650" s="1" t="s">
        <v>1975</v>
      </c>
      <c r="L650" s="2" t="s">
        <v>1976</v>
      </c>
      <c r="M650" s="1"/>
      <c r="N650" s="1"/>
      <c r="O650" s="1"/>
      <c r="P650" s="1"/>
      <c r="Q650" s="1"/>
      <c r="R650" s="1"/>
      <c r="S650" s="1"/>
      <c r="T650" s="1"/>
      <c r="U650" s="1"/>
      <c r="V650" s="1"/>
      <c r="W650" s="1"/>
      <c r="X650" s="1"/>
      <c r="Y650" s="1"/>
      <c r="Z650" s="1"/>
    </row>
    <row r="651" spans="1:26" ht="33.75" customHeight="1">
      <c r="A651" s="1">
        <v>1811</v>
      </c>
      <c r="B651" s="1" t="s">
        <v>1977</v>
      </c>
      <c r="C651" s="1" t="s">
        <v>1814</v>
      </c>
      <c r="D651" s="4">
        <v>39860.540277777778</v>
      </c>
      <c r="E651" s="1" t="s">
        <v>474</v>
      </c>
      <c r="F651" s="1" t="s">
        <v>1978</v>
      </c>
      <c r="G651" s="5" t="s">
        <v>26</v>
      </c>
      <c r="H651" s="5" t="s">
        <v>133</v>
      </c>
      <c r="I651" s="1" t="s">
        <v>1979</v>
      </c>
      <c r="J651" s="1"/>
      <c r="K651" s="1"/>
      <c r="L651" s="2" t="s">
        <v>1980</v>
      </c>
      <c r="M651" s="1"/>
      <c r="N651" s="1"/>
      <c r="O651" s="1"/>
      <c r="P651" s="1"/>
      <c r="Q651" s="1"/>
      <c r="R651" s="1"/>
      <c r="S651" s="1"/>
      <c r="T651" s="1"/>
      <c r="U651" s="1"/>
      <c r="V651" s="1"/>
      <c r="W651" s="1"/>
      <c r="X651" s="1"/>
      <c r="Y651" s="1"/>
      <c r="Z651" s="1"/>
    </row>
    <row r="652" spans="1:26" ht="33.75" customHeight="1">
      <c r="A652" s="1">
        <v>1721</v>
      </c>
      <c r="B652" s="1" t="s">
        <v>1981</v>
      </c>
      <c r="C652" s="1" t="s">
        <v>1519</v>
      </c>
      <c r="D652" s="4">
        <v>39860.541666666664</v>
      </c>
      <c r="E652" s="1" t="s">
        <v>320</v>
      </c>
      <c r="F652" s="1"/>
      <c r="G652" s="5" t="s">
        <v>15</v>
      </c>
      <c r="H652" s="5" t="s">
        <v>402</v>
      </c>
      <c r="I652" s="1" t="s">
        <v>576</v>
      </c>
      <c r="J652" s="1"/>
      <c r="K652" s="1" t="s">
        <v>1982</v>
      </c>
      <c r="L652" s="2" t="s">
        <v>1983</v>
      </c>
      <c r="M652" s="1"/>
      <c r="N652" s="1"/>
      <c r="O652" s="1"/>
      <c r="P652" s="1"/>
      <c r="Q652" s="1"/>
      <c r="R652" s="1"/>
      <c r="S652" s="1"/>
      <c r="T652" s="1"/>
      <c r="U652" s="1"/>
      <c r="V652" s="1"/>
      <c r="W652" s="1"/>
      <c r="X652" s="1"/>
      <c r="Y652" s="1"/>
      <c r="Z652" s="1"/>
    </row>
    <row r="653" spans="1:26" ht="33.75" customHeight="1">
      <c r="A653" s="1">
        <v>1812</v>
      </c>
      <c r="B653" s="1" t="s">
        <v>1984</v>
      </c>
      <c r="C653" s="1" t="s">
        <v>1814</v>
      </c>
      <c r="D653" s="4">
        <v>39860.587500000001</v>
      </c>
      <c r="E653" s="1" t="s">
        <v>84</v>
      </c>
      <c r="F653" s="1"/>
      <c r="G653" s="1" t="s">
        <v>64</v>
      </c>
      <c r="H653" s="1" t="s">
        <v>263</v>
      </c>
      <c r="I653" s="1" t="s">
        <v>238</v>
      </c>
      <c r="J653" s="1" t="s">
        <v>1985</v>
      </c>
      <c r="K653" s="1" t="s">
        <v>1986</v>
      </c>
      <c r="L653" s="2" t="s">
        <v>1987</v>
      </c>
      <c r="M653" s="1"/>
      <c r="N653" s="1"/>
      <c r="O653" s="1"/>
      <c r="P653" s="1"/>
      <c r="Q653" s="1"/>
      <c r="R653" s="1"/>
      <c r="S653" s="1"/>
      <c r="T653" s="1"/>
      <c r="U653" s="1"/>
      <c r="V653" s="1"/>
      <c r="W653" s="1"/>
      <c r="X653" s="1"/>
      <c r="Y653" s="1"/>
      <c r="Z653" s="1"/>
    </row>
    <row r="654" spans="1:26" ht="33.75" customHeight="1">
      <c r="A654" s="1">
        <v>766</v>
      </c>
      <c r="B654" s="1" t="s">
        <v>1988</v>
      </c>
      <c r="C654" s="1" t="s">
        <v>1696</v>
      </c>
      <c r="D654" s="4">
        <v>39860.598611111112</v>
      </c>
      <c r="E654" s="1" t="s">
        <v>314</v>
      </c>
      <c r="F654" s="1"/>
      <c r="G654" s="5" t="s">
        <v>64</v>
      </c>
      <c r="H654" s="1"/>
      <c r="I654" s="1" t="s">
        <v>64</v>
      </c>
      <c r="J654" s="1" t="s">
        <v>673</v>
      </c>
      <c r="K654" s="1"/>
      <c r="L654" s="2" t="s">
        <v>1989</v>
      </c>
      <c r="M654" s="1"/>
      <c r="N654" s="1"/>
      <c r="O654" s="1"/>
      <c r="P654" s="1"/>
      <c r="Q654" s="1"/>
      <c r="R654" s="1"/>
      <c r="S654" s="1"/>
      <c r="T654" s="1"/>
      <c r="U654" s="1"/>
      <c r="V654" s="1"/>
      <c r="W654" s="1"/>
      <c r="X654" s="1"/>
      <c r="Y654" s="1"/>
      <c r="Z654" s="1"/>
    </row>
    <row r="655" spans="1:26" ht="33.75" customHeight="1">
      <c r="A655" s="1">
        <v>1722</v>
      </c>
      <c r="B655" s="1" t="s">
        <v>1990</v>
      </c>
      <c r="C655" s="1" t="s">
        <v>1519</v>
      </c>
      <c r="D655" s="4">
        <v>39860.624305555553</v>
      </c>
      <c r="E655" s="1" t="s">
        <v>54</v>
      </c>
      <c r="F655" s="1"/>
      <c r="G655" s="5" t="s">
        <v>26</v>
      </c>
      <c r="H655" s="5" t="s">
        <v>133</v>
      </c>
      <c r="I655" s="1" t="s">
        <v>28</v>
      </c>
      <c r="J655" s="1" t="s">
        <v>134</v>
      </c>
      <c r="K655" s="1" t="s">
        <v>1991</v>
      </c>
      <c r="L655" s="2" t="s">
        <v>1992</v>
      </c>
      <c r="M655" s="1"/>
      <c r="N655" s="1"/>
      <c r="O655" s="1"/>
      <c r="P655" s="1"/>
      <c r="Q655" s="1"/>
      <c r="R655" s="1"/>
      <c r="S655" s="1"/>
      <c r="T655" s="1"/>
      <c r="U655" s="1"/>
      <c r="V655" s="1"/>
      <c r="W655" s="1"/>
      <c r="X655" s="1"/>
      <c r="Y655" s="1"/>
      <c r="Z655" s="1"/>
    </row>
    <row r="656" spans="1:26" ht="33.75" customHeight="1">
      <c r="A656" s="1">
        <v>767</v>
      </c>
      <c r="B656" s="1" t="s">
        <v>1993</v>
      </c>
      <c r="C656" s="1" t="s">
        <v>1696</v>
      </c>
      <c r="D656" s="4">
        <v>39860.637499999997</v>
      </c>
      <c r="E656" s="1" t="s">
        <v>320</v>
      </c>
      <c r="F656" s="1" t="s">
        <v>1957</v>
      </c>
      <c r="G656" s="5" t="s">
        <v>26</v>
      </c>
      <c r="H656" s="5" t="s">
        <v>27</v>
      </c>
      <c r="I656" s="1" t="s">
        <v>28</v>
      </c>
      <c r="J656" s="1" t="s">
        <v>259</v>
      </c>
      <c r="K656" s="1"/>
      <c r="L656" s="2" t="s">
        <v>1994</v>
      </c>
      <c r="M656" s="1"/>
      <c r="N656" s="1"/>
      <c r="O656" s="1"/>
      <c r="P656" s="1"/>
      <c r="Q656" s="1"/>
      <c r="R656" s="1"/>
      <c r="S656" s="1"/>
      <c r="T656" s="1"/>
      <c r="U656" s="1"/>
      <c r="V656" s="1"/>
      <c r="W656" s="1"/>
      <c r="X656" s="1"/>
      <c r="Y656" s="1"/>
      <c r="Z656" s="1"/>
    </row>
    <row r="657" spans="1:26" ht="33.75" customHeight="1">
      <c r="A657" s="1">
        <v>1723</v>
      </c>
      <c r="B657" s="1" t="s">
        <v>1995</v>
      </c>
      <c r="C657" s="1" t="s">
        <v>1519</v>
      </c>
      <c r="D657" s="4">
        <v>39860.63958333333</v>
      </c>
      <c r="E657" s="1" t="s">
        <v>54</v>
      </c>
      <c r="F657" s="1" t="s">
        <v>1990</v>
      </c>
      <c r="G657" s="5" t="s">
        <v>26</v>
      </c>
      <c r="H657" s="5" t="s">
        <v>133</v>
      </c>
      <c r="I657" s="1" t="s">
        <v>28</v>
      </c>
      <c r="J657" s="1" t="s">
        <v>134</v>
      </c>
      <c r="K657" s="1" t="s">
        <v>1996</v>
      </c>
      <c r="L657" s="2" t="s">
        <v>1997</v>
      </c>
      <c r="M657" s="1"/>
      <c r="N657" s="1"/>
      <c r="O657" s="1"/>
      <c r="P657" s="1"/>
      <c r="Q657" s="1"/>
      <c r="R657" s="1"/>
      <c r="S657" s="1"/>
      <c r="T657" s="1"/>
      <c r="U657" s="1"/>
      <c r="V657" s="1"/>
      <c r="W657" s="1"/>
      <c r="X657" s="1"/>
      <c r="Y657" s="1"/>
      <c r="Z657" s="1"/>
    </row>
    <row r="658" spans="1:26" ht="33.75" customHeight="1">
      <c r="A658" s="1">
        <v>768</v>
      </c>
      <c r="B658" s="1" t="s">
        <v>1998</v>
      </c>
      <c r="C658" s="1" t="s">
        <v>1696</v>
      </c>
      <c r="D658" s="4">
        <v>39860.661111111112</v>
      </c>
      <c r="E658" s="1" t="s">
        <v>320</v>
      </c>
      <c r="F658" s="1" t="s">
        <v>1955</v>
      </c>
      <c r="G658" s="5" t="s">
        <v>26</v>
      </c>
      <c r="H658" s="5" t="s">
        <v>27</v>
      </c>
      <c r="I658" s="1" t="s">
        <v>28</v>
      </c>
      <c r="J658" s="1" t="s">
        <v>259</v>
      </c>
      <c r="K658" s="1"/>
      <c r="L658" s="2" t="s">
        <v>1999</v>
      </c>
      <c r="M658" s="1"/>
      <c r="N658" s="1"/>
      <c r="O658" s="1"/>
      <c r="P658" s="1"/>
      <c r="Q658" s="1"/>
      <c r="R658" s="1"/>
      <c r="S658" s="1"/>
      <c r="T658" s="1"/>
      <c r="U658" s="1"/>
      <c r="V658" s="1"/>
      <c r="W658" s="1"/>
      <c r="X658" s="1"/>
      <c r="Y658" s="1"/>
      <c r="Z658" s="1"/>
    </row>
    <row r="659" spans="1:26" ht="33.75" customHeight="1">
      <c r="A659" s="1">
        <v>769</v>
      </c>
      <c r="B659" s="1" t="s">
        <v>2000</v>
      </c>
      <c r="C659" s="1" t="s">
        <v>1696</v>
      </c>
      <c r="D659" s="4">
        <v>39860.661805555559</v>
      </c>
      <c r="E659" s="1" t="s">
        <v>320</v>
      </c>
      <c r="F659" s="1" t="s">
        <v>1998</v>
      </c>
      <c r="G659" s="5" t="s">
        <v>64</v>
      </c>
      <c r="H659" s="1"/>
      <c r="I659" s="1" t="s">
        <v>64</v>
      </c>
      <c r="J659" s="1" t="s">
        <v>2001</v>
      </c>
      <c r="K659" s="1" t="s">
        <v>2002</v>
      </c>
      <c r="L659" s="2" t="s">
        <v>2003</v>
      </c>
      <c r="M659" s="1"/>
      <c r="N659" s="1"/>
      <c r="O659" s="1"/>
      <c r="P659" s="1"/>
      <c r="Q659" s="1"/>
      <c r="R659" s="1"/>
      <c r="S659" s="1"/>
      <c r="T659" s="1"/>
      <c r="U659" s="1"/>
      <c r="V659" s="1"/>
      <c r="W659" s="1"/>
      <c r="X659" s="1"/>
      <c r="Y659" s="1"/>
      <c r="Z659" s="1"/>
    </row>
    <row r="660" spans="1:26" ht="33.75" customHeight="1">
      <c r="A660" s="1">
        <v>770</v>
      </c>
      <c r="B660" s="1" t="s">
        <v>2004</v>
      </c>
      <c r="C660" s="1" t="s">
        <v>1696</v>
      </c>
      <c r="D660" s="4">
        <v>39860.715277777781</v>
      </c>
      <c r="E660" s="1" t="s">
        <v>320</v>
      </c>
      <c r="F660" s="1" t="s">
        <v>1993</v>
      </c>
      <c r="G660" s="5" t="s">
        <v>64</v>
      </c>
      <c r="H660" s="1"/>
      <c r="I660" s="1" t="s">
        <v>64</v>
      </c>
      <c r="J660" s="1" t="s">
        <v>2001</v>
      </c>
      <c r="K660" s="1"/>
      <c r="L660" s="2" t="s">
        <v>2005</v>
      </c>
      <c r="M660" s="1"/>
      <c r="N660" s="1"/>
      <c r="O660" s="1"/>
      <c r="P660" s="1"/>
      <c r="Q660" s="1"/>
      <c r="R660" s="1"/>
      <c r="S660" s="1"/>
      <c r="T660" s="1"/>
      <c r="U660" s="1"/>
      <c r="V660" s="1"/>
      <c r="W660" s="1"/>
      <c r="X660" s="1"/>
      <c r="Y660" s="1"/>
      <c r="Z660" s="1"/>
    </row>
    <row r="661" spans="1:26" ht="33.75" customHeight="1">
      <c r="A661" s="1">
        <v>771</v>
      </c>
      <c r="B661" s="1" t="s">
        <v>2006</v>
      </c>
      <c r="C661" s="1" t="s">
        <v>1696</v>
      </c>
      <c r="D661" s="4">
        <v>39860.715277777781</v>
      </c>
      <c r="E661" s="1" t="s">
        <v>320</v>
      </c>
      <c r="F661" s="1" t="s">
        <v>1993</v>
      </c>
      <c r="G661" s="5" t="s">
        <v>64</v>
      </c>
      <c r="H661" s="1"/>
      <c r="I661" s="1" t="s">
        <v>64</v>
      </c>
      <c r="J661" s="1" t="s">
        <v>2001</v>
      </c>
      <c r="K661" s="1" t="s">
        <v>2007</v>
      </c>
      <c r="L661" s="2" t="s">
        <v>2008</v>
      </c>
      <c r="M661" s="1"/>
      <c r="N661" s="1"/>
      <c r="O661" s="1"/>
      <c r="P661" s="1"/>
      <c r="Q661" s="1"/>
      <c r="R661" s="1"/>
      <c r="S661" s="1"/>
      <c r="T661" s="1"/>
      <c r="U661" s="1"/>
      <c r="V661" s="1"/>
      <c r="W661" s="1"/>
      <c r="X661" s="1"/>
      <c r="Y661" s="1"/>
      <c r="Z661" s="1"/>
    </row>
    <row r="662" spans="1:26" ht="33.75" customHeight="1">
      <c r="A662" s="1">
        <v>1813</v>
      </c>
      <c r="B662" s="1" t="s">
        <v>2009</v>
      </c>
      <c r="C662" s="1" t="s">
        <v>1814</v>
      </c>
      <c r="D662" s="4">
        <v>39860.775694444441</v>
      </c>
      <c r="E662" s="1" t="s">
        <v>2010</v>
      </c>
      <c r="F662" s="1"/>
      <c r="G662" s="6" t="s">
        <v>78</v>
      </c>
      <c r="H662" s="5" t="s">
        <v>79</v>
      </c>
      <c r="I662" s="1" t="s">
        <v>480</v>
      </c>
      <c r="J662" s="1" t="s">
        <v>1063</v>
      </c>
      <c r="K662" s="1" t="s">
        <v>2011</v>
      </c>
      <c r="L662" s="2" t="s">
        <v>2012</v>
      </c>
      <c r="M662" s="1"/>
      <c r="N662" s="1"/>
      <c r="O662" s="1"/>
      <c r="P662" s="1"/>
      <c r="Q662" s="1"/>
      <c r="R662" s="1"/>
      <c r="S662" s="1"/>
      <c r="T662" s="1"/>
      <c r="U662" s="1"/>
      <c r="V662" s="1"/>
      <c r="W662" s="1"/>
      <c r="X662" s="1"/>
      <c r="Y662" s="1"/>
      <c r="Z662" s="1"/>
    </row>
    <row r="663" spans="1:26" ht="33.75" customHeight="1">
      <c r="A663" s="1">
        <v>1814</v>
      </c>
      <c r="B663" s="1" t="s">
        <v>2013</v>
      </c>
      <c r="C663" s="1" t="s">
        <v>1814</v>
      </c>
      <c r="D663" s="4">
        <v>39860.777777777781</v>
      </c>
      <c r="E663" s="1" t="s">
        <v>1089</v>
      </c>
      <c r="F663" s="1" t="s">
        <v>2014</v>
      </c>
      <c r="G663" s="5" t="s">
        <v>64</v>
      </c>
      <c r="H663" s="5" t="s">
        <v>263</v>
      </c>
      <c r="I663" s="1" t="s">
        <v>2015</v>
      </c>
      <c r="J663" s="1"/>
      <c r="K663" s="1"/>
      <c r="L663" s="2" t="s">
        <v>2016</v>
      </c>
      <c r="M663" s="1"/>
      <c r="N663" s="1"/>
      <c r="O663" s="1"/>
      <c r="P663" s="1"/>
      <c r="Q663" s="1"/>
      <c r="R663" s="1"/>
      <c r="S663" s="1"/>
      <c r="T663" s="1"/>
      <c r="U663" s="1"/>
      <c r="V663" s="1"/>
      <c r="W663" s="1"/>
      <c r="X663" s="1"/>
      <c r="Y663" s="1"/>
      <c r="Z663" s="1"/>
    </row>
    <row r="664" spans="1:26" ht="33.75" customHeight="1">
      <c r="A664" s="1">
        <v>1815</v>
      </c>
      <c r="B664" s="1" t="s">
        <v>2017</v>
      </c>
      <c r="C664" s="1" t="s">
        <v>1814</v>
      </c>
      <c r="D664" s="4">
        <v>39860.789583333331</v>
      </c>
      <c r="E664" s="1" t="s">
        <v>54</v>
      </c>
      <c r="F664" s="1"/>
      <c r="G664" s="5" t="s">
        <v>64</v>
      </c>
      <c r="H664" s="5" t="s">
        <v>684</v>
      </c>
      <c r="I664" s="1" t="s">
        <v>2018</v>
      </c>
      <c r="J664" s="1"/>
      <c r="K664" s="1" t="s">
        <v>2019</v>
      </c>
      <c r="L664" s="2" t="s">
        <v>2020</v>
      </c>
      <c r="M664" s="1"/>
      <c r="N664" s="1"/>
      <c r="O664" s="1"/>
      <c r="P664" s="1"/>
      <c r="Q664" s="1"/>
      <c r="R664" s="1"/>
      <c r="S664" s="1"/>
      <c r="T664" s="1"/>
      <c r="U664" s="1"/>
      <c r="V664" s="1"/>
      <c r="W664" s="1"/>
      <c r="X664" s="1"/>
      <c r="Y664" s="1"/>
      <c r="Z664" s="1"/>
    </row>
    <row r="665" spans="1:26" ht="33.75" customHeight="1">
      <c r="A665" s="1">
        <v>1816</v>
      </c>
      <c r="B665" s="1" t="s">
        <v>2021</v>
      </c>
      <c r="C665" s="1" t="s">
        <v>1814</v>
      </c>
      <c r="D665" s="4">
        <v>39860.793749999997</v>
      </c>
      <c r="E665" s="1" t="s">
        <v>2010</v>
      </c>
      <c r="F665" s="1" t="s">
        <v>2022</v>
      </c>
      <c r="G665" s="5" t="s">
        <v>26</v>
      </c>
      <c r="H665" s="5" t="s">
        <v>27</v>
      </c>
      <c r="I665" s="1" t="s">
        <v>28</v>
      </c>
      <c r="J665" s="1" t="s">
        <v>29</v>
      </c>
      <c r="K665" s="1"/>
      <c r="L665" s="2" t="s">
        <v>2023</v>
      </c>
      <c r="M665" s="1"/>
      <c r="N665" s="1"/>
      <c r="O665" s="1"/>
      <c r="P665" s="1"/>
      <c r="Q665" s="1"/>
      <c r="R665" s="1"/>
      <c r="S665" s="1"/>
      <c r="T665" s="1"/>
      <c r="U665" s="1"/>
      <c r="V665" s="1"/>
      <c r="W665" s="1"/>
      <c r="X665" s="1"/>
      <c r="Y665" s="1"/>
      <c r="Z665" s="1"/>
    </row>
    <row r="666" spans="1:26" ht="33.75" customHeight="1">
      <c r="A666" s="1">
        <v>1817</v>
      </c>
      <c r="B666" s="1" t="s">
        <v>2024</v>
      </c>
      <c r="C666" s="1" t="s">
        <v>1814</v>
      </c>
      <c r="D666" s="4">
        <v>39860.912499999999</v>
      </c>
      <c r="E666" s="1" t="s">
        <v>1089</v>
      </c>
      <c r="F666" s="1"/>
      <c r="G666" s="5" t="s">
        <v>64</v>
      </c>
      <c r="H666" s="1"/>
      <c r="I666" s="1" t="s">
        <v>64</v>
      </c>
      <c r="J666" s="1"/>
      <c r="K666" s="1"/>
      <c r="L666" s="2" t="s">
        <v>2025</v>
      </c>
      <c r="M666" s="1"/>
      <c r="N666" s="1"/>
      <c r="O666" s="1"/>
      <c r="P666" s="1"/>
      <c r="Q666" s="1"/>
      <c r="R666" s="1"/>
      <c r="S666" s="1"/>
      <c r="T666" s="1"/>
      <c r="U666" s="1"/>
      <c r="V666" s="1"/>
      <c r="W666" s="1"/>
      <c r="X666" s="1"/>
      <c r="Y666" s="1"/>
      <c r="Z666" s="1"/>
    </row>
    <row r="667" spans="1:26" ht="33.75" customHeight="1">
      <c r="A667" s="1">
        <v>772</v>
      </c>
      <c r="B667" s="1" t="s">
        <v>2026</v>
      </c>
      <c r="C667" s="1" t="s">
        <v>1696</v>
      </c>
      <c r="D667" s="4">
        <v>39860.914583333331</v>
      </c>
      <c r="E667" s="1" t="s">
        <v>255</v>
      </c>
      <c r="F667" s="1"/>
      <c r="G667" s="5" t="s">
        <v>26</v>
      </c>
      <c r="H667" s="5" t="s">
        <v>133</v>
      </c>
      <c r="I667" s="1" t="s">
        <v>28</v>
      </c>
      <c r="J667" s="1" t="s">
        <v>134</v>
      </c>
      <c r="K667" s="1" t="s">
        <v>2027</v>
      </c>
      <c r="L667" s="2" t="s">
        <v>2028</v>
      </c>
      <c r="M667" s="1"/>
      <c r="N667" s="1"/>
      <c r="O667" s="1"/>
      <c r="P667" s="1"/>
      <c r="Q667" s="1"/>
      <c r="R667" s="1"/>
      <c r="S667" s="1"/>
      <c r="T667" s="1"/>
      <c r="U667" s="1"/>
      <c r="V667" s="1"/>
      <c r="W667" s="1"/>
      <c r="X667" s="1"/>
      <c r="Y667" s="1"/>
      <c r="Z667" s="1"/>
    </row>
    <row r="668" spans="1:26" ht="33.75" customHeight="1">
      <c r="A668" s="1">
        <v>774</v>
      </c>
      <c r="B668" s="1" t="s">
        <v>2029</v>
      </c>
      <c r="C668" s="1" t="s">
        <v>1696</v>
      </c>
      <c r="D668" s="4">
        <v>39860.965277777781</v>
      </c>
      <c r="E668" s="1" t="s">
        <v>1528</v>
      </c>
      <c r="F668" s="1"/>
      <c r="G668" s="5" t="s">
        <v>26</v>
      </c>
      <c r="H668" s="5" t="s">
        <v>133</v>
      </c>
      <c r="I668" s="1" t="s">
        <v>28</v>
      </c>
      <c r="J668" s="1" t="s">
        <v>134</v>
      </c>
      <c r="K668" s="1" t="s">
        <v>2030</v>
      </c>
      <c r="L668" s="2" t="s">
        <v>2031</v>
      </c>
      <c r="M668" s="1"/>
      <c r="N668" s="1"/>
      <c r="O668" s="1"/>
      <c r="P668" s="1"/>
      <c r="Q668" s="1"/>
      <c r="R668" s="1"/>
      <c r="S668" s="1"/>
      <c r="T668" s="1"/>
      <c r="U668" s="1"/>
      <c r="V668" s="1"/>
      <c r="W668" s="1"/>
      <c r="X668" s="1"/>
      <c r="Y668" s="1"/>
      <c r="Z668" s="1"/>
    </row>
    <row r="669" spans="1:26" ht="33.75" customHeight="1">
      <c r="A669" s="1">
        <v>1818</v>
      </c>
      <c r="B669" s="1" t="s">
        <v>2032</v>
      </c>
      <c r="C669" s="1" t="s">
        <v>1814</v>
      </c>
      <c r="D669" s="4">
        <v>39860.946527777778</v>
      </c>
      <c r="E669" s="1" t="s">
        <v>1089</v>
      </c>
      <c r="F669" s="1"/>
      <c r="G669" s="5" t="s">
        <v>64</v>
      </c>
      <c r="H669" s="5" t="s">
        <v>179</v>
      </c>
      <c r="I669" s="1" t="s">
        <v>179</v>
      </c>
      <c r="J669" s="1"/>
      <c r="K669" s="1"/>
      <c r="L669" s="2" t="s">
        <v>2033</v>
      </c>
      <c r="M669" s="1"/>
      <c r="N669" s="1"/>
      <c r="O669" s="1"/>
      <c r="P669" s="1"/>
      <c r="Q669" s="1"/>
      <c r="R669" s="1"/>
      <c r="S669" s="1"/>
      <c r="T669" s="1"/>
      <c r="U669" s="1"/>
      <c r="V669" s="1"/>
      <c r="W669" s="1"/>
      <c r="X669" s="1"/>
      <c r="Y669" s="1"/>
      <c r="Z669" s="1"/>
    </row>
    <row r="670" spans="1:26" ht="33.75" customHeight="1">
      <c r="A670" s="1">
        <v>785</v>
      </c>
      <c r="B670" s="1" t="s">
        <v>2034</v>
      </c>
      <c r="C670" s="1" t="s">
        <v>1696</v>
      </c>
      <c r="D670" s="4">
        <v>39861.888888888891</v>
      </c>
      <c r="E670" s="1" t="s">
        <v>1528</v>
      </c>
      <c r="F670" s="1"/>
      <c r="G670" s="1" t="s">
        <v>64</v>
      </c>
      <c r="H670" s="1" t="s">
        <v>263</v>
      </c>
      <c r="I670" s="1" t="s">
        <v>238</v>
      </c>
      <c r="J670" s="1" t="s">
        <v>1985</v>
      </c>
      <c r="K670" s="1" t="s">
        <v>2035</v>
      </c>
      <c r="L670" s="2" t="s">
        <v>2036</v>
      </c>
      <c r="M670" s="1"/>
      <c r="N670" s="1"/>
      <c r="O670" s="1"/>
      <c r="P670" s="1"/>
      <c r="Q670" s="1"/>
      <c r="R670" s="1"/>
      <c r="S670" s="1"/>
      <c r="T670" s="1"/>
      <c r="U670" s="1"/>
      <c r="V670" s="1"/>
      <c r="W670" s="1"/>
      <c r="X670" s="1"/>
      <c r="Y670" s="1"/>
      <c r="Z670" s="1"/>
    </row>
    <row r="671" spans="1:26" ht="33.75" customHeight="1">
      <c r="A671" s="1">
        <v>775</v>
      </c>
      <c r="B671" s="1" t="s">
        <v>2037</v>
      </c>
      <c r="C671" s="1" t="s">
        <v>1696</v>
      </c>
      <c r="D671" s="4">
        <v>39861.005555555559</v>
      </c>
      <c r="E671" s="1" t="s">
        <v>196</v>
      </c>
      <c r="F671" s="1">
        <v>341</v>
      </c>
      <c r="G671" s="1" t="s">
        <v>64</v>
      </c>
      <c r="H671" s="5" t="s">
        <v>218</v>
      </c>
      <c r="I671" s="1" t="s">
        <v>2038</v>
      </c>
      <c r="J671" s="1"/>
      <c r="K671" s="1"/>
      <c r="L671" s="2" t="s">
        <v>2039</v>
      </c>
      <c r="M671" s="1"/>
      <c r="N671" s="1"/>
      <c r="O671" s="1"/>
      <c r="P671" s="1"/>
      <c r="Q671" s="1"/>
      <c r="R671" s="1"/>
      <c r="S671" s="1"/>
      <c r="T671" s="1"/>
      <c r="U671" s="1"/>
      <c r="V671" s="1"/>
      <c r="W671" s="1"/>
      <c r="X671" s="1"/>
      <c r="Y671" s="1"/>
      <c r="Z671" s="1"/>
    </row>
    <row r="672" spans="1:26" ht="33.75" customHeight="1">
      <c r="A672" s="1">
        <v>776</v>
      </c>
      <c r="B672" s="1" t="s">
        <v>2040</v>
      </c>
      <c r="C672" s="1" t="s">
        <v>1696</v>
      </c>
      <c r="D672" s="4">
        <v>39861.02847222222</v>
      </c>
      <c r="E672" s="1" t="s">
        <v>196</v>
      </c>
      <c r="F672" s="1" t="s">
        <v>2037</v>
      </c>
      <c r="G672" s="5" t="s">
        <v>64</v>
      </c>
      <c r="H672" s="5" t="s">
        <v>65</v>
      </c>
      <c r="I672" s="1" t="s">
        <v>2041</v>
      </c>
      <c r="J672" s="1"/>
      <c r="K672" s="1" t="s">
        <v>2042</v>
      </c>
      <c r="L672" s="2" t="s">
        <v>2043</v>
      </c>
      <c r="M672" s="1"/>
      <c r="N672" s="1"/>
      <c r="O672" s="1"/>
      <c r="P672" s="1"/>
      <c r="Q672" s="1"/>
      <c r="R672" s="1"/>
      <c r="S672" s="1"/>
      <c r="T672" s="1"/>
      <c r="U672" s="1"/>
      <c r="V672" s="1"/>
      <c r="W672" s="1"/>
      <c r="X672" s="1"/>
      <c r="Y672" s="1"/>
      <c r="Z672" s="1"/>
    </row>
    <row r="673" spans="1:26" ht="33.75" customHeight="1">
      <c r="A673" s="1">
        <v>1819</v>
      </c>
      <c r="B673" s="1" t="s">
        <v>2044</v>
      </c>
      <c r="C673" s="1" t="s">
        <v>1814</v>
      </c>
      <c r="D673" s="4">
        <v>39861.345833333333</v>
      </c>
      <c r="E673" s="1" t="s">
        <v>196</v>
      </c>
      <c r="F673" s="1" t="s">
        <v>2032</v>
      </c>
      <c r="G673" s="5" t="s">
        <v>64</v>
      </c>
      <c r="H673" s="5" t="s">
        <v>179</v>
      </c>
      <c r="I673" s="1" t="s">
        <v>179</v>
      </c>
      <c r="J673" s="1"/>
      <c r="K673" s="1"/>
      <c r="L673" s="2" t="s">
        <v>2045</v>
      </c>
      <c r="M673" s="1"/>
      <c r="N673" s="1"/>
      <c r="O673" s="1"/>
      <c r="P673" s="1"/>
      <c r="Q673" s="1"/>
      <c r="R673" s="1"/>
      <c r="S673" s="1"/>
      <c r="T673" s="1"/>
      <c r="U673" s="1"/>
      <c r="V673" s="1"/>
      <c r="W673" s="1"/>
      <c r="X673" s="1"/>
      <c r="Y673" s="1"/>
      <c r="Z673" s="1"/>
    </row>
    <row r="674" spans="1:26" ht="33.75" customHeight="1">
      <c r="A674" s="1">
        <v>1820</v>
      </c>
      <c r="B674" s="1" t="s">
        <v>2046</v>
      </c>
      <c r="C674" s="1" t="s">
        <v>1814</v>
      </c>
      <c r="D674" s="4">
        <v>39861.646527777775</v>
      </c>
      <c r="E674" s="1" t="s">
        <v>1241</v>
      </c>
      <c r="F674" s="1">
        <v>229</v>
      </c>
      <c r="G674" s="5" t="s">
        <v>64</v>
      </c>
      <c r="H674" s="5" t="s">
        <v>263</v>
      </c>
      <c r="I674" s="1" t="s">
        <v>1017</v>
      </c>
      <c r="J674" s="1"/>
      <c r="K674" s="1"/>
      <c r="L674" s="2" t="s">
        <v>2047</v>
      </c>
      <c r="M674" s="1"/>
      <c r="N674" s="1"/>
      <c r="O674" s="1"/>
      <c r="P674" s="1"/>
      <c r="Q674" s="1"/>
      <c r="R674" s="1"/>
      <c r="S674" s="1"/>
      <c r="T674" s="1"/>
      <c r="U674" s="1"/>
      <c r="V674" s="1"/>
      <c r="W674" s="1"/>
      <c r="X674" s="1"/>
      <c r="Y674" s="1"/>
      <c r="Z674" s="1"/>
    </row>
    <row r="675" spans="1:26" ht="33.75" customHeight="1">
      <c r="A675" s="1">
        <v>1821</v>
      </c>
      <c r="B675" s="1" t="s">
        <v>2048</v>
      </c>
      <c r="C675" s="1" t="s">
        <v>1814</v>
      </c>
      <c r="D675" s="4">
        <v>39861.762499999997</v>
      </c>
      <c r="E675" s="1" t="s">
        <v>1089</v>
      </c>
      <c r="F675" s="1" t="s">
        <v>2046</v>
      </c>
      <c r="G675" s="5" t="s">
        <v>15</v>
      </c>
      <c r="H675" s="5" t="s">
        <v>55</v>
      </c>
      <c r="I675" s="1" t="s">
        <v>2049</v>
      </c>
      <c r="J675" s="1"/>
      <c r="K675" s="1"/>
      <c r="L675" s="2" t="s">
        <v>2050</v>
      </c>
      <c r="M675" s="1"/>
      <c r="N675" s="1"/>
      <c r="O675" s="1"/>
      <c r="P675" s="1"/>
      <c r="Q675" s="1"/>
      <c r="R675" s="1"/>
      <c r="S675" s="1"/>
      <c r="T675" s="1"/>
      <c r="U675" s="1"/>
      <c r="V675" s="1"/>
      <c r="W675" s="1"/>
      <c r="X675" s="1"/>
      <c r="Y675" s="1"/>
      <c r="Z675" s="1"/>
    </row>
    <row r="676" spans="1:26" ht="33.75" customHeight="1">
      <c r="A676" s="1">
        <v>777</v>
      </c>
      <c r="B676" s="1" t="s">
        <v>2051</v>
      </c>
      <c r="C676" s="1" t="s">
        <v>1696</v>
      </c>
      <c r="D676" s="4">
        <v>39861.768750000003</v>
      </c>
      <c r="E676" s="1" t="s">
        <v>54</v>
      </c>
      <c r="F676" s="1" t="s">
        <v>2040</v>
      </c>
      <c r="G676" s="5" t="s">
        <v>15</v>
      </c>
      <c r="H676" s="5" t="s">
        <v>150</v>
      </c>
      <c r="I676" s="1" t="s">
        <v>2052</v>
      </c>
      <c r="J676" s="1"/>
      <c r="K676" s="1"/>
      <c r="L676" s="2" t="s">
        <v>2053</v>
      </c>
      <c r="M676" s="1"/>
      <c r="N676" s="1"/>
      <c r="O676" s="1"/>
      <c r="P676" s="1"/>
      <c r="Q676" s="1"/>
      <c r="R676" s="1"/>
      <c r="S676" s="1"/>
      <c r="T676" s="1"/>
      <c r="U676" s="1"/>
      <c r="V676" s="1"/>
      <c r="W676" s="1"/>
      <c r="X676" s="1"/>
      <c r="Y676" s="1"/>
      <c r="Z676" s="1"/>
    </row>
    <row r="677" spans="1:26" ht="33.75" customHeight="1">
      <c r="A677" s="1">
        <v>778</v>
      </c>
      <c r="B677" s="1" t="s">
        <v>2054</v>
      </c>
      <c r="C677" s="1" t="s">
        <v>1696</v>
      </c>
      <c r="D677" s="4">
        <v>39861.836111111108</v>
      </c>
      <c r="E677" s="1" t="s">
        <v>255</v>
      </c>
      <c r="F677" s="1"/>
      <c r="G677" s="1" t="s">
        <v>64</v>
      </c>
      <c r="H677" s="1" t="s">
        <v>263</v>
      </c>
      <c r="I677" s="1" t="s">
        <v>238</v>
      </c>
      <c r="J677" s="1" t="s">
        <v>1985</v>
      </c>
      <c r="K677" s="1"/>
      <c r="L677" s="2" t="s">
        <v>2055</v>
      </c>
      <c r="M677" s="1"/>
      <c r="N677" s="1"/>
      <c r="O677" s="1"/>
      <c r="P677" s="1"/>
      <c r="Q677" s="1"/>
      <c r="R677" s="1"/>
      <c r="S677" s="1"/>
      <c r="T677" s="1"/>
      <c r="U677" s="1"/>
      <c r="V677" s="1"/>
      <c r="W677" s="1"/>
      <c r="X677" s="1"/>
      <c r="Y677" s="1"/>
      <c r="Z677" s="1"/>
    </row>
    <row r="678" spans="1:26" ht="33.75" customHeight="1">
      <c r="A678" s="1">
        <v>779</v>
      </c>
      <c r="B678" s="1" t="s">
        <v>2056</v>
      </c>
      <c r="C678" s="1" t="s">
        <v>1696</v>
      </c>
      <c r="D678" s="4">
        <v>39861.837500000001</v>
      </c>
      <c r="E678" s="1" t="s">
        <v>320</v>
      </c>
      <c r="F678" s="1" t="s">
        <v>2057</v>
      </c>
      <c r="G678" s="5" t="s">
        <v>26</v>
      </c>
      <c r="H678" s="5" t="s">
        <v>133</v>
      </c>
      <c r="I678" s="1" t="s">
        <v>28</v>
      </c>
      <c r="J678" s="1" t="s">
        <v>134</v>
      </c>
      <c r="K678" s="1"/>
      <c r="L678" s="2" t="s">
        <v>2058</v>
      </c>
      <c r="M678" s="1"/>
      <c r="N678" s="1"/>
      <c r="O678" s="1"/>
      <c r="P678" s="1"/>
      <c r="Q678" s="1"/>
      <c r="R678" s="1"/>
      <c r="S678" s="1"/>
      <c r="T678" s="1"/>
      <c r="U678" s="1"/>
      <c r="V678" s="1"/>
      <c r="W678" s="1"/>
      <c r="X678" s="1"/>
      <c r="Y678" s="1"/>
      <c r="Z678" s="1"/>
    </row>
    <row r="679" spans="1:26" ht="33.75" customHeight="1">
      <c r="A679" s="1">
        <v>780</v>
      </c>
      <c r="B679" s="1" t="s">
        <v>2059</v>
      </c>
      <c r="C679" s="1" t="s">
        <v>1696</v>
      </c>
      <c r="D679" s="4">
        <v>39861.847222222219</v>
      </c>
      <c r="E679" s="1" t="s">
        <v>255</v>
      </c>
      <c r="F679" s="1" t="s">
        <v>2000</v>
      </c>
      <c r="G679" s="5" t="s">
        <v>26</v>
      </c>
      <c r="H679" s="5" t="s">
        <v>27</v>
      </c>
      <c r="I679" s="1" t="s">
        <v>28</v>
      </c>
      <c r="J679" s="1" t="s">
        <v>259</v>
      </c>
      <c r="K679" s="1" t="s">
        <v>2060</v>
      </c>
      <c r="L679" s="2" t="s">
        <v>2061</v>
      </c>
      <c r="M679" s="1"/>
      <c r="N679" s="1"/>
      <c r="O679" s="1"/>
      <c r="P679" s="1"/>
      <c r="Q679" s="1"/>
      <c r="R679" s="1"/>
      <c r="S679" s="1"/>
      <c r="T679" s="1"/>
      <c r="U679" s="1"/>
      <c r="V679" s="1"/>
      <c r="W679" s="1"/>
      <c r="X679" s="1"/>
      <c r="Y679" s="1"/>
      <c r="Z679" s="1"/>
    </row>
    <row r="680" spans="1:26" ht="33.75" customHeight="1">
      <c r="A680" s="1">
        <v>782</v>
      </c>
      <c r="B680" s="1" t="s">
        <v>2062</v>
      </c>
      <c r="C680" s="1" t="s">
        <v>1696</v>
      </c>
      <c r="D680" s="4">
        <v>39861.85</v>
      </c>
      <c r="E680" s="1" t="s">
        <v>320</v>
      </c>
      <c r="F680" s="1">
        <v>70</v>
      </c>
      <c r="G680" s="6" t="s">
        <v>78</v>
      </c>
      <c r="H680" s="5" t="s">
        <v>223</v>
      </c>
      <c r="I680" s="1" t="s">
        <v>64</v>
      </c>
      <c r="J680" s="1" t="s">
        <v>450</v>
      </c>
      <c r="K680" s="1"/>
      <c r="L680" s="2" t="s">
        <v>2063</v>
      </c>
      <c r="M680" s="1"/>
      <c r="N680" s="1"/>
      <c r="O680" s="1"/>
      <c r="P680" s="1"/>
      <c r="Q680" s="1"/>
      <c r="R680" s="1"/>
      <c r="S680" s="1"/>
      <c r="T680" s="1"/>
      <c r="U680" s="1"/>
      <c r="V680" s="1"/>
      <c r="W680" s="1"/>
      <c r="X680" s="1"/>
      <c r="Y680" s="1"/>
      <c r="Z680" s="1"/>
    </row>
    <row r="681" spans="1:26" ht="33.75" customHeight="1">
      <c r="A681" s="1">
        <v>1822</v>
      </c>
      <c r="B681" s="1" t="s">
        <v>2064</v>
      </c>
      <c r="C681" s="1" t="s">
        <v>1814</v>
      </c>
      <c r="D681" s="4">
        <v>39861.864583333336</v>
      </c>
      <c r="E681" s="1" t="s">
        <v>2065</v>
      </c>
      <c r="F681" s="1"/>
      <c r="G681" s="5" t="s">
        <v>64</v>
      </c>
      <c r="H681" s="1"/>
      <c r="I681" s="1" t="s">
        <v>64</v>
      </c>
      <c r="J681" s="1"/>
      <c r="K681" s="1"/>
      <c r="L681" s="2" t="s">
        <v>2066</v>
      </c>
      <c r="M681" s="1"/>
      <c r="N681" s="1"/>
      <c r="O681" s="1"/>
      <c r="P681" s="1"/>
      <c r="Q681" s="1"/>
      <c r="R681" s="1"/>
      <c r="S681" s="1"/>
      <c r="T681" s="1"/>
      <c r="U681" s="1"/>
      <c r="V681" s="1"/>
      <c r="W681" s="1"/>
      <c r="X681" s="1"/>
      <c r="Y681" s="1"/>
      <c r="Z681" s="1"/>
    </row>
    <row r="682" spans="1:26" ht="33.75" customHeight="1">
      <c r="A682" s="1">
        <v>783</v>
      </c>
      <c r="B682" s="1" t="s">
        <v>2067</v>
      </c>
      <c r="C682" s="1" t="s">
        <v>1696</v>
      </c>
      <c r="D682" s="4">
        <v>39861.879166666666</v>
      </c>
      <c r="E682" s="1" t="s">
        <v>54</v>
      </c>
      <c r="F682" s="1" t="s">
        <v>2062</v>
      </c>
      <c r="G682" s="5" t="s">
        <v>64</v>
      </c>
      <c r="H682" s="1"/>
      <c r="I682" s="1" t="s">
        <v>64</v>
      </c>
      <c r="J682" s="1"/>
      <c r="K682" s="1"/>
      <c r="L682" s="2" t="s">
        <v>2068</v>
      </c>
      <c r="M682" s="1"/>
      <c r="N682" s="1"/>
      <c r="O682" s="1"/>
      <c r="P682" s="1"/>
      <c r="Q682" s="1"/>
      <c r="R682" s="1"/>
      <c r="S682" s="1"/>
      <c r="T682" s="1"/>
      <c r="U682" s="1"/>
      <c r="V682" s="1"/>
      <c r="W682" s="1"/>
      <c r="X682" s="1"/>
      <c r="Y682" s="1"/>
      <c r="Z682" s="1"/>
    </row>
    <row r="683" spans="1:26" ht="33.75" customHeight="1">
      <c r="A683" s="1">
        <v>784</v>
      </c>
      <c r="B683" s="1" t="s">
        <v>2069</v>
      </c>
      <c r="C683" s="1" t="s">
        <v>1696</v>
      </c>
      <c r="D683" s="4">
        <v>39861.879861111112</v>
      </c>
      <c r="E683" s="1" t="s">
        <v>14</v>
      </c>
      <c r="F683" s="1"/>
      <c r="G683" s="5" t="s">
        <v>64</v>
      </c>
      <c r="H683" s="5" t="s">
        <v>684</v>
      </c>
      <c r="I683" s="1" t="s">
        <v>35</v>
      </c>
      <c r="J683" s="1"/>
      <c r="K683" s="1" t="s">
        <v>2070</v>
      </c>
      <c r="L683" s="2" t="s">
        <v>2071</v>
      </c>
      <c r="M683" s="1"/>
      <c r="N683" s="1"/>
      <c r="O683" s="1"/>
      <c r="P683" s="1"/>
      <c r="Q683" s="1"/>
      <c r="R683" s="1"/>
      <c r="S683" s="1"/>
      <c r="T683" s="1"/>
      <c r="U683" s="1"/>
      <c r="V683" s="1"/>
      <c r="W683" s="1"/>
      <c r="X683" s="1"/>
      <c r="Y683" s="1"/>
      <c r="Z683" s="1"/>
    </row>
    <row r="684" spans="1:26" ht="33.75" customHeight="1">
      <c r="A684" s="1">
        <v>786</v>
      </c>
      <c r="B684" s="1" t="s">
        <v>2072</v>
      </c>
      <c r="C684" s="1" t="s">
        <v>1696</v>
      </c>
      <c r="D684" s="4">
        <v>39861.89166666667</v>
      </c>
      <c r="E684" s="1" t="s">
        <v>1528</v>
      </c>
      <c r="F684" s="1"/>
      <c r="G684" s="5" t="s">
        <v>64</v>
      </c>
      <c r="H684" s="1"/>
      <c r="I684" s="1" t="s">
        <v>64</v>
      </c>
      <c r="J684" s="1"/>
      <c r="K684" s="1" t="s">
        <v>2073</v>
      </c>
      <c r="L684" s="2" t="s">
        <v>2074</v>
      </c>
      <c r="M684" s="1"/>
      <c r="N684" s="1"/>
      <c r="O684" s="1"/>
      <c r="P684" s="1"/>
      <c r="Q684" s="1"/>
      <c r="R684" s="1"/>
      <c r="S684" s="1"/>
      <c r="T684" s="1"/>
      <c r="U684" s="1"/>
      <c r="V684" s="1"/>
      <c r="W684" s="1"/>
      <c r="X684" s="1"/>
      <c r="Y684" s="1"/>
      <c r="Z684" s="1"/>
    </row>
    <row r="685" spans="1:26" ht="33.75" customHeight="1">
      <c r="A685" s="1">
        <v>847</v>
      </c>
      <c r="B685" s="1" t="s">
        <v>2075</v>
      </c>
      <c r="C685" s="1" t="s">
        <v>1696</v>
      </c>
      <c r="D685" s="4">
        <v>39867.047222222223</v>
      </c>
      <c r="E685" s="1" t="s">
        <v>1528</v>
      </c>
      <c r="F685" s="1"/>
      <c r="G685" s="6" t="s">
        <v>78</v>
      </c>
      <c r="H685" s="5" t="s">
        <v>223</v>
      </c>
      <c r="I685" s="1" t="s">
        <v>64</v>
      </c>
      <c r="J685" s="1" t="s">
        <v>450</v>
      </c>
      <c r="K685" s="1"/>
      <c r="L685" s="2" t="s">
        <v>2076</v>
      </c>
      <c r="M685" s="1"/>
      <c r="N685" s="1"/>
      <c r="O685" s="1"/>
      <c r="P685" s="1"/>
      <c r="Q685" s="1"/>
      <c r="R685" s="1"/>
      <c r="S685" s="1"/>
      <c r="T685" s="1"/>
      <c r="U685" s="1"/>
      <c r="V685" s="1"/>
      <c r="W685" s="1"/>
      <c r="X685" s="1"/>
      <c r="Y685" s="1"/>
      <c r="Z685" s="1"/>
    </row>
    <row r="686" spans="1:26" ht="33.75" customHeight="1">
      <c r="A686" s="1">
        <v>787</v>
      </c>
      <c r="B686" s="1" t="s">
        <v>2077</v>
      </c>
      <c r="C686" s="1" t="s">
        <v>1696</v>
      </c>
      <c r="D686" s="4">
        <v>39861.894444444442</v>
      </c>
      <c r="E686" s="1" t="s">
        <v>320</v>
      </c>
      <c r="F686" s="1" t="s">
        <v>2069</v>
      </c>
      <c r="G686" s="5" t="s">
        <v>64</v>
      </c>
      <c r="H686" s="5" t="s">
        <v>684</v>
      </c>
      <c r="I686" s="1" t="s">
        <v>35</v>
      </c>
      <c r="J686" s="1"/>
      <c r="K686" s="1" t="s">
        <v>2078</v>
      </c>
      <c r="L686" s="2" t="s">
        <v>2079</v>
      </c>
      <c r="M686" s="1"/>
      <c r="N686" s="1"/>
      <c r="O686" s="1"/>
      <c r="P686" s="1"/>
      <c r="Q686" s="1"/>
      <c r="R686" s="1"/>
      <c r="S686" s="1"/>
      <c r="T686" s="1"/>
      <c r="U686" s="1"/>
      <c r="V686" s="1"/>
      <c r="W686" s="1"/>
      <c r="X686" s="1"/>
      <c r="Y686" s="1"/>
      <c r="Z686" s="1"/>
    </row>
    <row r="687" spans="1:26" ht="33.75" customHeight="1">
      <c r="A687" s="1">
        <v>1724</v>
      </c>
      <c r="B687" s="1" t="s">
        <v>2080</v>
      </c>
      <c r="C687" s="1" t="s">
        <v>1519</v>
      </c>
      <c r="D687" s="4">
        <v>39861.915972222225</v>
      </c>
      <c r="E687" s="1" t="s">
        <v>54</v>
      </c>
      <c r="F687" s="1"/>
      <c r="G687" s="5" t="s">
        <v>64</v>
      </c>
      <c r="H687" s="5" t="s">
        <v>263</v>
      </c>
      <c r="I687" s="1" t="s">
        <v>2081</v>
      </c>
      <c r="J687" s="1"/>
      <c r="K687" s="1" t="s">
        <v>2082</v>
      </c>
      <c r="L687" s="2" t="s">
        <v>2083</v>
      </c>
      <c r="M687" s="1"/>
      <c r="N687" s="1"/>
      <c r="O687" s="1"/>
      <c r="P687" s="1"/>
      <c r="Q687" s="1"/>
      <c r="R687" s="1"/>
      <c r="S687" s="1"/>
      <c r="T687" s="1"/>
      <c r="U687" s="1"/>
      <c r="V687" s="1"/>
      <c r="W687" s="1"/>
      <c r="X687" s="1"/>
      <c r="Y687" s="1"/>
      <c r="Z687" s="1"/>
    </row>
    <row r="688" spans="1:26" ht="33.75" customHeight="1">
      <c r="A688" s="1">
        <v>1823</v>
      </c>
      <c r="B688" s="1" t="s">
        <v>2084</v>
      </c>
      <c r="C688" s="1" t="s">
        <v>1814</v>
      </c>
      <c r="D688" s="4">
        <v>39862.061805555553</v>
      </c>
      <c r="E688" s="1" t="s">
        <v>1887</v>
      </c>
      <c r="F688" s="1"/>
      <c r="G688" s="5" t="s">
        <v>64</v>
      </c>
      <c r="H688" s="1"/>
      <c r="I688" s="1" t="s">
        <v>64</v>
      </c>
      <c r="J688" s="1"/>
      <c r="K688" s="1"/>
      <c r="L688" s="2" t="s">
        <v>2085</v>
      </c>
      <c r="M688" s="1"/>
      <c r="N688" s="1"/>
      <c r="O688" s="1"/>
      <c r="P688" s="1"/>
      <c r="Q688" s="1"/>
      <c r="R688" s="1"/>
      <c r="S688" s="1"/>
      <c r="T688" s="1"/>
      <c r="U688" s="1"/>
      <c r="V688" s="1"/>
      <c r="W688" s="1"/>
      <c r="X688" s="1"/>
      <c r="Y688" s="1"/>
      <c r="Z688" s="1"/>
    </row>
    <row r="689" spans="1:26" ht="33.75" customHeight="1">
      <c r="A689" s="1">
        <v>788</v>
      </c>
      <c r="B689" s="1" t="s">
        <v>2086</v>
      </c>
      <c r="C689" s="1" t="s">
        <v>1696</v>
      </c>
      <c r="D689" s="4">
        <v>39862.257638888892</v>
      </c>
      <c r="E689" s="1" t="s">
        <v>54</v>
      </c>
      <c r="F689" s="1" t="s">
        <v>2069</v>
      </c>
      <c r="G689" s="5" t="s">
        <v>64</v>
      </c>
      <c r="H689" s="5" t="s">
        <v>684</v>
      </c>
      <c r="I689" s="1" t="s">
        <v>35</v>
      </c>
      <c r="J689" s="1"/>
      <c r="K689" s="1" t="s">
        <v>2087</v>
      </c>
      <c r="L689" s="2" t="s">
        <v>2088</v>
      </c>
      <c r="M689" s="1"/>
      <c r="N689" s="1"/>
      <c r="O689" s="1"/>
      <c r="P689" s="1"/>
      <c r="Q689" s="1"/>
      <c r="R689" s="1"/>
      <c r="S689" s="1"/>
      <c r="T689" s="1"/>
      <c r="U689" s="1"/>
      <c r="V689" s="1"/>
      <c r="W689" s="1"/>
      <c r="X689" s="1"/>
      <c r="Y689" s="1"/>
      <c r="Z689" s="1"/>
    </row>
    <row r="690" spans="1:26" ht="33.75" customHeight="1">
      <c r="A690" s="1">
        <v>789</v>
      </c>
      <c r="B690" s="1" t="s">
        <v>2089</v>
      </c>
      <c r="C690" s="1" t="s">
        <v>1696</v>
      </c>
      <c r="D690" s="4">
        <v>39862.263194444444</v>
      </c>
      <c r="E690" s="1" t="s">
        <v>54</v>
      </c>
      <c r="F690" s="1" t="s">
        <v>2062</v>
      </c>
      <c r="G690" s="5" t="s">
        <v>64</v>
      </c>
      <c r="H690" s="1"/>
      <c r="I690" s="1" t="s">
        <v>64</v>
      </c>
      <c r="J690" s="1"/>
      <c r="K690" s="1" t="s">
        <v>2090</v>
      </c>
      <c r="L690" s="2" t="s">
        <v>2091</v>
      </c>
      <c r="M690" s="1"/>
      <c r="N690" s="1"/>
      <c r="O690" s="1"/>
      <c r="P690" s="1"/>
      <c r="Q690" s="1"/>
      <c r="R690" s="1"/>
      <c r="S690" s="1"/>
      <c r="T690" s="1"/>
      <c r="U690" s="1"/>
      <c r="V690" s="1"/>
      <c r="W690" s="1"/>
      <c r="X690" s="1"/>
      <c r="Y690" s="1"/>
      <c r="Z690" s="1"/>
    </row>
    <row r="691" spans="1:26" ht="33.75" customHeight="1">
      <c r="A691" s="1">
        <v>790</v>
      </c>
      <c r="B691" s="1" t="s">
        <v>2092</v>
      </c>
      <c r="C691" s="1" t="s">
        <v>1696</v>
      </c>
      <c r="D691" s="4">
        <v>39862.34375</v>
      </c>
      <c r="E691" s="1" t="s">
        <v>255</v>
      </c>
      <c r="F691" s="1" t="s">
        <v>2069</v>
      </c>
      <c r="G691" s="5" t="s">
        <v>64</v>
      </c>
      <c r="H691" s="5" t="s">
        <v>684</v>
      </c>
      <c r="I691" s="1" t="s">
        <v>35</v>
      </c>
      <c r="J691" s="1"/>
      <c r="K691" s="1" t="s">
        <v>2093</v>
      </c>
      <c r="L691" s="2" t="s">
        <v>2094</v>
      </c>
      <c r="M691" s="1"/>
      <c r="N691" s="1"/>
      <c r="O691" s="1"/>
      <c r="P691" s="1"/>
      <c r="Q691" s="1"/>
      <c r="R691" s="1"/>
      <c r="S691" s="1"/>
      <c r="T691" s="1"/>
      <c r="U691" s="1"/>
      <c r="V691" s="1"/>
      <c r="W691" s="1"/>
      <c r="X691" s="1"/>
      <c r="Y691" s="1"/>
      <c r="Z691" s="1"/>
    </row>
    <row r="692" spans="1:26" ht="33.75" customHeight="1">
      <c r="A692" s="1">
        <v>791</v>
      </c>
      <c r="B692" s="1" t="s">
        <v>2095</v>
      </c>
      <c r="C692" s="1" t="s">
        <v>1696</v>
      </c>
      <c r="D692" s="4">
        <v>39862.416666666664</v>
      </c>
      <c r="E692" s="1" t="s">
        <v>14</v>
      </c>
      <c r="F692" s="1" t="s">
        <v>2069</v>
      </c>
      <c r="G692" s="5" t="s">
        <v>64</v>
      </c>
      <c r="H692" s="5" t="s">
        <v>684</v>
      </c>
      <c r="I692" s="1" t="s">
        <v>35</v>
      </c>
      <c r="J692" s="1"/>
      <c r="K692" s="1" t="s">
        <v>2096</v>
      </c>
      <c r="L692" s="2" t="s">
        <v>2097</v>
      </c>
      <c r="M692" s="1"/>
      <c r="N692" s="1"/>
      <c r="O692" s="1"/>
      <c r="P692" s="1"/>
      <c r="Q692" s="1"/>
      <c r="R692" s="1"/>
      <c r="S692" s="1"/>
      <c r="T692" s="1"/>
      <c r="U692" s="1"/>
      <c r="V692" s="1"/>
      <c r="W692" s="1"/>
      <c r="X692" s="1"/>
      <c r="Y692" s="1"/>
      <c r="Z692" s="1"/>
    </row>
    <row r="693" spans="1:26" ht="33.75" customHeight="1">
      <c r="A693" s="1">
        <v>792</v>
      </c>
      <c r="B693" s="1" t="s">
        <v>2098</v>
      </c>
      <c r="C693" s="1" t="s">
        <v>1696</v>
      </c>
      <c r="D693" s="4">
        <v>39862.574305555558</v>
      </c>
      <c r="E693" s="1" t="s">
        <v>14</v>
      </c>
      <c r="F693" s="1"/>
      <c r="G693" s="5" t="s">
        <v>26</v>
      </c>
      <c r="H693" s="5" t="s">
        <v>133</v>
      </c>
      <c r="I693" s="1" t="s">
        <v>28</v>
      </c>
      <c r="J693" s="1" t="s">
        <v>134</v>
      </c>
      <c r="K693" s="1" t="s">
        <v>2099</v>
      </c>
      <c r="L693" s="2" t="s">
        <v>2100</v>
      </c>
      <c r="M693" s="1"/>
      <c r="N693" s="1"/>
      <c r="O693" s="1"/>
      <c r="P693" s="1"/>
      <c r="Q693" s="1"/>
      <c r="R693" s="1"/>
      <c r="S693" s="1"/>
      <c r="T693" s="1"/>
      <c r="U693" s="1"/>
      <c r="V693" s="1"/>
      <c r="W693" s="1"/>
      <c r="X693" s="1"/>
      <c r="Y693" s="1"/>
      <c r="Z693" s="1"/>
    </row>
    <row r="694" spans="1:26" ht="33.75" customHeight="1">
      <c r="A694" s="1">
        <v>793</v>
      </c>
      <c r="B694" s="1" t="s">
        <v>2101</v>
      </c>
      <c r="C694" s="1" t="s">
        <v>1696</v>
      </c>
      <c r="D694" s="4">
        <v>39862.700694444444</v>
      </c>
      <c r="E694" s="1" t="s">
        <v>54</v>
      </c>
      <c r="F694" s="1" t="s">
        <v>2069</v>
      </c>
      <c r="G694" s="6" t="s">
        <v>78</v>
      </c>
      <c r="H694" s="5" t="s">
        <v>870</v>
      </c>
      <c r="I694" s="1" t="s">
        <v>480</v>
      </c>
      <c r="J694" s="1" t="s">
        <v>1063</v>
      </c>
      <c r="K694" s="1" t="s">
        <v>2102</v>
      </c>
      <c r="L694" s="2" t="s">
        <v>2103</v>
      </c>
      <c r="M694" s="1"/>
      <c r="N694" s="1"/>
      <c r="O694" s="1"/>
      <c r="P694" s="1"/>
      <c r="Q694" s="1"/>
      <c r="R694" s="1"/>
      <c r="S694" s="1"/>
      <c r="T694" s="1"/>
      <c r="U694" s="1"/>
      <c r="V694" s="1"/>
      <c r="W694" s="1"/>
      <c r="X694" s="1"/>
      <c r="Y694" s="1"/>
      <c r="Z694" s="1"/>
    </row>
    <row r="695" spans="1:26" ht="33.75" customHeight="1">
      <c r="A695" s="1">
        <v>1824</v>
      </c>
      <c r="B695" s="1" t="s">
        <v>2104</v>
      </c>
      <c r="C695" s="1" t="s">
        <v>1814</v>
      </c>
      <c r="D695" s="4">
        <v>39862.927083333336</v>
      </c>
      <c r="E695" s="1" t="s">
        <v>1089</v>
      </c>
      <c r="F695" s="1" t="s">
        <v>2064</v>
      </c>
      <c r="G695" s="5" t="s">
        <v>64</v>
      </c>
      <c r="H695" s="1"/>
      <c r="I695" s="1" t="s">
        <v>64</v>
      </c>
      <c r="J695" s="1"/>
      <c r="K695" s="1"/>
      <c r="L695" s="2" t="s">
        <v>2105</v>
      </c>
      <c r="M695" s="1"/>
      <c r="N695" s="1"/>
      <c r="O695" s="1"/>
      <c r="P695" s="1"/>
      <c r="Q695" s="1"/>
      <c r="R695" s="1"/>
      <c r="S695" s="1"/>
      <c r="T695" s="1"/>
      <c r="U695" s="1"/>
      <c r="V695" s="1"/>
      <c r="W695" s="1"/>
      <c r="X695" s="1"/>
      <c r="Y695" s="1"/>
      <c r="Z695" s="1"/>
    </row>
    <row r="696" spans="1:26" ht="33.75" customHeight="1">
      <c r="A696" s="1">
        <v>794</v>
      </c>
      <c r="B696" s="1" t="s">
        <v>2106</v>
      </c>
      <c r="C696" s="1" t="s">
        <v>1696</v>
      </c>
      <c r="D696" s="4">
        <v>39862.966666666667</v>
      </c>
      <c r="E696" s="1" t="s">
        <v>14</v>
      </c>
      <c r="F696" s="1"/>
      <c r="G696" s="5" t="s">
        <v>64</v>
      </c>
      <c r="H696" s="1"/>
      <c r="I696" s="1" t="s">
        <v>64</v>
      </c>
      <c r="J696" s="1"/>
      <c r="K696" s="1"/>
      <c r="L696" s="2" t="s">
        <v>2107</v>
      </c>
      <c r="M696" s="1"/>
      <c r="N696" s="1"/>
      <c r="O696" s="1"/>
      <c r="P696" s="1"/>
      <c r="Q696" s="1"/>
      <c r="R696" s="1"/>
      <c r="S696" s="1"/>
      <c r="T696" s="1"/>
      <c r="U696" s="1"/>
      <c r="V696" s="1"/>
      <c r="W696" s="1"/>
      <c r="X696" s="1"/>
      <c r="Y696" s="1"/>
      <c r="Z696" s="1"/>
    </row>
    <row r="697" spans="1:26" ht="33.75" customHeight="1">
      <c r="A697" s="1">
        <v>795</v>
      </c>
      <c r="B697" s="1" t="s">
        <v>2108</v>
      </c>
      <c r="C697" s="1" t="s">
        <v>1696</v>
      </c>
      <c r="D697" s="4">
        <v>39862.999305555553</v>
      </c>
      <c r="E697" s="1" t="s">
        <v>14</v>
      </c>
      <c r="F697" s="1" t="s">
        <v>2106</v>
      </c>
      <c r="G697" s="5" t="s">
        <v>64</v>
      </c>
      <c r="H697" s="5" t="s">
        <v>263</v>
      </c>
      <c r="I697" s="1" t="s">
        <v>2109</v>
      </c>
      <c r="J697" s="1"/>
      <c r="K697" s="1" t="s">
        <v>2110</v>
      </c>
      <c r="L697" s="2" t="s">
        <v>2111</v>
      </c>
      <c r="M697" s="1"/>
      <c r="N697" s="1"/>
      <c r="O697" s="1"/>
      <c r="P697" s="1"/>
      <c r="Q697" s="1"/>
      <c r="R697" s="1"/>
      <c r="S697" s="1"/>
      <c r="T697" s="1"/>
      <c r="U697" s="1"/>
      <c r="V697" s="1"/>
      <c r="W697" s="1"/>
      <c r="X697" s="1"/>
      <c r="Y697" s="1"/>
      <c r="Z697" s="1"/>
    </row>
    <row r="698" spans="1:26" ht="33.75" customHeight="1">
      <c r="A698" s="1">
        <v>796</v>
      </c>
      <c r="B698" s="1" t="s">
        <v>2112</v>
      </c>
      <c r="C698" s="1" t="s">
        <v>1696</v>
      </c>
      <c r="D698" s="4">
        <v>39863.267361111109</v>
      </c>
      <c r="E698" s="1" t="s">
        <v>320</v>
      </c>
      <c r="F698" s="1" t="s">
        <v>2113</v>
      </c>
      <c r="G698" s="5" t="s">
        <v>26</v>
      </c>
      <c r="H698" s="5" t="s">
        <v>133</v>
      </c>
      <c r="I698" s="1" t="s">
        <v>2114</v>
      </c>
      <c r="J698" s="1"/>
      <c r="K698" s="1"/>
      <c r="L698" s="2" t="s">
        <v>2115</v>
      </c>
      <c r="M698" s="1"/>
      <c r="N698" s="1"/>
      <c r="O698" s="1"/>
      <c r="P698" s="1"/>
      <c r="Q698" s="1"/>
      <c r="R698" s="1"/>
      <c r="S698" s="1"/>
      <c r="T698" s="1"/>
      <c r="U698" s="1"/>
      <c r="V698" s="1"/>
      <c r="W698" s="1"/>
      <c r="X698" s="1"/>
      <c r="Y698" s="1"/>
      <c r="Z698" s="1"/>
    </row>
    <row r="699" spans="1:26" ht="33.75" customHeight="1">
      <c r="A699" s="1">
        <v>798</v>
      </c>
      <c r="B699" s="1" t="s">
        <v>2116</v>
      </c>
      <c r="C699" s="1" t="s">
        <v>1696</v>
      </c>
      <c r="D699" s="4">
        <v>39863.35833333333</v>
      </c>
      <c r="E699" s="1" t="s">
        <v>255</v>
      </c>
      <c r="F699" s="1" t="s">
        <v>2108</v>
      </c>
      <c r="G699" s="5" t="s">
        <v>15</v>
      </c>
      <c r="H699" s="5" t="s">
        <v>150</v>
      </c>
      <c r="I699" s="1" t="s">
        <v>1865</v>
      </c>
      <c r="J699" s="1"/>
      <c r="K699" s="1"/>
      <c r="L699" s="2" t="s">
        <v>2117</v>
      </c>
      <c r="M699" s="1"/>
      <c r="N699" s="1"/>
      <c r="O699" s="1"/>
      <c r="P699" s="1"/>
      <c r="Q699" s="1"/>
      <c r="R699" s="1"/>
      <c r="S699" s="1"/>
      <c r="T699" s="1"/>
      <c r="U699" s="1"/>
      <c r="V699" s="1"/>
      <c r="W699" s="1"/>
      <c r="X699" s="1"/>
      <c r="Y699" s="1"/>
      <c r="Z699" s="1"/>
    </row>
    <row r="700" spans="1:26" ht="33.75" customHeight="1">
      <c r="A700" s="1">
        <v>1825</v>
      </c>
      <c r="B700" s="1" t="s">
        <v>2118</v>
      </c>
      <c r="C700" s="1" t="s">
        <v>1814</v>
      </c>
      <c r="D700" s="4">
        <v>39863.396527777775</v>
      </c>
      <c r="E700" s="1" t="s">
        <v>54</v>
      </c>
      <c r="F700" s="1"/>
      <c r="G700" s="5" t="s">
        <v>64</v>
      </c>
      <c r="H700" s="1"/>
      <c r="I700" s="1" t="s">
        <v>64</v>
      </c>
      <c r="J700" s="1"/>
      <c r="K700" s="1"/>
      <c r="L700" s="2" t="s">
        <v>2119</v>
      </c>
      <c r="M700" s="1"/>
      <c r="N700" s="1"/>
      <c r="O700" s="1"/>
      <c r="P700" s="1"/>
      <c r="Q700" s="1"/>
      <c r="R700" s="1"/>
      <c r="S700" s="1"/>
      <c r="T700" s="1"/>
      <c r="U700" s="1"/>
      <c r="V700" s="1"/>
      <c r="W700" s="1"/>
      <c r="X700" s="1"/>
      <c r="Y700" s="1"/>
      <c r="Z700" s="1"/>
    </row>
    <row r="701" spans="1:26" ht="33.75" customHeight="1">
      <c r="A701" s="1">
        <v>799</v>
      </c>
      <c r="B701" s="1" t="s">
        <v>2120</v>
      </c>
      <c r="C701" s="1" t="s">
        <v>1696</v>
      </c>
      <c r="D701" s="4">
        <v>39863.482638888891</v>
      </c>
      <c r="E701" s="1" t="s">
        <v>14</v>
      </c>
      <c r="F701" s="1" t="s">
        <v>2112</v>
      </c>
      <c r="G701" s="5" t="s">
        <v>15</v>
      </c>
      <c r="H701" s="5" t="s">
        <v>150</v>
      </c>
      <c r="I701" s="1" t="s">
        <v>2121</v>
      </c>
      <c r="J701" s="1"/>
      <c r="K701" s="1"/>
      <c r="L701" s="2" t="s">
        <v>2122</v>
      </c>
      <c r="M701" s="1"/>
      <c r="N701" s="1"/>
      <c r="O701" s="1"/>
      <c r="P701" s="1"/>
      <c r="Q701" s="1"/>
      <c r="R701" s="1"/>
      <c r="S701" s="1"/>
      <c r="T701" s="1"/>
      <c r="U701" s="1"/>
      <c r="V701" s="1"/>
      <c r="W701" s="1"/>
      <c r="X701" s="1"/>
      <c r="Y701" s="1"/>
      <c r="Z701" s="1"/>
    </row>
    <row r="702" spans="1:26" ht="33.75" customHeight="1">
      <c r="A702" s="1">
        <v>800</v>
      </c>
      <c r="B702" s="1" t="s">
        <v>2123</v>
      </c>
      <c r="C702" s="1" t="s">
        <v>1696</v>
      </c>
      <c r="D702" s="4">
        <v>39863.568055555559</v>
      </c>
      <c r="E702" s="1" t="s">
        <v>14</v>
      </c>
      <c r="F702" s="1" t="s">
        <v>2112</v>
      </c>
      <c r="G702" s="5" t="s">
        <v>26</v>
      </c>
      <c r="H702" s="5" t="s">
        <v>27</v>
      </c>
      <c r="I702" s="1" t="s">
        <v>28</v>
      </c>
      <c r="J702" s="1" t="s">
        <v>259</v>
      </c>
      <c r="K702" s="1" t="s">
        <v>2124</v>
      </c>
      <c r="L702" s="2" t="s">
        <v>2125</v>
      </c>
      <c r="M702" s="1"/>
      <c r="N702" s="1"/>
      <c r="O702" s="1"/>
      <c r="P702" s="1"/>
      <c r="Q702" s="1"/>
      <c r="R702" s="1"/>
      <c r="S702" s="1"/>
      <c r="T702" s="1"/>
      <c r="U702" s="1"/>
      <c r="V702" s="1"/>
      <c r="W702" s="1"/>
      <c r="X702" s="1"/>
      <c r="Y702" s="1"/>
      <c r="Z702" s="1"/>
    </row>
    <row r="703" spans="1:26" ht="33.75" customHeight="1">
      <c r="A703" s="1">
        <v>1826</v>
      </c>
      <c r="B703" s="1" t="s">
        <v>2126</v>
      </c>
      <c r="C703" s="1" t="s">
        <v>1814</v>
      </c>
      <c r="D703" s="4">
        <v>39863.583333333336</v>
      </c>
      <c r="E703" s="1" t="s">
        <v>1887</v>
      </c>
      <c r="F703" s="1"/>
      <c r="G703" s="5" t="s">
        <v>64</v>
      </c>
      <c r="H703" s="5" t="s">
        <v>375</v>
      </c>
      <c r="I703" s="1" t="s">
        <v>900</v>
      </c>
      <c r="J703" s="1"/>
      <c r="K703" s="1" t="s">
        <v>2127</v>
      </c>
      <c r="L703" s="2" t="s">
        <v>2128</v>
      </c>
      <c r="M703" s="1"/>
      <c r="N703" s="1"/>
      <c r="O703" s="1"/>
      <c r="P703" s="1"/>
      <c r="Q703" s="1"/>
      <c r="R703" s="1"/>
      <c r="S703" s="1"/>
      <c r="T703" s="1"/>
      <c r="U703" s="1"/>
      <c r="V703" s="1"/>
      <c r="W703" s="1"/>
      <c r="X703" s="1"/>
      <c r="Y703" s="1"/>
      <c r="Z703" s="1"/>
    </row>
    <row r="704" spans="1:26" ht="33.75" customHeight="1">
      <c r="A704" s="1">
        <v>801</v>
      </c>
      <c r="B704" s="1" t="s">
        <v>2129</v>
      </c>
      <c r="C704" s="1" t="s">
        <v>1696</v>
      </c>
      <c r="D704" s="4">
        <v>39863.661111111112</v>
      </c>
      <c r="E704" s="1" t="s">
        <v>14</v>
      </c>
      <c r="F704" s="1"/>
      <c r="G704" s="5" t="s">
        <v>15</v>
      </c>
      <c r="H704" s="5" t="s">
        <v>150</v>
      </c>
      <c r="I704" s="1" t="s">
        <v>2130</v>
      </c>
      <c r="J704" s="1"/>
      <c r="K704" s="1"/>
      <c r="L704" s="2" t="s">
        <v>2131</v>
      </c>
      <c r="M704" s="1"/>
      <c r="N704" s="1"/>
      <c r="O704" s="1"/>
      <c r="P704" s="1"/>
      <c r="Q704" s="1"/>
      <c r="R704" s="1"/>
      <c r="S704" s="1"/>
      <c r="T704" s="1"/>
      <c r="U704" s="1"/>
      <c r="V704" s="1"/>
      <c r="W704" s="1"/>
      <c r="X704" s="1"/>
      <c r="Y704" s="1"/>
      <c r="Z704" s="1"/>
    </row>
    <row r="705" spans="1:26" ht="33.75" customHeight="1">
      <c r="A705" s="1">
        <v>802</v>
      </c>
      <c r="B705" s="1" t="s">
        <v>2132</v>
      </c>
      <c r="C705" s="1" t="s">
        <v>1696</v>
      </c>
      <c r="D705" s="4">
        <v>39863.708333333336</v>
      </c>
      <c r="E705" s="1" t="s">
        <v>14</v>
      </c>
      <c r="F705" s="1"/>
      <c r="G705" s="5" t="s">
        <v>64</v>
      </c>
      <c r="H705" s="1"/>
      <c r="I705" s="1" t="s">
        <v>64</v>
      </c>
      <c r="J705" s="1"/>
      <c r="K705" s="1" t="s">
        <v>2133</v>
      </c>
      <c r="L705" s="2" t="s">
        <v>2134</v>
      </c>
      <c r="M705" s="1"/>
      <c r="N705" s="1"/>
      <c r="O705" s="1"/>
      <c r="P705" s="1"/>
      <c r="Q705" s="1"/>
      <c r="R705" s="1"/>
      <c r="S705" s="1"/>
      <c r="T705" s="1"/>
      <c r="U705" s="1"/>
      <c r="V705" s="1"/>
      <c r="W705" s="1"/>
      <c r="X705" s="1"/>
      <c r="Y705" s="1"/>
      <c r="Z705" s="1"/>
    </row>
    <row r="706" spans="1:26" ht="33.75" customHeight="1">
      <c r="A706" s="1">
        <v>803</v>
      </c>
      <c r="B706" s="1" t="s">
        <v>2135</v>
      </c>
      <c r="C706" s="1" t="s">
        <v>1696</v>
      </c>
      <c r="D706" s="4">
        <v>39863.741666666669</v>
      </c>
      <c r="E706" s="1" t="s">
        <v>14</v>
      </c>
      <c r="F706" s="1"/>
      <c r="G706" s="5" t="s">
        <v>64</v>
      </c>
      <c r="H706" s="1"/>
      <c r="I706" s="1" t="s">
        <v>64</v>
      </c>
      <c r="J706" s="1"/>
      <c r="K706" s="1"/>
      <c r="L706" s="2" t="s">
        <v>2136</v>
      </c>
      <c r="M706" s="1"/>
      <c r="N706" s="1"/>
      <c r="O706" s="1"/>
      <c r="P706" s="1"/>
      <c r="Q706" s="1"/>
      <c r="R706" s="1"/>
      <c r="S706" s="1"/>
      <c r="T706" s="1"/>
      <c r="U706" s="1"/>
      <c r="V706" s="1"/>
      <c r="W706" s="1"/>
      <c r="X706" s="1"/>
      <c r="Y706" s="1"/>
      <c r="Z706" s="1"/>
    </row>
    <row r="707" spans="1:26" ht="33.75" customHeight="1">
      <c r="A707" s="1">
        <v>1827</v>
      </c>
      <c r="B707" s="1" t="s">
        <v>2137</v>
      </c>
      <c r="C707" s="1" t="s">
        <v>1814</v>
      </c>
      <c r="D707" s="4">
        <v>39863.784722222219</v>
      </c>
      <c r="E707" s="1" t="s">
        <v>1089</v>
      </c>
      <c r="F707" s="1"/>
      <c r="G707" s="5" t="s">
        <v>64</v>
      </c>
      <c r="H707" s="1"/>
      <c r="I707" s="1" t="s">
        <v>64</v>
      </c>
      <c r="J707" s="1"/>
      <c r="K707" s="1"/>
      <c r="L707" s="2" t="s">
        <v>2138</v>
      </c>
      <c r="M707" s="1"/>
      <c r="N707" s="1"/>
      <c r="O707" s="1"/>
      <c r="P707" s="1"/>
      <c r="Q707" s="1"/>
      <c r="R707" s="1"/>
      <c r="S707" s="1"/>
      <c r="T707" s="1"/>
      <c r="U707" s="1"/>
      <c r="V707" s="1"/>
      <c r="W707" s="1"/>
      <c r="X707" s="1"/>
      <c r="Y707" s="1"/>
      <c r="Z707" s="1"/>
    </row>
    <row r="708" spans="1:26" ht="33.75" customHeight="1">
      <c r="A708" s="1">
        <v>804</v>
      </c>
      <c r="B708" s="1" t="s">
        <v>2139</v>
      </c>
      <c r="C708" s="1" t="s">
        <v>1696</v>
      </c>
      <c r="D708" s="4">
        <v>39863.829861111109</v>
      </c>
      <c r="E708" s="1" t="s">
        <v>14</v>
      </c>
      <c r="F708" s="1" t="s">
        <v>2135</v>
      </c>
      <c r="G708" s="5" t="s">
        <v>64</v>
      </c>
      <c r="H708" s="5" t="s">
        <v>282</v>
      </c>
      <c r="I708" s="1" t="s">
        <v>283</v>
      </c>
      <c r="J708" s="1"/>
      <c r="K708" s="1"/>
      <c r="L708" s="2" t="s">
        <v>2140</v>
      </c>
      <c r="M708" s="1"/>
      <c r="N708" s="1"/>
      <c r="O708" s="1"/>
      <c r="P708" s="1"/>
      <c r="Q708" s="1"/>
      <c r="R708" s="1"/>
      <c r="S708" s="1"/>
      <c r="T708" s="1"/>
      <c r="U708" s="1"/>
      <c r="V708" s="1"/>
      <c r="W708" s="1"/>
      <c r="X708" s="1"/>
      <c r="Y708" s="1"/>
      <c r="Z708" s="1"/>
    </row>
    <row r="709" spans="1:26" ht="33.75" customHeight="1">
      <c r="A709" s="1">
        <v>1828</v>
      </c>
      <c r="B709" s="1" t="s">
        <v>2141</v>
      </c>
      <c r="C709" s="1" t="s">
        <v>1814</v>
      </c>
      <c r="D709" s="4">
        <v>39863.838888888888</v>
      </c>
      <c r="E709" s="1" t="s">
        <v>772</v>
      </c>
      <c r="F709" s="1"/>
      <c r="G709" s="5" t="s">
        <v>64</v>
      </c>
      <c r="H709" s="1"/>
      <c r="I709" s="1" t="s">
        <v>64</v>
      </c>
      <c r="J709" s="1"/>
      <c r="K709" s="1"/>
      <c r="L709" s="2" t="s">
        <v>2142</v>
      </c>
      <c r="M709" s="1"/>
      <c r="N709" s="1"/>
      <c r="O709" s="1"/>
      <c r="P709" s="1"/>
      <c r="Q709" s="1"/>
      <c r="R709" s="1"/>
      <c r="S709" s="1"/>
      <c r="T709" s="1"/>
      <c r="U709" s="1"/>
      <c r="V709" s="1"/>
      <c r="W709" s="1"/>
      <c r="X709" s="1"/>
      <c r="Y709" s="1"/>
      <c r="Z709" s="1"/>
    </row>
    <row r="710" spans="1:26" ht="33.75" customHeight="1">
      <c r="A710" s="1">
        <v>805</v>
      </c>
      <c r="B710" s="1" t="s">
        <v>2143</v>
      </c>
      <c r="C710" s="1" t="s">
        <v>1696</v>
      </c>
      <c r="D710" s="4">
        <v>39863.854166666664</v>
      </c>
      <c r="E710" s="1" t="s">
        <v>14</v>
      </c>
      <c r="F710" s="1" t="s">
        <v>2135</v>
      </c>
      <c r="G710" s="5" t="s">
        <v>64</v>
      </c>
      <c r="H710" s="5" t="s">
        <v>282</v>
      </c>
      <c r="I710" s="1" t="s">
        <v>283</v>
      </c>
      <c r="J710" s="1"/>
      <c r="K710" s="1" t="s">
        <v>865</v>
      </c>
      <c r="L710" s="2" t="s">
        <v>2144</v>
      </c>
      <c r="M710" s="1"/>
      <c r="N710" s="1"/>
      <c r="O710" s="1"/>
      <c r="P710" s="1"/>
      <c r="Q710" s="1"/>
      <c r="R710" s="1"/>
      <c r="S710" s="1"/>
      <c r="T710" s="1"/>
      <c r="U710" s="1"/>
      <c r="V710" s="1"/>
      <c r="W710" s="1"/>
      <c r="X710" s="1"/>
      <c r="Y710" s="1"/>
      <c r="Z710" s="1"/>
    </row>
    <row r="711" spans="1:26" ht="33.75" customHeight="1">
      <c r="A711" s="1">
        <v>806</v>
      </c>
      <c r="B711" s="1" t="s">
        <v>2145</v>
      </c>
      <c r="C711" s="1" t="s">
        <v>1696</v>
      </c>
      <c r="D711" s="4">
        <v>39863.915972222225</v>
      </c>
      <c r="E711" s="1" t="s">
        <v>14</v>
      </c>
      <c r="F711" s="1" t="s">
        <v>2135</v>
      </c>
      <c r="G711" s="5" t="s">
        <v>64</v>
      </c>
      <c r="H711" s="5" t="s">
        <v>282</v>
      </c>
      <c r="I711" s="1" t="s">
        <v>283</v>
      </c>
      <c r="J711" s="1"/>
      <c r="K711" s="1"/>
      <c r="L711" s="2" t="s">
        <v>2146</v>
      </c>
      <c r="M711" s="1"/>
      <c r="N711" s="1"/>
      <c r="O711" s="1"/>
      <c r="P711" s="1"/>
      <c r="Q711" s="1"/>
      <c r="R711" s="1"/>
      <c r="S711" s="1"/>
      <c r="T711" s="1"/>
      <c r="U711" s="1"/>
      <c r="V711" s="1"/>
      <c r="W711" s="1"/>
      <c r="X711" s="1"/>
      <c r="Y711" s="1"/>
      <c r="Z711" s="1"/>
    </row>
    <row r="712" spans="1:26" ht="33.75" customHeight="1">
      <c r="A712" s="1">
        <v>1829</v>
      </c>
      <c r="B712" s="1" t="s">
        <v>2147</v>
      </c>
      <c r="C712" s="1" t="s">
        <v>1814</v>
      </c>
      <c r="D712" s="4">
        <v>39863.931944444441</v>
      </c>
      <c r="E712" s="1" t="s">
        <v>54</v>
      </c>
      <c r="F712" s="1"/>
      <c r="G712" s="5" t="s">
        <v>33</v>
      </c>
      <c r="H712" s="5" t="s">
        <v>34</v>
      </c>
      <c r="I712" s="1" t="s">
        <v>1605</v>
      </c>
      <c r="J712" s="1"/>
      <c r="K712" s="1"/>
      <c r="L712" s="2" t="s">
        <v>2148</v>
      </c>
      <c r="M712" s="1"/>
      <c r="N712" s="1"/>
      <c r="O712" s="1"/>
      <c r="P712" s="1"/>
      <c r="Q712" s="1"/>
      <c r="R712" s="1"/>
      <c r="S712" s="1"/>
      <c r="T712" s="1"/>
      <c r="U712" s="1"/>
      <c r="V712" s="1"/>
      <c r="W712" s="1"/>
      <c r="X712" s="1"/>
      <c r="Y712" s="1"/>
      <c r="Z712" s="1"/>
    </row>
    <row r="713" spans="1:26" ht="33.75" customHeight="1">
      <c r="A713" s="1">
        <v>301</v>
      </c>
      <c r="B713" s="1" t="s">
        <v>2149</v>
      </c>
      <c r="C713" s="1" t="s">
        <v>156</v>
      </c>
      <c r="D713" s="4">
        <v>39863.944444444445</v>
      </c>
      <c r="E713" s="1" t="s">
        <v>772</v>
      </c>
      <c r="F713" s="1"/>
      <c r="G713" s="5" t="s">
        <v>15</v>
      </c>
      <c r="H713" s="5" t="s">
        <v>140</v>
      </c>
      <c r="I713" s="1" t="s">
        <v>2150</v>
      </c>
      <c r="J713" s="1"/>
      <c r="K713" s="1" t="s">
        <v>2151</v>
      </c>
      <c r="L713" s="2" t="s">
        <v>2152</v>
      </c>
      <c r="M713" s="1"/>
      <c r="N713" s="1"/>
      <c r="O713" s="1"/>
      <c r="P713" s="1"/>
      <c r="Q713" s="1"/>
      <c r="R713" s="1"/>
      <c r="S713" s="1"/>
      <c r="T713" s="1"/>
      <c r="U713" s="1"/>
      <c r="V713" s="1"/>
      <c r="W713" s="1"/>
      <c r="X713" s="1"/>
      <c r="Y713" s="1"/>
      <c r="Z713" s="1"/>
    </row>
    <row r="714" spans="1:26" ht="33.75" customHeight="1">
      <c r="A714" s="1">
        <v>807</v>
      </c>
      <c r="B714" s="1" t="s">
        <v>2153</v>
      </c>
      <c r="C714" s="1" t="s">
        <v>1696</v>
      </c>
      <c r="D714" s="4">
        <v>39864.047222222223</v>
      </c>
      <c r="E714" s="1" t="s">
        <v>14</v>
      </c>
      <c r="F714" s="1" t="s">
        <v>2135</v>
      </c>
      <c r="G714" s="5" t="s">
        <v>64</v>
      </c>
      <c r="H714" s="5" t="s">
        <v>282</v>
      </c>
      <c r="I714" s="1" t="s">
        <v>283</v>
      </c>
      <c r="J714" s="1"/>
      <c r="K714" s="1"/>
      <c r="L714" s="2" t="s">
        <v>2154</v>
      </c>
      <c r="M714" s="1"/>
      <c r="N714" s="1"/>
      <c r="O714" s="1"/>
      <c r="P714" s="1"/>
      <c r="Q714" s="1"/>
      <c r="R714" s="1"/>
      <c r="S714" s="1"/>
      <c r="T714" s="1"/>
      <c r="U714" s="1"/>
      <c r="V714" s="1"/>
      <c r="W714" s="1"/>
      <c r="X714" s="1"/>
      <c r="Y714" s="1"/>
      <c r="Z714" s="1"/>
    </row>
    <row r="715" spans="1:26" ht="33.75" customHeight="1">
      <c r="A715" s="1">
        <v>809</v>
      </c>
      <c r="B715" s="1" t="s">
        <v>2155</v>
      </c>
      <c r="C715" s="1" t="s">
        <v>1696</v>
      </c>
      <c r="D715" s="4">
        <v>39864.071527777778</v>
      </c>
      <c r="E715" s="1" t="s">
        <v>14</v>
      </c>
      <c r="F715" s="1" t="s">
        <v>2135</v>
      </c>
      <c r="G715" s="5" t="s">
        <v>64</v>
      </c>
      <c r="H715" s="5" t="s">
        <v>282</v>
      </c>
      <c r="I715" s="1" t="s">
        <v>283</v>
      </c>
      <c r="J715" s="1"/>
      <c r="K715" s="1"/>
      <c r="L715" s="2" t="s">
        <v>2156</v>
      </c>
      <c r="M715" s="1"/>
      <c r="N715" s="1"/>
      <c r="O715" s="1"/>
      <c r="P715" s="1"/>
      <c r="Q715" s="1"/>
      <c r="R715" s="1"/>
      <c r="S715" s="1"/>
      <c r="T715" s="1"/>
      <c r="U715" s="1"/>
      <c r="V715" s="1"/>
      <c r="W715" s="1"/>
      <c r="X715" s="1"/>
      <c r="Y715" s="1"/>
      <c r="Z715" s="1"/>
    </row>
    <row r="716" spans="1:26" ht="33.75" customHeight="1">
      <c r="A716" s="1">
        <v>810</v>
      </c>
      <c r="B716" s="1" t="s">
        <v>2157</v>
      </c>
      <c r="C716" s="1" t="s">
        <v>1696</v>
      </c>
      <c r="D716" s="4">
        <v>39864.144444444442</v>
      </c>
      <c r="E716" s="1" t="s">
        <v>196</v>
      </c>
      <c r="F716" s="1"/>
      <c r="G716" s="5" t="s">
        <v>64</v>
      </c>
      <c r="H716" s="1"/>
      <c r="I716" s="1" t="s">
        <v>64</v>
      </c>
      <c r="J716" s="1"/>
      <c r="K716" s="1" t="s">
        <v>2158</v>
      </c>
      <c r="L716" s="2" t="s">
        <v>2159</v>
      </c>
      <c r="M716" s="1"/>
      <c r="N716" s="1"/>
      <c r="O716" s="1"/>
      <c r="P716" s="1"/>
      <c r="Q716" s="1"/>
      <c r="R716" s="1"/>
      <c r="S716" s="1"/>
      <c r="T716" s="1"/>
      <c r="U716" s="1"/>
      <c r="V716" s="1"/>
      <c r="W716" s="1"/>
      <c r="X716" s="1"/>
      <c r="Y716" s="1"/>
      <c r="Z716" s="1"/>
    </row>
    <row r="717" spans="1:26" ht="33.75" customHeight="1">
      <c r="A717" s="1">
        <v>1830</v>
      </c>
      <c r="B717" s="1" t="s">
        <v>2160</v>
      </c>
      <c r="C717" s="1" t="s">
        <v>1814</v>
      </c>
      <c r="D717" s="4">
        <v>39864.195138888892</v>
      </c>
      <c r="E717" s="1" t="s">
        <v>381</v>
      </c>
      <c r="F717" s="1" t="s">
        <v>2126</v>
      </c>
      <c r="G717" s="5" t="s">
        <v>64</v>
      </c>
      <c r="H717" s="1"/>
      <c r="I717" s="1" t="s">
        <v>64</v>
      </c>
      <c r="J717" s="1"/>
      <c r="K717" s="1"/>
      <c r="L717" s="2" t="s">
        <v>2161</v>
      </c>
      <c r="M717" s="1"/>
      <c r="N717" s="1"/>
      <c r="O717" s="1"/>
      <c r="P717" s="1"/>
      <c r="Q717" s="1"/>
      <c r="R717" s="1"/>
      <c r="S717" s="1"/>
      <c r="T717" s="1"/>
      <c r="U717" s="1"/>
      <c r="V717" s="1"/>
      <c r="W717" s="1"/>
      <c r="X717" s="1"/>
      <c r="Y717" s="1"/>
      <c r="Z717" s="1"/>
    </row>
    <row r="718" spans="1:26" ht="33.75" customHeight="1">
      <c r="A718" s="1">
        <v>1831</v>
      </c>
      <c r="B718" s="1" t="s">
        <v>2162</v>
      </c>
      <c r="C718" s="1" t="s">
        <v>1814</v>
      </c>
      <c r="D718" s="4">
        <v>39864.223611111112</v>
      </c>
      <c r="E718" s="1" t="s">
        <v>1887</v>
      </c>
      <c r="F718" s="1"/>
      <c r="G718" s="5" t="s">
        <v>64</v>
      </c>
      <c r="H718" s="5" t="s">
        <v>375</v>
      </c>
      <c r="I718" s="1" t="s">
        <v>900</v>
      </c>
      <c r="J718" s="1"/>
      <c r="K718" s="1" t="s">
        <v>2163</v>
      </c>
      <c r="L718" s="2" t="s">
        <v>2164</v>
      </c>
      <c r="M718" s="1"/>
      <c r="N718" s="1"/>
      <c r="O718" s="1"/>
      <c r="P718" s="1"/>
      <c r="Q718" s="1"/>
      <c r="R718" s="1"/>
      <c r="S718" s="1"/>
      <c r="T718" s="1"/>
      <c r="U718" s="1"/>
      <c r="V718" s="1"/>
      <c r="W718" s="1"/>
      <c r="X718" s="1"/>
      <c r="Y718" s="1"/>
      <c r="Z718" s="1"/>
    </row>
    <row r="719" spans="1:26" ht="33.75" customHeight="1">
      <c r="A719" s="1">
        <v>811</v>
      </c>
      <c r="B719" s="1" t="s">
        <v>2165</v>
      </c>
      <c r="C719" s="1" t="s">
        <v>1696</v>
      </c>
      <c r="D719" s="4">
        <v>39864.288888888892</v>
      </c>
      <c r="E719" s="1" t="s">
        <v>320</v>
      </c>
      <c r="F719" s="1" t="s">
        <v>2166</v>
      </c>
      <c r="G719" s="5" t="s">
        <v>26</v>
      </c>
      <c r="H719" s="5" t="s">
        <v>133</v>
      </c>
      <c r="I719" s="1" t="s">
        <v>28</v>
      </c>
      <c r="J719" s="1" t="s">
        <v>134</v>
      </c>
      <c r="K719" s="1" t="s">
        <v>2167</v>
      </c>
      <c r="L719" s="2" t="s">
        <v>2168</v>
      </c>
      <c r="M719" s="1"/>
      <c r="N719" s="1"/>
      <c r="O719" s="1"/>
      <c r="P719" s="1"/>
      <c r="Q719" s="1"/>
      <c r="R719" s="1"/>
      <c r="S719" s="1"/>
      <c r="T719" s="1"/>
      <c r="U719" s="1"/>
      <c r="V719" s="1"/>
      <c r="W719" s="1"/>
      <c r="X719" s="1"/>
      <c r="Y719" s="1"/>
      <c r="Z719" s="1"/>
    </row>
    <row r="720" spans="1:26" ht="33.75" customHeight="1">
      <c r="A720" s="1">
        <v>812</v>
      </c>
      <c r="B720" s="1" t="s">
        <v>2169</v>
      </c>
      <c r="C720" s="1" t="s">
        <v>1696</v>
      </c>
      <c r="D720" s="4">
        <v>39864.291666666664</v>
      </c>
      <c r="E720" s="1" t="s">
        <v>320</v>
      </c>
      <c r="F720" s="1"/>
      <c r="G720" s="6" t="s">
        <v>78</v>
      </c>
      <c r="H720" s="5" t="s">
        <v>223</v>
      </c>
      <c r="I720" s="1" t="s">
        <v>2170</v>
      </c>
      <c r="J720" s="1"/>
      <c r="K720" s="1"/>
      <c r="L720" s="2" t="s">
        <v>2171</v>
      </c>
      <c r="M720" s="1"/>
      <c r="N720" s="1"/>
      <c r="O720" s="1"/>
      <c r="P720" s="1"/>
      <c r="Q720" s="1"/>
      <c r="R720" s="1"/>
      <c r="S720" s="1"/>
      <c r="T720" s="1"/>
      <c r="U720" s="1"/>
      <c r="V720" s="1"/>
      <c r="W720" s="1"/>
      <c r="X720" s="1"/>
      <c r="Y720" s="1"/>
      <c r="Z720" s="1"/>
    </row>
    <row r="721" spans="1:26" ht="33.75" customHeight="1">
      <c r="A721" s="1">
        <v>813</v>
      </c>
      <c r="B721" s="1" t="s">
        <v>2172</v>
      </c>
      <c r="C721" s="1" t="s">
        <v>1696</v>
      </c>
      <c r="D721" s="4">
        <v>39864.299305555556</v>
      </c>
      <c r="E721" s="1" t="s">
        <v>196</v>
      </c>
      <c r="F721" s="1"/>
      <c r="G721" s="5" t="s">
        <v>64</v>
      </c>
      <c r="H721" s="5" t="s">
        <v>282</v>
      </c>
      <c r="I721" s="1" t="s">
        <v>283</v>
      </c>
      <c r="J721" s="1"/>
      <c r="K721" s="1"/>
      <c r="L721" s="2" t="s">
        <v>2173</v>
      </c>
      <c r="M721" s="1"/>
      <c r="N721" s="1"/>
      <c r="O721" s="1"/>
      <c r="P721" s="1"/>
      <c r="Q721" s="1"/>
      <c r="R721" s="1"/>
      <c r="S721" s="1"/>
      <c r="T721" s="1"/>
      <c r="U721" s="1"/>
      <c r="V721" s="1"/>
      <c r="W721" s="1"/>
      <c r="X721" s="1"/>
      <c r="Y721" s="1"/>
      <c r="Z721" s="1"/>
    </row>
    <row r="722" spans="1:26" ht="33.75" customHeight="1">
      <c r="A722" s="1">
        <v>814</v>
      </c>
      <c r="B722" s="1" t="s">
        <v>2174</v>
      </c>
      <c r="C722" s="1" t="s">
        <v>1696</v>
      </c>
      <c r="D722" s="4">
        <v>39864.304166666669</v>
      </c>
      <c r="E722" s="1" t="s">
        <v>196</v>
      </c>
      <c r="F722" s="1" t="s">
        <v>2172</v>
      </c>
      <c r="G722" s="5" t="s">
        <v>64</v>
      </c>
      <c r="H722" s="5" t="s">
        <v>179</v>
      </c>
      <c r="I722" s="1" t="s">
        <v>179</v>
      </c>
      <c r="J722" s="1"/>
      <c r="K722" s="1"/>
      <c r="L722" s="2" t="s">
        <v>2175</v>
      </c>
      <c r="M722" s="1"/>
      <c r="N722" s="1"/>
      <c r="O722" s="1"/>
      <c r="P722" s="1"/>
      <c r="Q722" s="1"/>
      <c r="R722" s="1"/>
      <c r="S722" s="1"/>
      <c r="T722" s="1"/>
      <c r="U722" s="1"/>
      <c r="V722" s="1"/>
      <c r="W722" s="1"/>
      <c r="X722" s="1"/>
      <c r="Y722" s="1"/>
      <c r="Z722" s="1"/>
    </row>
    <row r="723" spans="1:26" ht="33.75" customHeight="1">
      <c r="A723" s="1">
        <v>815</v>
      </c>
      <c r="B723" s="1" t="s">
        <v>2176</v>
      </c>
      <c r="C723" s="1" t="s">
        <v>1696</v>
      </c>
      <c r="D723" s="4">
        <v>39864.313888888886</v>
      </c>
      <c r="E723" s="1" t="s">
        <v>196</v>
      </c>
      <c r="F723" s="1" t="s">
        <v>2169</v>
      </c>
      <c r="G723" s="5" t="s">
        <v>26</v>
      </c>
      <c r="H723" s="5" t="s">
        <v>27</v>
      </c>
      <c r="I723" s="1" t="s">
        <v>28</v>
      </c>
      <c r="J723" s="1" t="s">
        <v>259</v>
      </c>
      <c r="K723" s="1"/>
      <c r="L723" s="2" t="s">
        <v>2177</v>
      </c>
      <c r="M723" s="1"/>
      <c r="N723" s="1"/>
      <c r="O723" s="1"/>
      <c r="P723" s="1"/>
      <c r="Q723" s="1"/>
      <c r="R723" s="1"/>
      <c r="S723" s="1"/>
      <c r="T723" s="1"/>
      <c r="U723" s="1"/>
      <c r="V723" s="1"/>
      <c r="W723" s="1"/>
      <c r="X723" s="1"/>
      <c r="Y723" s="1"/>
      <c r="Z723" s="1"/>
    </row>
    <row r="724" spans="1:26" ht="33.75" customHeight="1">
      <c r="A724" s="1">
        <v>816</v>
      </c>
      <c r="B724" s="1" t="s">
        <v>2178</v>
      </c>
      <c r="C724" s="1" t="s">
        <v>1696</v>
      </c>
      <c r="D724" s="4">
        <v>39864.322222222225</v>
      </c>
      <c r="E724" s="1" t="s">
        <v>255</v>
      </c>
      <c r="F724" s="1" t="s">
        <v>2176</v>
      </c>
      <c r="G724" s="5" t="s">
        <v>26</v>
      </c>
      <c r="H724" s="5" t="s">
        <v>133</v>
      </c>
      <c r="I724" s="1" t="s">
        <v>28</v>
      </c>
      <c r="J724" s="1" t="s">
        <v>134</v>
      </c>
      <c r="K724" s="1"/>
      <c r="L724" s="2" t="s">
        <v>2179</v>
      </c>
      <c r="M724" s="1"/>
      <c r="N724" s="1"/>
      <c r="O724" s="1"/>
      <c r="P724" s="1"/>
      <c r="Q724" s="1"/>
      <c r="R724" s="1"/>
      <c r="S724" s="1"/>
      <c r="T724" s="1"/>
      <c r="U724" s="1"/>
      <c r="V724" s="1"/>
      <c r="W724" s="1"/>
      <c r="X724" s="1"/>
      <c r="Y724" s="1"/>
      <c r="Z724" s="1"/>
    </row>
    <row r="725" spans="1:26" ht="33.75" customHeight="1">
      <c r="A725" s="1">
        <v>817</v>
      </c>
      <c r="B725" s="1" t="s">
        <v>2180</v>
      </c>
      <c r="C725" s="1" t="s">
        <v>1696</v>
      </c>
      <c r="D725" s="4">
        <v>39864.345833333333</v>
      </c>
      <c r="E725" s="1" t="s">
        <v>196</v>
      </c>
      <c r="F725" s="1" t="s">
        <v>2178</v>
      </c>
      <c r="G725" s="5" t="s">
        <v>26</v>
      </c>
      <c r="H725" s="5" t="s">
        <v>27</v>
      </c>
      <c r="I725" s="1" t="s">
        <v>28</v>
      </c>
      <c r="J725" s="1" t="s">
        <v>259</v>
      </c>
      <c r="K725" s="1" t="s">
        <v>2181</v>
      </c>
      <c r="L725" s="2" t="s">
        <v>2182</v>
      </c>
      <c r="M725" s="1"/>
      <c r="N725" s="1"/>
      <c r="O725" s="1"/>
      <c r="P725" s="1"/>
      <c r="Q725" s="1"/>
      <c r="R725" s="1"/>
      <c r="S725" s="1"/>
      <c r="T725" s="1"/>
      <c r="U725" s="1"/>
      <c r="V725" s="1"/>
      <c r="W725" s="1"/>
      <c r="X725" s="1"/>
      <c r="Y725" s="1"/>
      <c r="Z725" s="1"/>
    </row>
    <row r="726" spans="1:26" ht="33.75" customHeight="1">
      <c r="A726" s="1">
        <v>1832</v>
      </c>
      <c r="B726" s="1" t="s">
        <v>2183</v>
      </c>
      <c r="C726" s="1" t="s">
        <v>1814</v>
      </c>
      <c r="D726" s="4">
        <v>39864.353472222225</v>
      </c>
      <c r="E726" s="1" t="s">
        <v>381</v>
      </c>
      <c r="F726" s="1" t="s">
        <v>2184</v>
      </c>
      <c r="G726" s="5" t="s">
        <v>15</v>
      </c>
      <c r="H726" s="5" t="s">
        <v>402</v>
      </c>
      <c r="I726" s="1" t="s">
        <v>576</v>
      </c>
      <c r="J726" s="1"/>
      <c r="K726" s="1"/>
      <c r="L726" s="2" t="s">
        <v>2185</v>
      </c>
      <c r="M726" s="1"/>
      <c r="N726" s="1"/>
      <c r="O726" s="1"/>
      <c r="P726" s="1"/>
      <c r="Q726" s="1"/>
      <c r="R726" s="1"/>
      <c r="S726" s="1"/>
      <c r="T726" s="1"/>
      <c r="U726" s="1"/>
      <c r="V726" s="1"/>
      <c r="W726" s="1"/>
      <c r="X726" s="1"/>
      <c r="Y726" s="1"/>
      <c r="Z726" s="1"/>
    </row>
    <row r="727" spans="1:26" ht="33.75" customHeight="1">
      <c r="A727" s="1">
        <v>1833</v>
      </c>
      <c r="B727" s="1" t="s">
        <v>2186</v>
      </c>
      <c r="C727" s="1" t="s">
        <v>1814</v>
      </c>
      <c r="D727" s="4">
        <v>39864.357638888891</v>
      </c>
      <c r="E727" s="1" t="s">
        <v>1241</v>
      </c>
      <c r="F727" s="1">
        <v>229</v>
      </c>
      <c r="G727" s="5" t="s">
        <v>64</v>
      </c>
      <c r="H727" s="1"/>
      <c r="I727" s="1" t="s">
        <v>64</v>
      </c>
      <c r="J727" s="1"/>
      <c r="K727" s="1"/>
      <c r="L727" s="2" t="s">
        <v>2187</v>
      </c>
      <c r="M727" s="1"/>
      <c r="N727" s="1"/>
      <c r="O727" s="1"/>
      <c r="P727" s="1"/>
      <c r="Q727" s="1"/>
      <c r="R727" s="1"/>
      <c r="S727" s="1"/>
      <c r="T727" s="1"/>
      <c r="U727" s="1"/>
      <c r="V727" s="1"/>
      <c r="W727" s="1"/>
      <c r="X727" s="1"/>
      <c r="Y727" s="1"/>
      <c r="Z727" s="1"/>
    </row>
    <row r="728" spans="1:26" ht="33.75" customHeight="1">
      <c r="A728" s="1">
        <v>818</v>
      </c>
      <c r="B728" s="1" t="s">
        <v>2188</v>
      </c>
      <c r="C728" s="1" t="s">
        <v>1696</v>
      </c>
      <c r="D728" s="4">
        <v>39864.380555555559</v>
      </c>
      <c r="E728" s="1" t="s">
        <v>14</v>
      </c>
      <c r="F728" s="1" t="s">
        <v>2165</v>
      </c>
      <c r="G728" s="5" t="s">
        <v>26</v>
      </c>
      <c r="H728" s="5" t="s">
        <v>27</v>
      </c>
      <c r="I728" s="1" t="s">
        <v>28</v>
      </c>
      <c r="J728" s="1" t="s">
        <v>259</v>
      </c>
      <c r="K728" s="1"/>
      <c r="L728" s="2" t="s">
        <v>2189</v>
      </c>
      <c r="M728" s="1"/>
      <c r="N728" s="1"/>
      <c r="O728" s="1"/>
      <c r="P728" s="1"/>
      <c r="Q728" s="1"/>
      <c r="R728" s="1"/>
      <c r="S728" s="1"/>
      <c r="T728" s="1"/>
      <c r="U728" s="1"/>
      <c r="V728" s="1"/>
      <c r="W728" s="1"/>
      <c r="X728" s="1"/>
      <c r="Y728" s="1"/>
      <c r="Z728" s="1"/>
    </row>
    <row r="729" spans="1:26" ht="33.75" customHeight="1">
      <c r="A729" s="1">
        <v>819</v>
      </c>
      <c r="B729" s="1" t="s">
        <v>2190</v>
      </c>
      <c r="C729" s="1" t="s">
        <v>1696</v>
      </c>
      <c r="D729" s="4">
        <v>39864.390277777777</v>
      </c>
      <c r="E729" s="1" t="s">
        <v>14</v>
      </c>
      <c r="F729" s="1" t="s">
        <v>2155</v>
      </c>
      <c r="G729" s="5" t="s">
        <v>15</v>
      </c>
      <c r="H729" s="5" t="s">
        <v>150</v>
      </c>
      <c r="I729" s="1" t="s">
        <v>2191</v>
      </c>
      <c r="J729" s="1"/>
      <c r="K729" s="1" t="s">
        <v>2192</v>
      </c>
      <c r="L729" s="2" t="s">
        <v>2193</v>
      </c>
      <c r="M729" s="1"/>
      <c r="N729" s="1"/>
      <c r="O729" s="1"/>
      <c r="P729" s="1"/>
      <c r="Q729" s="1"/>
      <c r="R729" s="1"/>
      <c r="S729" s="1"/>
      <c r="T729" s="1"/>
      <c r="U729" s="1"/>
      <c r="V729" s="1"/>
      <c r="W729" s="1"/>
      <c r="X729" s="1"/>
      <c r="Y729" s="1"/>
      <c r="Z729" s="1"/>
    </row>
    <row r="730" spans="1:26" ht="33.75" customHeight="1">
      <c r="A730" s="1">
        <v>1725</v>
      </c>
      <c r="B730" s="1" t="s">
        <v>2194</v>
      </c>
      <c r="C730" s="1" t="s">
        <v>1519</v>
      </c>
      <c r="D730" s="4">
        <v>39864.479166666664</v>
      </c>
      <c r="E730" s="1" t="s">
        <v>54</v>
      </c>
      <c r="F730" s="1" t="s">
        <v>2195</v>
      </c>
      <c r="G730" s="5" t="s">
        <v>26</v>
      </c>
      <c r="H730" s="5" t="s">
        <v>133</v>
      </c>
      <c r="I730" s="1" t="s">
        <v>28</v>
      </c>
      <c r="J730" s="1" t="s">
        <v>134</v>
      </c>
      <c r="K730" s="1" t="s">
        <v>2196</v>
      </c>
      <c r="L730" s="2" t="s">
        <v>2197</v>
      </c>
      <c r="M730" s="1"/>
      <c r="N730" s="1"/>
      <c r="O730" s="1"/>
      <c r="P730" s="1"/>
      <c r="Q730" s="1"/>
      <c r="R730" s="1"/>
      <c r="S730" s="1"/>
      <c r="T730" s="1"/>
      <c r="U730" s="1"/>
      <c r="V730" s="1"/>
      <c r="W730" s="1"/>
      <c r="X730" s="1"/>
      <c r="Y730" s="1"/>
      <c r="Z730" s="1"/>
    </row>
    <row r="731" spans="1:26" ht="33.75" customHeight="1">
      <c r="A731" s="1">
        <v>1726</v>
      </c>
      <c r="B731" s="1" t="s">
        <v>2198</v>
      </c>
      <c r="C731" s="1" t="s">
        <v>1519</v>
      </c>
      <c r="D731" s="4">
        <v>39864.491666666669</v>
      </c>
      <c r="E731" s="1" t="s">
        <v>54</v>
      </c>
      <c r="F731" s="1" t="s">
        <v>2194</v>
      </c>
      <c r="G731" s="5" t="s">
        <v>64</v>
      </c>
      <c r="H731" s="5" t="s">
        <v>263</v>
      </c>
      <c r="I731" s="1" t="s">
        <v>1803</v>
      </c>
      <c r="J731" s="1"/>
      <c r="K731" s="1" t="s">
        <v>2199</v>
      </c>
      <c r="L731" s="2" t="s">
        <v>2200</v>
      </c>
      <c r="M731" s="1"/>
      <c r="N731" s="1"/>
      <c r="O731" s="1"/>
      <c r="P731" s="1"/>
      <c r="Q731" s="1"/>
      <c r="R731" s="1"/>
      <c r="S731" s="1"/>
      <c r="T731" s="1"/>
      <c r="U731" s="1"/>
      <c r="V731" s="1"/>
      <c r="W731" s="1"/>
      <c r="X731" s="1"/>
      <c r="Y731" s="1"/>
      <c r="Z731" s="1"/>
    </row>
    <row r="732" spans="1:26" ht="33.75" customHeight="1">
      <c r="A732" s="1">
        <v>1834</v>
      </c>
      <c r="B732" s="1" t="s">
        <v>2201</v>
      </c>
      <c r="C732" s="1" t="s">
        <v>1814</v>
      </c>
      <c r="D732" s="4">
        <v>39864.509027777778</v>
      </c>
      <c r="E732" s="1" t="s">
        <v>772</v>
      </c>
      <c r="F732" s="1"/>
      <c r="G732" s="5" t="s">
        <v>15</v>
      </c>
      <c r="H732" s="5" t="s">
        <v>150</v>
      </c>
      <c r="I732" s="1" t="s">
        <v>2202</v>
      </c>
      <c r="J732" s="1"/>
      <c r="K732" s="1"/>
      <c r="L732" s="2" t="s">
        <v>2203</v>
      </c>
      <c r="M732" s="1"/>
      <c r="N732" s="1"/>
      <c r="O732" s="1"/>
      <c r="P732" s="1"/>
      <c r="Q732" s="1"/>
      <c r="R732" s="1"/>
      <c r="S732" s="1"/>
      <c r="T732" s="1"/>
      <c r="U732" s="1"/>
      <c r="V732" s="1"/>
      <c r="W732" s="1"/>
      <c r="X732" s="1"/>
      <c r="Y732" s="1"/>
      <c r="Z732" s="1"/>
    </row>
    <row r="733" spans="1:26" ht="33.75" customHeight="1">
      <c r="A733" s="1">
        <v>820</v>
      </c>
      <c r="B733" s="1" t="s">
        <v>2204</v>
      </c>
      <c r="C733" s="1" t="s">
        <v>1696</v>
      </c>
      <c r="D733" s="4">
        <v>39864.511805555558</v>
      </c>
      <c r="E733" s="1" t="s">
        <v>14</v>
      </c>
      <c r="F733" s="1"/>
      <c r="G733" s="5" t="s">
        <v>64</v>
      </c>
      <c r="H733" s="1"/>
      <c r="I733" s="1" t="s">
        <v>64</v>
      </c>
      <c r="J733" s="1"/>
      <c r="K733" s="1" t="s">
        <v>2205</v>
      </c>
      <c r="L733" s="2" t="s">
        <v>2206</v>
      </c>
      <c r="M733" s="1"/>
      <c r="N733" s="1"/>
      <c r="O733" s="1"/>
      <c r="P733" s="1"/>
      <c r="Q733" s="1"/>
      <c r="R733" s="1"/>
      <c r="S733" s="1"/>
      <c r="T733" s="1"/>
      <c r="U733" s="1"/>
      <c r="V733" s="1"/>
      <c r="W733" s="1"/>
      <c r="X733" s="1"/>
      <c r="Y733" s="1"/>
      <c r="Z733" s="1"/>
    </row>
    <row r="734" spans="1:26" ht="33.75" customHeight="1">
      <c r="A734" s="1">
        <v>821</v>
      </c>
      <c r="B734" s="1" t="s">
        <v>2207</v>
      </c>
      <c r="C734" s="1" t="s">
        <v>1696</v>
      </c>
      <c r="D734" s="4">
        <v>39864.52847222222</v>
      </c>
      <c r="E734" s="1" t="s">
        <v>14</v>
      </c>
      <c r="F734" s="1"/>
      <c r="G734" s="5" t="s">
        <v>64</v>
      </c>
      <c r="H734" s="5" t="s">
        <v>282</v>
      </c>
      <c r="I734" s="1" t="s">
        <v>283</v>
      </c>
      <c r="J734" s="1"/>
      <c r="K734" s="1"/>
      <c r="L734" s="2" t="s">
        <v>2208</v>
      </c>
      <c r="M734" s="1"/>
      <c r="N734" s="1"/>
      <c r="O734" s="1"/>
      <c r="P734" s="1"/>
      <c r="Q734" s="1"/>
      <c r="R734" s="1"/>
      <c r="S734" s="1"/>
      <c r="T734" s="1"/>
      <c r="U734" s="1"/>
      <c r="V734" s="1"/>
      <c r="W734" s="1"/>
      <c r="X734" s="1"/>
      <c r="Y734" s="1"/>
      <c r="Z734" s="1"/>
    </row>
    <row r="735" spans="1:26" ht="33.75" customHeight="1">
      <c r="A735" s="1">
        <v>822</v>
      </c>
      <c r="B735" s="1" t="s">
        <v>2209</v>
      </c>
      <c r="C735" s="1" t="s">
        <v>1696</v>
      </c>
      <c r="D735" s="4">
        <v>39864.579861111109</v>
      </c>
      <c r="E735" s="1" t="s">
        <v>14</v>
      </c>
      <c r="F735" s="1" t="s">
        <v>2207</v>
      </c>
      <c r="G735" s="5" t="s">
        <v>64</v>
      </c>
      <c r="H735" s="5" t="s">
        <v>375</v>
      </c>
      <c r="I735" s="1" t="s">
        <v>900</v>
      </c>
      <c r="J735" s="1"/>
      <c r="K735" s="1" t="s">
        <v>2210</v>
      </c>
      <c r="L735" s="2" t="s">
        <v>2211</v>
      </c>
      <c r="M735" s="1"/>
      <c r="N735" s="1"/>
      <c r="O735" s="1"/>
      <c r="P735" s="1"/>
      <c r="Q735" s="1"/>
      <c r="R735" s="1"/>
      <c r="S735" s="1"/>
      <c r="T735" s="1"/>
      <c r="U735" s="1"/>
      <c r="V735" s="1"/>
      <c r="W735" s="1"/>
      <c r="X735" s="1"/>
      <c r="Y735" s="1"/>
      <c r="Z735" s="1"/>
    </row>
    <row r="736" spans="1:26" ht="33.75" customHeight="1">
      <c r="A736" s="1">
        <v>104</v>
      </c>
      <c r="B736" s="1" t="s">
        <v>2212</v>
      </c>
      <c r="C736" s="3" t="s">
        <v>13</v>
      </c>
      <c r="D736" s="4">
        <v>39864.62222222222</v>
      </c>
      <c r="E736" s="1" t="s">
        <v>2213</v>
      </c>
      <c r="F736" s="1"/>
      <c r="G736" s="5" t="s">
        <v>15</v>
      </c>
      <c r="H736" s="5" t="s">
        <v>50</v>
      </c>
      <c r="I736" s="1" t="s">
        <v>2214</v>
      </c>
      <c r="J736" s="1"/>
      <c r="K736" s="1"/>
      <c r="L736" s="2" t="s">
        <v>2215</v>
      </c>
      <c r="M736" s="1"/>
      <c r="N736" s="1"/>
      <c r="O736" s="1"/>
      <c r="P736" s="1"/>
      <c r="Q736" s="1"/>
      <c r="R736" s="1"/>
      <c r="S736" s="1"/>
      <c r="T736" s="1"/>
      <c r="U736" s="1"/>
      <c r="V736" s="1"/>
      <c r="W736" s="1"/>
      <c r="X736" s="1"/>
      <c r="Y736" s="1"/>
      <c r="Z736" s="1"/>
    </row>
    <row r="737" spans="1:26" ht="33.75" customHeight="1">
      <c r="A737" s="1">
        <v>823</v>
      </c>
      <c r="B737" s="1" t="s">
        <v>2216</v>
      </c>
      <c r="C737" s="1" t="s">
        <v>1696</v>
      </c>
      <c r="D737" s="4">
        <v>39864.668749999997</v>
      </c>
      <c r="E737" s="1" t="s">
        <v>320</v>
      </c>
      <c r="F737" s="1" t="s">
        <v>2190</v>
      </c>
      <c r="G737" s="5" t="s">
        <v>26</v>
      </c>
      <c r="H737" s="5" t="s">
        <v>1010</v>
      </c>
      <c r="I737" s="1" t="s">
        <v>28</v>
      </c>
      <c r="J737" s="1" t="s">
        <v>2217</v>
      </c>
      <c r="K737" s="1" t="s">
        <v>2218</v>
      </c>
      <c r="L737" s="2" t="s">
        <v>2219</v>
      </c>
      <c r="M737" s="1"/>
      <c r="N737" s="1"/>
      <c r="O737" s="1"/>
      <c r="P737" s="1"/>
      <c r="Q737" s="1"/>
      <c r="R737" s="1"/>
      <c r="S737" s="1"/>
      <c r="T737" s="1"/>
      <c r="U737" s="1"/>
      <c r="V737" s="1"/>
      <c r="W737" s="1"/>
      <c r="X737" s="1"/>
      <c r="Y737" s="1"/>
      <c r="Z737" s="1"/>
    </row>
    <row r="738" spans="1:26" ht="33.75" customHeight="1">
      <c r="A738" s="1">
        <v>824</v>
      </c>
      <c r="B738" s="1" t="s">
        <v>2220</v>
      </c>
      <c r="C738" s="1" t="s">
        <v>1696</v>
      </c>
      <c r="D738" s="4">
        <v>39864.698611111111</v>
      </c>
      <c r="E738" s="1" t="s">
        <v>14</v>
      </c>
      <c r="F738" s="1" t="s">
        <v>2216</v>
      </c>
      <c r="G738" s="5" t="s">
        <v>26</v>
      </c>
      <c r="H738" s="5" t="s">
        <v>27</v>
      </c>
      <c r="I738" s="1" t="s">
        <v>28</v>
      </c>
      <c r="J738" s="1" t="s">
        <v>259</v>
      </c>
      <c r="K738" s="1"/>
      <c r="L738" s="2" t="s">
        <v>2221</v>
      </c>
      <c r="M738" s="1"/>
      <c r="N738" s="1"/>
      <c r="O738" s="1"/>
      <c r="P738" s="1"/>
      <c r="Q738" s="1"/>
      <c r="R738" s="1"/>
      <c r="S738" s="1"/>
      <c r="T738" s="1"/>
      <c r="U738" s="1"/>
      <c r="V738" s="1"/>
      <c r="W738" s="1"/>
      <c r="X738" s="1"/>
      <c r="Y738" s="1"/>
      <c r="Z738" s="1"/>
    </row>
    <row r="739" spans="1:26" ht="33.75" customHeight="1">
      <c r="A739" s="1">
        <v>825</v>
      </c>
      <c r="B739" s="1" t="s">
        <v>2222</v>
      </c>
      <c r="C739" s="1" t="s">
        <v>1696</v>
      </c>
      <c r="D739" s="4">
        <v>39864.759722222225</v>
      </c>
      <c r="E739" s="1" t="s">
        <v>14</v>
      </c>
      <c r="F739" s="1" t="s">
        <v>2223</v>
      </c>
      <c r="G739" s="5" t="s">
        <v>15</v>
      </c>
      <c r="H739" s="5" t="s">
        <v>150</v>
      </c>
      <c r="I739" s="1" t="s">
        <v>295</v>
      </c>
      <c r="J739" s="1"/>
      <c r="K739" s="1" t="s">
        <v>2224</v>
      </c>
      <c r="L739" s="2" t="s">
        <v>2225</v>
      </c>
      <c r="M739" s="1"/>
      <c r="N739" s="1"/>
      <c r="O739" s="1"/>
      <c r="P739" s="1"/>
      <c r="Q739" s="1"/>
      <c r="R739" s="1"/>
      <c r="S739" s="1"/>
      <c r="T739" s="1"/>
      <c r="U739" s="1"/>
      <c r="V739" s="1"/>
      <c r="W739" s="1"/>
      <c r="X739" s="1"/>
      <c r="Y739" s="1"/>
      <c r="Z739" s="1"/>
    </row>
    <row r="740" spans="1:26" ht="33.75" customHeight="1">
      <c r="A740" s="1">
        <v>826</v>
      </c>
      <c r="B740" s="1" t="s">
        <v>2226</v>
      </c>
      <c r="C740" s="1" t="s">
        <v>1696</v>
      </c>
      <c r="D740" s="4">
        <v>39864.789583333331</v>
      </c>
      <c r="E740" s="1" t="s">
        <v>14</v>
      </c>
      <c r="F740" s="1" t="s">
        <v>2222</v>
      </c>
      <c r="G740" s="1" t="s">
        <v>64</v>
      </c>
      <c r="H740" s="1" t="s">
        <v>263</v>
      </c>
      <c r="I740" s="1" t="s">
        <v>2227</v>
      </c>
      <c r="J740" s="1"/>
      <c r="K740" s="1"/>
      <c r="L740" s="2" t="s">
        <v>2228</v>
      </c>
      <c r="M740" s="1"/>
      <c r="N740" s="1"/>
      <c r="O740" s="1"/>
      <c r="P740" s="1"/>
      <c r="Q740" s="1"/>
      <c r="R740" s="1"/>
      <c r="S740" s="1"/>
      <c r="T740" s="1"/>
      <c r="U740" s="1"/>
      <c r="V740" s="1"/>
      <c r="W740" s="1"/>
      <c r="X740" s="1"/>
      <c r="Y740" s="1"/>
      <c r="Z740" s="1"/>
    </row>
    <row r="741" spans="1:26" ht="33.75" customHeight="1">
      <c r="A741" s="1">
        <v>827</v>
      </c>
      <c r="B741" s="1" t="s">
        <v>2229</v>
      </c>
      <c r="C741" s="1" t="s">
        <v>1696</v>
      </c>
      <c r="D741" s="4">
        <v>39864.808333333334</v>
      </c>
      <c r="E741" s="1" t="s">
        <v>14</v>
      </c>
      <c r="F741" s="1"/>
      <c r="G741" s="6" t="s">
        <v>78</v>
      </c>
      <c r="H741" s="5" t="s">
        <v>79</v>
      </c>
      <c r="I741" s="1" t="s">
        <v>2230</v>
      </c>
      <c r="J741" s="1"/>
      <c r="K741" s="1" t="s">
        <v>2231</v>
      </c>
      <c r="L741" s="2" t="s">
        <v>2232</v>
      </c>
      <c r="M741" s="1"/>
      <c r="N741" s="1"/>
      <c r="O741" s="1"/>
      <c r="P741" s="1"/>
      <c r="Q741" s="1"/>
      <c r="R741" s="1"/>
      <c r="S741" s="1"/>
      <c r="T741" s="1"/>
      <c r="U741" s="1"/>
      <c r="V741" s="1"/>
      <c r="W741" s="1"/>
      <c r="X741" s="1"/>
      <c r="Y741" s="1"/>
      <c r="Z741" s="1"/>
    </row>
    <row r="742" spans="1:26" ht="33.75" customHeight="1">
      <c r="A742" s="1">
        <v>828</v>
      </c>
      <c r="B742" s="1" t="s">
        <v>2233</v>
      </c>
      <c r="C742" s="1" t="s">
        <v>1696</v>
      </c>
      <c r="D742" s="4">
        <v>39864.831944444442</v>
      </c>
      <c r="E742" s="1" t="s">
        <v>14</v>
      </c>
      <c r="F742" s="1" t="s">
        <v>2229</v>
      </c>
      <c r="G742" s="5" t="s">
        <v>64</v>
      </c>
      <c r="H742" s="5" t="s">
        <v>282</v>
      </c>
      <c r="I742" s="1" t="s">
        <v>283</v>
      </c>
      <c r="J742" s="1"/>
      <c r="K742" s="1"/>
      <c r="L742" s="2" t="s">
        <v>2234</v>
      </c>
      <c r="M742" s="1"/>
      <c r="N742" s="1"/>
      <c r="O742" s="1"/>
      <c r="P742" s="1"/>
      <c r="Q742" s="1"/>
      <c r="R742" s="1"/>
      <c r="S742" s="1"/>
      <c r="T742" s="1"/>
      <c r="U742" s="1"/>
      <c r="V742" s="1"/>
      <c r="W742" s="1"/>
      <c r="X742" s="1"/>
      <c r="Y742" s="1"/>
      <c r="Z742" s="1"/>
    </row>
    <row r="743" spans="1:26" ht="33.75" customHeight="1">
      <c r="A743" s="1">
        <v>1733</v>
      </c>
      <c r="B743" s="1" t="s">
        <v>2235</v>
      </c>
      <c r="C743" s="1" t="s">
        <v>1814</v>
      </c>
      <c r="D743" s="4">
        <v>39864.870833333334</v>
      </c>
      <c r="E743" s="1" t="s">
        <v>1089</v>
      </c>
      <c r="F743" s="1" t="s">
        <v>2236</v>
      </c>
      <c r="G743" s="6" t="s">
        <v>78</v>
      </c>
      <c r="H743" s="1" t="s">
        <v>479</v>
      </c>
      <c r="I743" s="1" t="s">
        <v>480</v>
      </c>
      <c r="J743" s="1" t="s">
        <v>1063</v>
      </c>
      <c r="K743" s="1" t="s">
        <v>2237</v>
      </c>
      <c r="L743" s="2" t="s">
        <v>2238</v>
      </c>
      <c r="M743" s="1"/>
      <c r="N743" s="1"/>
      <c r="O743" s="1"/>
      <c r="P743" s="1"/>
      <c r="Q743" s="1"/>
      <c r="R743" s="1"/>
      <c r="S743" s="1"/>
      <c r="T743" s="1"/>
      <c r="U743" s="1"/>
      <c r="V743" s="1"/>
      <c r="W743" s="1"/>
      <c r="X743" s="1"/>
      <c r="Y743" s="1"/>
      <c r="Z743" s="1"/>
    </row>
    <row r="744" spans="1:26" ht="33.75" customHeight="1">
      <c r="A744" s="1">
        <v>829</v>
      </c>
      <c r="B744" s="1" t="s">
        <v>2239</v>
      </c>
      <c r="C744" s="1" t="s">
        <v>1696</v>
      </c>
      <c r="D744" s="4">
        <v>39865.018055555556</v>
      </c>
      <c r="E744" s="1" t="s">
        <v>14</v>
      </c>
      <c r="F744" s="1" t="s">
        <v>2229</v>
      </c>
      <c r="G744" s="5" t="s">
        <v>64</v>
      </c>
      <c r="H744" s="5" t="s">
        <v>282</v>
      </c>
      <c r="I744" s="1" t="s">
        <v>283</v>
      </c>
      <c r="J744" s="1"/>
      <c r="K744" s="1"/>
      <c r="L744" s="2" t="s">
        <v>2240</v>
      </c>
      <c r="M744" s="1"/>
      <c r="N744" s="1"/>
      <c r="O744" s="1"/>
      <c r="P744" s="1"/>
      <c r="Q744" s="1"/>
      <c r="R744" s="1"/>
      <c r="S744" s="1"/>
      <c r="T744" s="1"/>
      <c r="U744" s="1"/>
      <c r="V744" s="1"/>
      <c r="W744" s="1"/>
      <c r="X744" s="1"/>
      <c r="Y744" s="1"/>
      <c r="Z744" s="1"/>
    </row>
    <row r="745" spans="1:26" ht="33.75" customHeight="1">
      <c r="A745" s="1">
        <v>1734</v>
      </c>
      <c r="B745" s="1" t="s">
        <v>2241</v>
      </c>
      <c r="C745" s="1" t="s">
        <v>1814</v>
      </c>
      <c r="D745" s="4">
        <v>39865.229166666664</v>
      </c>
      <c r="E745" s="1" t="s">
        <v>2242</v>
      </c>
      <c r="F745" s="1"/>
      <c r="G745" s="6" t="s">
        <v>78</v>
      </c>
      <c r="H745" s="5" t="s">
        <v>197</v>
      </c>
      <c r="I745" s="1" t="s">
        <v>372</v>
      </c>
      <c r="J745" s="1"/>
      <c r="K745" s="1"/>
      <c r="L745" s="2" t="s">
        <v>2243</v>
      </c>
      <c r="M745" s="1"/>
      <c r="N745" s="1"/>
      <c r="O745" s="1"/>
      <c r="P745" s="1"/>
      <c r="Q745" s="1"/>
      <c r="R745" s="1"/>
      <c r="S745" s="1"/>
      <c r="T745" s="1"/>
      <c r="U745" s="1"/>
      <c r="V745" s="1"/>
      <c r="W745" s="1"/>
      <c r="X745" s="1"/>
      <c r="Y745" s="1"/>
      <c r="Z745" s="1"/>
    </row>
    <row r="746" spans="1:26" ht="33.75" customHeight="1">
      <c r="A746" s="1">
        <v>1735</v>
      </c>
      <c r="B746" s="1" t="s">
        <v>2244</v>
      </c>
      <c r="C746" s="1" t="s">
        <v>1814</v>
      </c>
      <c r="D746" s="4">
        <v>39865.231944444444</v>
      </c>
      <c r="E746" s="1" t="s">
        <v>1089</v>
      </c>
      <c r="F746" s="1"/>
      <c r="G746" s="5" t="s">
        <v>33</v>
      </c>
      <c r="H746" s="5" t="s">
        <v>34</v>
      </c>
      <c r="I746" s="1" t="s">
        <v>1605</v>
      </c>
      <c r="J746" s="1"/>
      <c r="K746" s="1" t="s">
        <v>2245</v>
      </c>
      <c r="L746" s="2" t="s">
        <v>2246</v>
      </c>
      <c r="M746" s="1"/>
      <c r="N746" s="1"/>
      <c r="O746" s="1"/>
      <c r="P746" s="1"/>
      <c r="Q746" s="1"/>
      <c r="R746" s="1"/>
      <c r="S746" s="1"/>
      <c r="T746" s="1"/>
      <c r="U746" s="1"/>
      <c r="V746" s="1"/>
      <c r="W746" s="1"/>
      <c r="X746" s="1"/>
      <c r="Y746" s="1"/>
      <c r="Z746" s="1"/>
    </row>
    <row r="747" spans="1:26" ht="33.75" customHeight="1">
      <c r="A747" s="1">
        <v>830</v>
      </c>
      <c r="B747" s="1" t="s">
        <v>2247</v>
      </c>
      <c r="C747" s="1" t="s">
        <v>1696</v>
      </c>
      <c r="D747" s="4">
        <v>39865.282638888886</v>
      </c>
      <c r="E747" s="1" t="s">
        <v>54</v>
      </c>
      <c r="F747" s="1"/>
      <c r="G747" s="6" t="s">
        <v>78</v>
      </c>
      <c r="H747" s="5" t="s">
        <v>197</v>
      </c>
      <c r="I747" s="1" t="s">
        <v>372</v>
      </c>
      <c r="J747" s="1"/>
      <c r="K747" s="1"/>
      <c r="L747" s="2" t="s">
        <v>2248</v>
      </c>
      <c r="M747" s="1"/>
      <c r="N747" s="1"/>
      <c r="O747" s="1"/>
      <c r="P747" s="1"/>
      <c r="Q747" s="1"/>
      <c r="R747" s="1"/>
      <c r="S747" s="1"/>
      <c r="T747" s="1"/>
      <c r="U747" s="1"/>
      <c r="V747" s="1"/>
      <c r="W747" s="1"/>
      <c r="X747" s="1"/>
      <c r="Y747" s="1"/>
      <c r="Z747" s="1"/>
    </row>
    <row r="748" spans="1:26" ht="33.75" customHeight="1">
      <c r="A748" s="1">
        <v>1736</v>
      </c>
      <c r="B748" s="1" t="s">
        <v>2249</v>
      </c>
      <c r="C748" s="1" t="s">
        <v>1814</v>
      </c>
      <c r="D748" s="4">
        <v>39865.368750000001</v>
      </c>
      <c r="E748" s="1" t="s">
        <v>54</v>
      </c>
      <c r="F748" s="1" t="s">
        <v>2250</v>
      </c>
      <c r="G748" s="6" t="s">
        <v>78</v>
      </c>
      <c r="H748" s="5" t="s">
        <v>88</v>
      </c>
      <c r="I748" s="1" t="s">
        <v>2251</v>
      </c>
      <c r="J748" s="1"/>
      <c r="K748" s="1"/>
      <c r="L748" s="2" t="s">
        <v>2252</v>
      </c>
      <c r="M748" s="1"/>
      <c r="N748" s="1"/>
      <c r="O748" s="1"/>
      <c r="P748" s="1"/>
      <c r="Q748" s="1"/>
      <c r="R748" s="1"/>
      <c r="S748" s="1"/>
      <c r="T748" s="1"/>
      <c r="U748" s="1"/>
      <c r="V748" s="1"/>
      <c r="W748" s="1"/>
      <c r="X748" s="1"/>
      <c r="Y748" s="1"/>
      <c r="Z748" s="1"/>
    </row>
    <row r="749" spans="1:26" ht="33.75" customHeight="1">
      <c r="A749" s="1">
        <v>1737</v>
      </c>
      <c r="B749" s="1" t="s">
        <v>2253</v>
      </c>
      <c r="C749" s="1" t="s">
        <v>1814</v>
      </c>
      <c r="D749" s="4">
        <v>39865.431250000001</v>
      </c>
      <c r="E749" s="1" t="s">
        <v>381</v>
      </c>
      <c r="F749" s="1" t="s">
        <v>2249</v>
      </c>
      <c r="G749" s="5" t="s">
        <v>15</v>
      </c>
      <c r="H749" s="5" t="s">
        <v>402</v>
      </c>
      <c r="I749" s="1" t="s">
        <v>576</v>
      </c>
      <c r="J749" s="1"/>
      <c r="K749" s="1" t="s">
        <v>2254</v>
      </c>
      <c r="L749" s="2" t="s">
        <v>2255</v>
      </c>
      <c r="M749" s="1"/>
      <c r="N749" s="1"/>
      <c r="O749" s="1"/>
      <c r="P749" s="1"/>
      <c r="Q749" s="1"/>
      <c r="R749" s="1"/>
      <c r="S749" s="1"/>
      <c r="T749" s="1"/>
      <c r="U749" s="1"/>
      <c r="V749" s="1"/>
      <c r="W749" s="1"/>
      <c r="X749" s="1"/>
      <c r="Y749" s="1"/>
      <c r="Z749" s="1"/>
    </row>
    <row r="750" spans="1:26" ht="33.75" customHeight="1">
      <c r="A750" s="1">
        <v>1738</v>
      </c>
      <c r="B750" s="1" t="s">
        <v>2256</v>
      </c>
      <c r="C750" s="1" t="s">
        <v>1814</v>
      </c>
      <c r="D750" s="4">
        <v>39865.439583333333</v>
      </c>
      <c r="E750" s="1" t="s">
        <v>196</v>
      </c>
      <c r="F750" s="1"/>
      <c r="G750" s="5" t="s">
        <v>64</v>
      </c>
      <c r="H750" s="1"/>
      <c r="I750" s="1" t="s">
        <v>64</v>
      </c>
      <c r="J750" s="1"/>
      <c r="K750" s="1"/>
      <c r="L750" s="2" t="s">
        <v>2257</v>
      </c>
      <c r="M750" s="1"/>
      <c r="N750" s="1"/>
      <c r="O750" s="1"/>
      <c r="P750" s="1"/>
      <c r="Q750" s="1"/>
      <c r="R750" s="1"/>
      <c r="S750" s="1"/>
      <c r="T750" s="1"/>
      <c r="U750" s="1"/>
      <c r="V750" s="1"/>
      <c r="W750" s="1"/>
      <c r="X750" s="1"/>
      <c r="Y750" s="1"/>
      <c r="Z750" s="1"/>
    </row>
    <row r="751" spans="1:26" ht="33.75" customHeight="1">
      <c r="A751" s="1">
        <v>1739</v>
      </c>
      <c r="B751" s="1" t="s">
        <v>2258</v>
      </c>
      <c r="C751" s="1" t="s">
        <v>1814</v>
      </c>
      <c r="D751" s="4">
        <v>39865.503472222219</v>
      </c>
      <c r="E751" s="1" t="s">
        <v>772</v>
      </c>
      <c r="F751" s="1"/>
      <c r="G751" s="5" t="s">
        <v>64</v>
      </c>
      <c r="H751" s="5" t="s">
        <v>431</v>
      </c>
      <c r="I751" s="1" t="s">
        <v>2259</v>
      </c>
      <c r="J751" s="1"/>
      <c r="K751" s="1"/>
      <c r="L751" s="2" t="s">
        <v>2260</v>
      </c>
      <c r="M751" s="1"/>
      <c r="N751" s="1"/>
      <c r="O751" s="1"/>
      <c r="P751" s="1"/>
      <c r="Q751" s="1"/>
      <c r="R751" s="1"/>
      <c r="S751" s="1"/>
      <c r="T751" s="1"/>
      <c r="U751" s="1"/>
      <c r="V751" s="1"/>
      <c r="W751" s="1"/>
      <c r="X751" s="1"/>
      <c r="Y751" s="1"/>
      <c r="Z751" s="1"/>
    </row>
    <row r="752" spans="1:26" ht="33.75" customHeight="1">
      <c r="A752" s="1">
        <v>1740</v>
      </c>
      <c r="B752" s="1" t="s">
        <v>2261</v>
      </c>
      <c r="C752" s="1" t="s">
        <v>1814</v>
      </c>
      <c r="D752" s="4">
        <v>39865.552777777775</v>
      </c>
      <c r="E752" s="1" t="s">
        <v>381</v>
      </c>
      <c r="F752" s="1"/>
      <c r="G752" s="5" t="s">
        <v>64</v>
      </c>
      <c r="H752" s="1"/>
      <c r="I752" s="1" t="s">
        <v>64</v>
      </c>
      <c r="J752" s="1"/>
      <c r="K752" s="1"/>
      <c r="L752" s="2" t="s">
        <v>2262</v>
      </c>
      <c r="M752" s="1"/>
      <c r="N752" s="1"/>
      <c r="O752" s="1"/>
      <c r="P752" s="1"/>
      <c r="Q752" s="1"/>
      <c r="R752" s="1"/>
      <c r="S752" s="1"/>
      <c r="T752" s="1"/>
      <c r="U752" s="1"/>
      <c r="V752" s="1"/>
      <c r="W752" s="1"/>
      <c r="X752" s="1"/>
      <c r="Y752" s="1"/>
      <c r="Z752" s="1"/>
    </row>
    <row r="753" spans="1:26" ht="33.75" customHeight="1">
      <c r="A753" s="1">
        <v>1741</v>
      </c>
      <c r="B753" s="1" t="s">
        <v>2263</v>
      </c>
      <c r="C753" s="1" t="s">
        <v>1814</v>
      </c>
      <c r="D753" s="4">
        <v>39865.560416666667</v>
      </c>
      <c r="E753" s="1" t="s">
        <v>54</v>
      </c>
      <c r="F753" s="1" t="s">
        <v>2258</v>
      </c>
      <c r="G753" s="5" t="s">
        <v>26</v>
      </c>
      <c r="H753" s="5" t="s">
        <v>27</v>
      </c>
      <c r="I753" s="1" t="s">
        <v>28</v>
      </c>
      <c r="J753" s="1" t="s">
        <v>259</v>
      </c>
      <c r="K753" s="1"/>
      <c r="L753" s="2" t="s">
        <v>2264</v>
      </c>
      <c r="M753" s="1"/>
      <c r="N753" s="1"/>
      <c r="O753" s="1"/>
      <c r="P753" s="1"/>
      <c r="Q753" s="1"/>
      <c r="R753" s="1"/>
      <c r="S753" s="1"/>
      <c r="T753" s="1"/>
      <c r="U753" s="1"/>
      <c r="V753" s="1"/>
      <c r="W753" s="1"/>
      <c r="X753" s="1"/>
      <c r="Y753" s="1"/>
      <c r="Z753" s="1"/>
    </row>
    <row r="754" spans="1:26" ht="33.75" customHeight="1">
      <c r="A754" s="1">
        <v>831</v>
      </c>
      <c r="B754" s="1" t="s">
        <v>2265</v>
      </c>
      <c r="C754" s="1" t="s">
        <v>1696</v>
      </c>
      <c r="D754" s="4">
        <v>39865.73333333333</v>
      </c>
      <c r="E754" s="1" t="s">
        <v>54</v>
      </c>
      <c r="F754" s="1" t="s">
        <v>2266</v>
      </c>
      <c r="G754" s="6" t="s">
        <v>78</v>
      </c>
      <c r="H754" s="5" t="s">
        <v>479</v>
      </c>
      <c r="I754" s="1" t="s">
        <v>2230</v>
      </c>
      <c r="J754" s="1"/>
      <c r="K754" s="1" t="s">
        <v>2267</v>
      </c>
      <c r="L754" s="2" t="s">
        <v>2268</v>
      </c>
      <c r="M754" s="1"/>
      <c r="N754" s="1"/>
      <c r="O754" s="1"/>
      <c r="P754" s="1"/>
      <c r="Q754" s="1"/>
      <c r="R754" s="1"/>
      <c r="S754" s="1"/>
      <c r="T754" s="1"/>
      <c r="U754" s="1"/>
      <c r="V754" s="1"/>
      <c r="W754" s="1"/>
      <c r="X754" s="1"/>
      <c r="Y754" s="1"/>
      <c r="Z754" s="1"/>
    </row>
    <row r="755" spans="1:26" ht="33.75" customHeight="1">
      <c r="A755" s="1">
        <v>832</v>
      </c>
      <c r="B755" s="1" t="s">
        <v>2269</v>
      </c>
      <c r="C755" s="1" t="s">
        <v>1696</v>
      </c>
      <c r="D755" s="4">
        <v>39865.736111111109</v>
      </c>
      <c r="E755" s="1" t="s">
        <v>14</v>
      </c>
      <c r="F755" s="1"/>
      <c r="G755" s="5" t="s">
        <v>15</v>
      </c>
      <c r="H755" s="5" t="s">
        <v>150</v>
      </c>
      <c r="I755" s="1" t="s">
        <v>2270</v>
      </c>
      <c r="J755" s="1"/>
      <c r="K755" s="1"/>
      <c r="L755" s="2" t="s">
        <v>2271</v>
      </c>
      <c r="M755" s="1"/>
      <c r="N755" s="1"/>
      <c r="O755" s="1"/>
      <c r="P755" s="1"/>
      <c r="Q755" s="1"/>
      <c r="R755" s="1"/>
      <c r="S755" s="1"/>
      <c r="T755" s="1"/>
      <c r="U755" s="1"/>
      <c r="V755" s="1"/>
      <c r="W755" s="1"/>
      <c r="X755" s="1"/>
      <c r="Y755" s="1"/>
      <c r="Z755" s="1"/>
    </row>
    <row r="756" spans="1:26" ht="33.75" customHeight="1">
      <c r="A756" s="1">
        <v>833</v>
      </c>
      <c r="B756" s="1" t="s">
        <v>2272</v>
      </c>
      <c r="C756" s="1" t="s">
        <v>1696</v>
      </c>
      <c r="D756" s="4">
        <v>39865.737500000003</v>
      </c>
      <c r="E756" s="1" t="s">
        <v>54</v>
      </c>
      <c r="F756" s="1"/>
      <c r="G756" s="6" t="s">
        <v>78</v>
      </c>
      <c r="H756" s="5" t="s">
        <v>870</v>
      </c>
      <c r="I756" s="1" t="s">
        <v>480</v>
      </c>
      <c r="J756" s="1" t="s">
        <v>481</v>
      </c>
      <c r="K756" s="1" t="s">
        <v>2273</v>
      </c>
      <c r="L756" s="2" t="s">
        <v>2274</v>
      </c>
      <c r="M756" s="1"/>
      <c r="N756" s="1"/>
      <c r="O756" s="1"/>
      <c r="P756" s="1"/>
      <c r="Q756" s="1"/>
      <c r="R756" s="1"/>
      <c r="S756" s="1"/>
      <c r="T756" s="1"/>
      <c r="U756" s="1"/>
      <c r="V756" s="1"/>
      <c r="W756" s="1"/>
      <c r="X756" s="1"/>
      <c r="Y756" s="1"/>
      <c r="Z756" s="1"/>
    </row>
    <row r="757" spans="1:26" ht="33.75" customHeight="1">
      <c r="A757" s="1">
        <v>834</v>
      </c>
      <c r="B757" s="1" t="s">
        <v>2275</v>
      </c>
      <c r="C757" s="1" t="s">
        <v>1696</v>
      </c>
      <c r="D757" s="4">
        <v>39865.752083333333</v>
      </c>
      <c r="E757" s="1" t="s">
        <v>14</v>
      </c>
      <c r="F757" s="1"/>
      <c r="G757" s="5" t="s">
        <v>64</v>
      </c>
      <c r="H757" s="1"/>
      <c r="I757" s="1" t="s">
        <v>64</v>
      </c>
      <c r="J757" s="1"/>
      <c r="K757" s="1" t="s">
        <v>2276</v>
      </c>
      <c r="L757" s="2" t="s">
        <v>2277</v>
      </c>
      <c r="M757" s="1"/>
      <c r="N757" s="1"/>
      <c r="O757" s="1"/>
      <c r="P757" s="1"/>
      <c r="Q757" s="1"/>
      <c r="R757" s="1"/>
      <c r="S757" s="1"/>
      <c r="T757" s="1"/>
      <c r="U757" s="1"/>
      <c r="V757" s="1"/>
      <c r="W757" s="1"/>
      <c r="X757" s="1"/>
      <c r="Y757" s="1"/>
      <c r="Z757" s="1"/>
    </row>
    <row r="758" spans="1:26" ht="33.75" customHeight="1">
      <c r="A758" s="1">
        <v>835</v>
      </c>
      <c r="B758" s="1" t="s">
        <v>2278</v>
      </c>
      <c r="C758" s="1" t="s">
        <v>1696</v>
      </c>
      <c r="D758" s="4">
        <v>39865.772222222222</v>
      </c>
      <c r="E758" s="1" t="s">
        <v>14</v>
      </c>
      <c r="F758" s="1" t="s">
        <v>2275</v>
      </c>
      <c r="G758" s="6" t="s">
        <v>78</v>
      </c>
      <c r="H758" s="5" t="s">
        <v>223</v>
      </c>
      <c r="I758" s="1" t="s">
        <v>64</v>
      </c>
      <c r="J758" s="1" t="s">
        <v>450</v>
      </c>
      <c r="K758" s="1"/>
      <c r="L758" s="2" t="s">
        <v>2279</v>
      </c>
      <c r="M758" s="1"/>
      <c r="N758" s="1"/>
      <c r="O758" s="1"/>
      <c r="P758" s="1"/>
      <c r="Q758" s="1"/>
      <c r="R758" s="1"/>
      <c r="S758" s="1"/>
      <c r="T758" s="1"/>
      <c r="U758" s="1"/>
      <c r="V758" s="1"/>
      <c r="W758" s="1"/>
      <c r="X758" s="1"/>
      <c r="Y758" s="1"/>
      <c r="Z758" s="1"/>
    </row>
    <row r="759" spans="1:26" ht="33.75" customHeight="1">
      <c r="A759" s="1">
        <v>9</v>
      </c>
      <c r="B759" s="1" t="s">
        <v>12</v>
      </c>
      <c r="C759" s="1" t="s">
        <v>2280</v>
      </c>
      <c r="D759" s="4">
        <v>39865.795011574075</v>
      </c>
      <c r="E759" s="1" t="s">
        <v>14</v>
      </c>
      <c r="F759" s="1"/>
      <c r="G759" s="5" t="s">
        <v>64</v>
      </c>
      <c r="H759" s="5" t="s">
        <v>65</v>
      </c>
      <c r="I759" s="1" t="s">
        <v>886</v>
      </c>
      <c r="J759" s="1"/>
      <c r="K759" s="1"/>
      <c r="L759" s="2" t="s">
        <v>2281</v>
      </c>
      <c r="M759" s="1"/>
      <c r="N759" s="1"/>
      <c r="O759" s="1"/>
      <c r="P759" s="1"/>
      <c r="Q759" s="1"/>
      <c r="R759" s="1"/>
      <c r="S759" s="1"/>
      <c r="T759" s="1"/>
      <c r="U759" s="1"/>
      <c r="V759" s="1"/>
      <c r="W759" s="1"/>
      <c r="X759" s="1"/>
      <c r="Y759" s="1"/>
      <c r="Z759" s="1"/>
    </row>
    <row r="760" spans="1:26" ht="33.75" customHeight="1">
      <c r="A760" s="1">
        <v>836</v>
      </c>
      <c r="B760" s="1" t="s">
        <v>2282</v>
      </c>
      <c r="C760" s="1" t="s">
        <v>1696</v>
      </c>
      <c r="D760" s="4">
        <v>39865.798611111109</v>
      </c>
      <c r="E760" s="1" t="s">
        <v>196</v>
      </c>
      <c r="F760" s="1" t="s">
        <v>2283</v>
      </c>
      <c r="G760" s="5" t="s">
        <v>26</v>
      </c>
      <c r="H760" s="5" t="s">
        <v>133</v>
      </c>
      <c r="I760" s="1" t="s">
        <v>28</v>
      </c>
      <c r="J760" s="1" t="s">
        <v>134</v>
      </c>
      <c r="K760" s="1"/>
      <c r="L760" s="2" t="s">
        <v>2284</v>
      </c>
      <c r="M760" s="1"/>
      <c r="N760" s="1"/>
      <c r="O760" s="1"/>
      <c r="P760" s="1"/>
      <c r="Q760" s="1"/>
      <c r="R760" s="1"/>
      <c r="S760" s="1"/>
      <c r="T760" s="1"/>
      <c r="U760" s="1"/>
      <c r="V760" s="1"/>
      <c r="W760" s="1"/>
      <c r="X760" s="1"/>
      <c r="Y760" s="1"/>
      <c r="Z760" s="1"/>
    </row>
    <row r="761" spans="1:26" ht="33.75" customHeight="1">
      <c r="A761" s="1">
        <v>837</v>
      </c>
      <c r="B761" s="1" t="s">
        <v>2285</v>
      </c>
      <c r="C761" s="1" t="s">
        <v>1696</v>
      </c>
      <c r="D761" s="4">
        <v>39865.818749999999</v>
      </c>
      <c r="E761" s="1" t="s">
        <v>14</v>
      </c>
      <c r="F761" s="1" t="s">
        <v>2286</v>
      </c>
      <c r="G761" s="5" t="s">
        <v>26</v>
      </c>
      <c r="H761" s="5" t="s">
        <v>27</v>
      </c>
      <c r="I761" s="1" t="s">
        <v>28</v>
      </c>
      <c r="J761" s="1" t="s">
        <v>259</v>
      </c>
      <c r="K761" s="1" t="s">
        <v>2287</v>
      </c>
      <c r="L761" s="2" t="s">
        <v>2288</v>
      </c>
      <c r="M761" s="1"/>
      <c r="N761" s="1"/>
      <c r="O761" s="1"/>
      <c r="P761" s="1"/>
      <c r="Q761" s="1"/>
      <c r="R761" s="1"/>
      <c r="S761" s="1"/>
      <c r="T761" s="1"/>
      <c r="U761" s="1"/>
      <c r="V761" s="1"/>
      <c r="W761" s="1"/>
      <c r="X761" s="1"/>
      <c r="Y761" s="1"/>
      <c r="Z761" s="1"/>
    </row>
    <row r="762" spans="1:26" ht="33.75" customHeight="1">
      <c r="A762" s="1">
        <v>838</v>
      </c>
      <c r="B762" s="1" t="s">
        <v>2289</v>
      </c>
      <c r="C762" s="1" t="s">
        <v>1696</v>
      </c>
      <c r="D762" s="4">
        <v>39865.827777777777</v>
      </c>
      <c r="E762" s="1" t="s">
        <v>14</v>
      </c>
      <c r="F762" s="1"/>
      <c r="G762" s="5" t="s">
        <v>33</v>
      </c>
      <c r="H762" s="5" t="s">
        <v>34</v>
      </c>
      <c r="I762" s="1" t="s">
        <v>35</v>
      </c>
      <c r="J762" s="1"/>
      <c r="K762" s="1" t="s">
        <v>2290</v>
      </c>
      <c r="L762" s="2" t="s">
        <v>2291</v>
      </c>
      <c r="M762" s="1"/>
      <c r="N762" s="1"/>
      <c r="O762" s="1"/>
      <c r="P762" s="1"/>
      <c r="Q762" s="1"/>
      <c r="R762" s="1"/>
      <c r="S762" s="1"/>
      <c r="T762" s="1"/>
      <c r="U762" s="1"/>
      <c r="V762" s="1"/>
      <c r="W762" s="1"/>
      <c r="X762" s="1"/>
      <c r="Y762" s="1"/>
      <c r="Z762" s="1"/>
    </row>
    <row r="763" spans="1:26" ht="33.75" customHeight="1">
      <c r="A763" s="1">
        <v>1727</v>
      </c>
      <c r="B763" s="1" t="s">
        <v>2292</v>
      </c>
      <c r="C763" s="1" t="s">
        <v>1519</v>
      </c>
      <c r="D763" s="4">
        <v>39865.850694444445</v>
      </c>
      <c r="E763" s="1" t="s">
        <v>54</v>
      </c>
      <c r="F763" s="1" t="s">
        <v>2198</v>
      </c>
      <c r="G763" s="5" t="s">
        <v>64</v>
      </c>
      <c r="H763" s="5" t="s">
        <v>263</v>
      </c>
      <c r="I763" s="1" t="s">
        <v>1803</v>
      </c>
      <c r="J763" s="1"/>
      <c r="K763" s="1" t="s">
        <v>2293</v>
      </c>
      <c r="L763" s="2" t="s">
        <v>2294</v>
      </c>
      <c r="M763" s="1"/>
      <c r="N763" s="1"/>
      <c r="O763" s="1"/>
      <c r="P763" s="1"/>
      <c r="Q763" s="1"/>
      <c r="R763" s="1"/>
      <c r="S763" s="1"/>
      <c r="T763" s="1"/>
      <c r="U763" s="1"/>
      <c r="V763" s="1"/>
      <c r="W763" s="1"/>
      <c r="X763" s="1"/>
      <c r="Y763" s="1"/>
      <c r="Z763" s="1"/>
    </row>
    <row r="764" spans="1:26" ht="33.75" customHeight="1">
      <c r="A764" s="1">
        <v>857</v>
      </c>
      <c r="B764" s="1" t="s">
        <v>2295</v>
      </c>
      <c r="C764" s="1" t="s">
        <v>2280</v>
      </c>
      <c r="D764" s="4">
        <v>39865.855555555558</v>
      </c>
      <c r="E764" s="1" t="s">
        <v>84</v>
      </c>
      <c r="F764" s="1"/>
      <c r="G764" s="5" t="s">
        <v>64</v>
      </c>
      <c r="H764" s="5" t="s">
        <v>65</v>
      </c>
      <c r="I764" s="1" t="s">
        <v>35</v>
      </c>
      <c r="J764" s="1"/>
      <c r="K764" s="1" t="s">
        <v>2296</v>
      </c>
      <c r="L764" s="2" t="s">
        <v>2297</v>
      </c>
      <c r="M764" s="1"/>
      <c r="N764" s="1"/>
      <c r="O764" s="1"/>
      <c r="P764" s="1"/>
      <c r="Q764" s="1"/>
      <c r="R764" s="1"/>
      <c r="S764" s="1"/>
      <c r="T764" s="1"/>
      <c r="U764" s="1"/>
      <c r="V764" s="1"/>
      <c r="W764" s="1"/>
      <c r="X764" s="1"/>
      <c r="Y764" s="1"/>
      <c r="Z764" s="1"/>
    </row>
    <row r="765" spans="1:26" ht="33.75" customHeight="1">
      <c r="A765" s="1">
        <v>839</v>
      </c>
      <c r="B765" s="1" t="s">
        <v>2298</v>
      </c>
      <c r="C765" s="1" t="s">
        <v>1696</v>
      </c>
      <c r="D765" s="4">
        <v>39865.881944444445</v>
      </c>
      <c r="E765" s="1" t="s">
        <v>54</v>
      </c>
      <c r="F765" s="1">
        <v>578</v>
      </c>
      <c r="G765" s="5" t="s">
        <v>64</v>
      </c>
      <c r="H765" s="5" t="s">
        <v>179</v>
      </c>
      <c r="I765" s="1" t="s">
        <v>1230</v>
      </c>
      <c r="J765" s="1"/>
      <c r="K765" s="1" t="s">
        <v>2299</v>
      </c>
      <c r="L765" s="2" t="s">
        <v>2300</v>
      </c>
      <c r="M765" s="1"/>
      <c r="N765" s="1"/>
      <c r="O765" s="1"/>
      <c r="P765" s="1"/>
      <c r="Q765" s="1"/>
      <c r="R765" s="1"/>
      <c r="S765" s="1"/>
      <c r="T765" s="1"/>
      <c r="U765" s="1"/>
      <c r="V765" s="1"/>
      <c r="W765" s="1"/>
      <c r="X765" s="1"/>
      <c r="Y765" s="1"/>
      <c r="Z765" s="1"/>
    </row>
    <row r="766" spans="1:26" ht="33.75" customHeight="1">
      <c r="A766" s="1">
        <v>840</v>
      </c>
      <c r="B766" s="1" t="s">
        <v>2301</v>
      </c>
      <c r="C766" s="1" t="s">
        <v>1696</v>
      </c>
      <c r="D766" s="4">
        <v>39865.886805555558</v>
      </c>
      <c r="E766" s="1" t="s">
        <v>14</v>
      </c>
      <c r="F766" s="1" t="s">
        <v>2302</v>
      </c>
      <c r="G766" s="5" t="s">
        <v>64</v>
      </c>
      <c r="H766" s="5" t="s">
        <v>179</v>
      </c>
      <c r="I766" s="1" t="s">
        <v>1230</v>
      </c>
      <c r="J766" s="1"/>
      <c r="K766" s="1"/>
      <c r="L766" s="2" t="s">
        <v>2303</v>
      </c>
      <c r="M766" s="1"/>
      <c r="N766" s="1"/>
      <c r="O766" s="1"/>
      <c r="P766" s="1"/>
      <c r="Q766" s="1"/>
      <c r="R766" s="1"/>
      <c r="S766" s="1"/>
      <c r="T766" s="1"/>
      <c r="U766" s="1"/>
      <c r="V766" s="1"/>
      <c r="W766" s="1"/>
      <c r="X766" s="1"/>
      <c r="Y766" s="1"/>
      <c r="Z766" s="1"/>
    </row>
    <row r="767" spans="1:26" ht="33.75" customHeight="1">
      <c r="A767" s="1">
        <v>1728</v>
      </c>
      <c r="B767" s="1" t="s">
        <v>2304</v>
      </c>
      <c r="C767" s="1" t="s">
        <v>1519</v>
      </c>
      <c r="D767" s="4">
        <v>39865.893750000003</v>
      </c>
      <c r="E767" s="1" t="s">
        <v>54</v>
      </c>
      <c r="F767" s="1" t="s">
        <v>2198</v>
      </c>
      <c r="G767" s="5" t="s">
        <v>64</v>
      </c>
      <c r="H767" s="5" t="s">
        <v>263</v>
      </c>
      <c r="I767" s="1" t="s">
        <v>1803</v>
      </c>
      <c r="J767" s="1"/>
      <c r="K767" s="1"/>
      <c r="L767" s="2" t="s">
        <v>2305</v>
      </c>
      <c r="M767" s="1"/>
      <c r="N767" s="1"/>
      <c r="O767" s="1"/>
      <c r="P767" s="1"/>
      <c r="Q767" s="1"/>
      <c r="R767" s="1"/>
      <c r="S767" s="1"/>
      <c r="T767" s="1"/>
      <c r="U767" s="1"/>
      <c r="V767" s="1"/>
      <c r="W767" s="1"/>
      <c r="X767" s="1"/>
      <c r="Y767" s="1"/>
      <c r="Z767" s="1"/>
    </row>
    <row r="768" spans="1:26" ht="33.75" customHeight="1">
      <c r="A768" s="1">
        <v>841</v>
      </c>
      <c r="B768" s="1" t="s">
        <v>2306</v>
      </c>
      <c r="C768" s="1" t="s">
        <v>1696</v>
      </c>
      <c r="D768" s="4">
        <v>39865.946527777778</v>
      </c>
      <c r="E768" s="1" t="s">
        <v>196</v>
      </c>
      <c r="F768" s="1"/>
      <c r="G768" s="5" t="s">
        <v>26</v>
      </c>
      <c r="H768" s="5" t="s">
        <v>133</v>
      </c>
      <c r="I768" s="1" t="s">
        <v>28</v>
      </c>
      <c r="J768" s="1" t="s">
        <v>134</v>
      </c>
      <c r="K768" s="1"/>
      <c r="L768" s="2" t="s">
        <v>2307</v>
      </c>
      <c r="M768" s="1"/>
      <c r="N768" s="1"/>
      <c r="O768" s="1"/>
      <c r="P768" s="1"/>
      <c r="Q768" s="1"/>
      <c r="R768" s="1"/>
      <c r="S768" s="1"/>
      <c r="T768" s="1"/>
      <c r="U768" s="1"/>
      <c r="V768" s="1"/>
      <c r="W768" s="1"/>
      <c r="X768" s="1"/>
      <c r="Y768" s="1"/>
      <c r="Z768" s="1"/>
    </row>
    <row r="769" spans="1:26" ht="33.75" customHeight="1">
      <c r="A769" s="1">
        <v>842</v>
      </c>
      <c r="B769" s="1" t="s">
        <v>2308</v>
      </c>
      <c r="C769" s="1" t="s">
        <v>1696</v>
      </c>
      <c r="D769" s="4">
        <v>39866.334722222222</v>
      </c>
      <c r="E769" s="1" t="s">
        <v>54</v>
      </c>
      <c r="F769" s="1" t="s">
        <v>2306</v>
      </c>
      <c r="G769" s="5" t="s">
        <v>26</v>
      </c>
      <c r="H769" s="5" t="s">
        <v>27</v>
      </c>
      <c r="I769" s="1" t="s">
        <v>28</v>
      </c>
      <c r="J769" s="1" t="s">
        <v>259</v>
      </c>
      <c r="K769" s="1" t="s">
        <v>2309</v>
      </c>
      <c r="L769" s="2" t="s">
        <v>2310</v>
      </c>
      <c r="M769" s="1"/>
      <c r="N769" s="1"/>
      <c r="O769" s="1"/>
      <c r="P769" s="1"/>
      <c r="Q769" s="1"/>
      <c r="R769" s="1"/>
      <c r="S769" s="1"/>
      <c r="T769" s="1"/>
      <c r="U769" s="1"/>
      <c r="V769" s="1"/>
      <c r="W769" s="1"/>
      <c r="X769" s="1"/>
      <c r="Y769" s="1"/>
      <c r="Z769" s="1"/>
    </row>
    <row r="770" spans="1:26" ht="33.75" customHeight="1">
      <c r="A770" s="1">
        <v>843</v>
      </c>
      <c r="B770" s="1" t="s">
        <v>2311</v>
      </c>
      <c r="C770" s="1" t="s">
        <v>1696</v>
      </c>
      <c r="D770" s="4">
        <v>39866.459722222222</v>
      </c>
      <c r="E770" s="1" t="s">
        <v>14</v>
      </c>
      <c r="F770" s="1" t="s">
        <v>2306</v>
      </c>
      <c r="G770" s="5" t="s">
        <v>26</v>
      </c>
      <c r="H770" s="5" t="s">
        <v>1010</v>
      </c>
      <c r="I770" s="1" t="s">
        <v>28</v>
      </c>
      <c r="J770" s="1" t="s">
        <v>2217</v>
      </c>
      <c r="K770" s="1"/>
      <c r="L770" s="2" t="s">
        <v>2312</v>
      </c>
      <c r="M770" s="1"/>
      <c r="N770" s="1"/>
      <c r="O770" s="1"/>
      <c r="P770" s="1"/>
      <c r="Q770" s="1"/>
      <c r="R770" s="1"/>
      <c r="S770" s="1"/>
      <c r="T770" s="1"/>
      <c r="U770" s="1"/>
      <c r="V770" s="1"/>
      <c r="W770" s="1"/>
      <c r="X770" s="1"/>
      <c r="Y770" s="1"/>
      <c r="Z770" s="1"/>
    </row>
    <row r="771" spans="1:26" ht="33.75" customHeight="1">
      <c r="A771" s="1">
        <v>1742</v>
      </c>
      <c r="B771" s="1" t="s">
        <v>2313</v>
      </c>
      <c r="C771" s="1" t="s">
        <v>1814</v>
      </c>
      <c r="D771" s="4">
        <v>39866.492361111108</v>
      </c>
      <c r="E771" s="1" t="s">
        <v>474</v>
      </c>
      <c r="F771" s="1" t="s">
        <v>2314</v>
      </c>
      <c r="G771" s="5" t="s">
        <v>64</v>
      </c>
      <c r="H771" s="1"/>
      <c r="I771" s="1" t="s">
        <v>64</v>
      </c>
      <c r="J771" s="1"/>
      <c r="K771" s="1"/>
      <c r="L771" s="2" t="s">
        <v>2315</v>
      </c>
      <c r="M771" s="1"/>
      <c r="N771" s="1"/>
      <c r="O771" s="1"/>
      <c r="P771" s="1"/>
      <c r="Q771" s="1"/>
      <c r="R771" s="1"/>
      <c r="S771" s="1"/>
      <c r="T771" s="1"/>
      <c r="U771" s="1"/>
      <c r="V771" s="1"/>
      <c r="W771" s="1"/>
      <c r="X771" s="1"/>
      <c r="Y771" s="1"/>
      <c r="Z771" s="1"/>
    </row>
    <row r="772" spans="1:26" ht="33.75" customHeight="1">
      <c r="A772" s="1">
        <v>1743</v>
      </c>
      <c r="B772" s="1" t="s">
        <v>2316</v>
      </c>
      <c r="C772" s="1" t="s">
        <v>1814</v>
      </c>
      <c r="D772" s="4">
        <v>39866.579861111109</v>
      </c>
      <c r="E772" s="1" t="s">
        <v>54</v>
      </c>
      <c r="F772" s="1"/>
      <c r="G772" s="5" t="s">
        <v>15</v>
      </c>
      <c r="H772" s="5" t="s">
        <v>402</v>
      </c>
      <c r="I772" s="1" t="s">
        <v>576</v>
      </c>
      <c r="J772" s="1"/>
      <c r="K772" s="1"/>
      <c r="L772" s="2" t="s">
        <v>2317</v>
      </c>
      <c r="M772" s="1"/>
      <c r="N772" s="1"/>
      <c r="O772" s="1"/>
      <c r="P772" s="1"/>
      <c r="Q772" s="1"/>
      <c r="R772" s="1"/>
      <c r="S772" s="1"/>
      <c r="T772" s="1"/>
      <c r="U772" s="1"/>
      <c r="V772" s="1"/>
      <c r="W772" s="1"/>
      <c r="X772" s="1"/>
      <c r="Y772" s="1"/>
      <c r="Z772" s="1"/>
    </row>
    <row r="773" spans="1:26" ht="33.75" customHeight="1">
      <c r="A773" s="1">
        <v>844</v>
      </c>
      <c r="B773" s="1" t="s">
        <v>2318</v>
      </c>
      <c r="C773" s="1" t="s">
        <v>1696</v>
      </c>
      <c r="D773" s="4">
        <v>39866.612500000003</v>
      </c>
      <c r="E773" s="1" t="s">
        <v>14</v>
      </c>
      <c r="F773" s="1" t="s">
        <v>2311</v>
      </c>
      <c r="G773" s="5" t="s">
        <v>15</v>
      </c>
      <c r="H773" s="5" t="s">
        <v>150</v>
      </c>
      <c r="I773" s="1" t="s">
        <v>295</v>
      </c>
      <c r="J773" s="1"/>
      <c r="K773" s="1" t="s">
        <v>2319</v>
      </c>
      <c r="L773" s="2" t="s">
        <v>2320</v>
      </c>
      <c r="M773" s="1"/>
      <c r="N773" s="1"/>
      <c r="O773" s="1"/>
      <c r="P773" s="1"/>
      <c r="Q773" s="1"/>
      <c r="R773" s="1"/>
      <c r="S773" s="1"/>
      <c r="T773" s="1"/>
      <c r="U773" s="1"/>
      <c r="V773" s="1"/>
      <c r="W773" s="1"/>
      <c r="X773" s="1"/>
      <c r="Y773" s="1"/>
      <c r="Z773" s="1"/>
    </row>
    <row r="774" spans="1:26" ht="33.75" customHeight="1">
      <c r="A774" s="1">
        <v>1744</v>
      </c>
      <c r="B774" s="1" t="s">
        <v>2321</v>
      </c>
      <c r="C774" s="1" t="s">
        <v>1814</v>
      </c>
      <c r="D774" s="4">
        <v>39866.615972222222</v>
      </c>
      <c r="E774" s="1" t="s">
        <v>54</v>
      </c>
      <c r="F774" s="1"/>
      <c r="G774" s="5" t="s">
        <v>64</v>
      </c>
      <c r="H774" s="1"/>
      <c r="I774" s="1" t="s">
        <v>64</v>
      </c>
      <c r="J774" s="1"/>
      <c r="K774" s="1"/>
      <c r="L774" s="2" t="s">
        <v>2322</v>
      </c>
      <c r="M774" s="1"/>
      <c r="N774" s="1"/>
      <c r="O774" s="1"/>
      <c r="P774" s="1"/>
      <c r="Q774" s="1"/>
      <c r="R774" s="1"/>
      <c r="S774" s="1"/>
      <c r="T774" s="1"/>
      <c r="U774" s="1"/>
      <c r="V774" s="1"/>
      <c r="W774" s="1"/>
      <c r="X774" s="1"/>
      <c r="Y774" s="1"/>
      <c r="Z774" s="1"/>
    </row>
    <row r="775" spans="1:26" ht="33.75" customHeight="1">
      <c r="A775" s="1">
        <v>1745</v>
      </c>
      <c r="B775" s="1" t="s">
        <v>2323</v>
      </c>
      <c r="C775" s="1" t="s">
        <v>1814</v>
      </c>
      <c r="D775" s="4">
        <v>39866.82916666667</v>
      </c>
      <c r="E775" s="1" t="s">
        <v>54</v>
      </c>
      <c r="F775" s="1"/>
      <c r="G775" s="5" t="s">
        <v>64</v>
      </c>
      <c r="H775" s="1"/>
      <c r="I775" s="1" t="s">
        <v>64</v>
      </c>
      <c r="J775" s="1"/>
      <c r="K775" s="1"/>
      <c r="L775" s="2" t="s">
        <v>2324</v>
      </c>
      <c r="M775" s="1"/>
      <c r="N775" s="1"/>
      <c r="O775" s="1"/>
      <c r="P775" s="1"/>
      <c r="Q775" s="1"/>
      <c r="R775" s="1"/>
      <c r="S775" s="1"/>
      <c r="T775" s="1"/>
      <c r="U775" s="1"/>
      <c r="V775" s="1"/>
      <c r="W775" s="1"/>
      <c r="X775" s="1"/>
      <c r="Y775" s="1"/>
      <c r="Z775" s="1"/>
    </row>
    <row r="776" spans="1:26" ht="33.75" customHeight="1">
      <c r="A776" s="1">
        <v>845</v>
      </c>
      <c r="B776" s="1" t="s">
        <v>2325</v>
      </c>
      <c r="C776" s="1" t="s">
        <v>1696</v>
      </c>
      <c r="D776" s="4">
        <v>39867.020138888889</v>
      </c>
      <c r="E776" s="1" t="s">
        <v>320</v>
      </c>
      <c r="F776" s="1" t="s">
        <v>2326</v>
      </c>
      <c r="G776" s="5" t="s">
        <v>64</v>
      </c>
      <c r="H776" s="1"/>
      <c r="I776" s="1" t="s">
        <v>64</v>
      </c>
      <c r="J776" s="1" t="s">
        <v>2327</v>
      </c>
      <c r="K776" s="1"/>
      <c r="L776" s="2" t="s">
        <v>2328</v>
      </c>
      <c r="M776" s="1"/>
      <c r="N776" s="1"/>
      <c r="O776" s="1"/>
      <c r="P776" s="1"/>
      <c r="Q776" s="1"/>
      <c r="R776" s="1"/>
      <c r="S776" s="1"/>
      <c r="T776" s="1"/>
      <c r="U776" s="1"/>
      <c r="V776" s="1"/>
      <c r="W776" s="1"/>
      <c r="X776" s="1"/>
      <c r="Y776" s="1"/>
      <c r="Z776" s="1"/>
    </row>
    <row r="777" spans="1:26" ht="33.75" customHeight="1">
      <c r="A777" s="1">
        <v>846</v>
      </c>
      <c r="B777" s="1" t="s">
        <v>2329</v>
      </c>
      <c r="C777" s="1" t="s">
        <v>1696</v>
      </c>
      <c r="D777" s="4">
        <v>39867.020833333336</v>
      </c>
      <c r="E777" s="1" t="s">
        <v>320</v>
      </c>
      <c r="F777" s="1" t="s">
        <v>2325</v>
      </c>
      <c r="G777" s="5" t="s">
        <v>64</v>
      </c>
      <c r="H777" s="5" t="s">
        <v>282</v>
      </c>
      <c r="I777" s="1" t="s">
        <v>283</v>
      </c>
      <c r="J777" s="1"/>
      <c r="K777" s="1"/>
      <c r="L777" s="2" t="s">
        <v>2330</v>
      </c>
      <c r="M777" s="1"/>
      <c r="N777" s="1"/>
      <c r="O777" s="1"/>
      <c r="P777" s="1"/>
      <c r="Q777" s="1"/>
      <c r="R777" s="1"/>
      <c r="S777" s="1"/>
      <c r="T777" s="1"/>
      <c r="U777" s="1"/>
      <c r="V777" s="1"/>
      <c r="W777" s="1"/>
      <c r="X777" s="1"/>
      <c r="Y777" s="1"/>
      <c r="Z777" s="1"/>
    </row>
    <row r="778" spans="1:26" ht="33.75" customHeight="1">
      <c r="A778" s="1">
        <v>858</v>
      </c>
      <c r="B778" s="1" t="s">
        <v>2331</v>
      </c>
      <c r="C778" s="1" t="s">
        <v>2280</v>
      </c>
      <c r="D778" s="4">
        <v>39867.041666666664</v>
      </c>
      <c r="E778" s="1" t="s">
        <v>320</v>
      </c>
      <c r="F778" s="1"/>
      <c r="G778" s="5" t="s">
        <v>64</v>
      </c>
      <c r="H778" s="5" t="s">
        <v>65</v>
      </c>
      <c r="I778" s="1" t="s">
        <v>35</v>
      </c>
      <c r="J778" s="1"/>
      <c r="K778" s="1" t="s">
        <v>2332</v>
      </c>
      <c r="L778" s="2" t="s">
        <v>2333</v>
      </c>
      <c r="M778" s="1"/>
      <c r="N778" s="1"/>
      <c r="O778" s="1"/>
      <c r="P778" s="1"/>
      <c r="Q778" s="1"/>
      <c r="R778" s="1"/>
      <c r="S778" s="1"/>
      <c r="T778" s="1"/>
      <c r="U778" s="1"/>
      <c r="V778" s="1"/>
      <c r="W778" s="1"/>
      <c r="X778" s="1"/>
      <c r="Y778" s="1"/>
      <c r="Z778" s="1"/>
    </row>
    <row r="779" spans="1:26" ht="33.75" customHeight="1">
      <c r="A779" s="1">
        <v>876</v>
      </c>
      <c r="B779" s="1" t="s">
        <v>2334</v>
      </c>
      <c r="C779" s="1" t="s">
        <v>2335</v>
      </c>
      <c r="D779" s="4">
        <v>39868.211111111108</v>
      </c>
      <c r="E779" s="1" t="s">
        <v>1528</v>
      </c>
      <c r="F779" s="1"/>
      <c r="G779" s="5" t="s">
        <v>64</v>
      </c>
      <c r="H779" s="5" t="s">
        <v>179</v>
      </c>
      <c r="I779" s="1" t="s">
        <v>179</v>
      </c>
      <c r="J779" s="1"/>
      <c r="K779" s="1"/>
      <c r="L779" s="2" t="s">
        <v>2336</v>
      </c>
      <c r="M779" s="1"/>
      <c r="N779" s="1"/>
      <c r="O779" s="1"/>
      <c r="P779" s="1"/>
      <c r="Q779" s="1"/>
      <c r="R779" s="1"/>
      <c r="S779" s="1"/>
      <c r="T779" s="1"/>
      <c r="U779" s="1"/>
      <c r="V779" s="1"/>
      <c r="W779" s="1"/>
      <c r="X779" s="1"/>
      <c r="Y779" s="1"/>
      <c r="Z779" s="1"/>
    </row>
    <row r="780" spans="1:26" ht="33.75" customHeight="1">
      <c r="A780" s="1">
        <v>1746</v>
      </c>
      <c r="B780" s="1" t="s">
        <v>2337</v>
      </c>
      <c r="C780" s="1" t="s">
        <v>1814</v>
      </c>
      <c r="D780" s="4">
        <v>39867.077777777777</v>
      </c>
      <c r="E780" s="1" t="s">
        <v>381</v>
      </c>
      <c r="F780" s="1" t="s">
        <v>2323</v>
      </c>
      <c r="G780" s="5" t="s">
        <v>64</v>
      </c>
      <c r="H780" s="1"/>
      <c r="I780" s="1" t="s">
        <v>64</v>
      </c>
      <c r="J780" s="1"/>
      <c r="K780" s="1"/>
      <c r="L780" s="2" t="s">
        <v>2338</v>
      </c>
      <c r="M780" s="1"/>
      <c r="N780" s="1"/>
      <c r="O780" s="1"/>
      <c r="P780" s="1"/>
      <c r="Q780" s="1"/>
      <c r="R780" s="1"/>
      <c r="S780" s="1"/>
      <c r="T780" s="1"/>
      <c r="U780" s="1"/>
      <c r="V780" s="1"/>
      <c r="W780" s="1"/>
      <c r="X780" s="1"/>
      <c r="Y780" s="1"/>
      <c r="Z780" s="1"/>
    </row>
    <row r="781" spans="1:26" ht="33.75" customHeight="1">
      <c r="A781" s="1">
        <v>1747</v>
      </c>
      <c r="B781" s="1" t="s">
        <v>2339</v>
      </c>
      <c r="C781" s="1" t="s">
        <v>1814</v>
      </c>
      <c r="D781" s="4">
        <v>39867.081944444442</v>
      </c>
      <c r="E781" s="1" t="s">
        <v>1887</v>
      </c>
      <c r="F781" s="1"/>
      <c r="G781" s="5" t="s">
        <v>64</v>
      </c>
      <c r="H781" s="5" t="s">
        <v>375</v>
      </c>
      <c r="I781" s="1" t="s">
        <v>900</v>
      </c>
      <c r="J781" s="1"/>
      <c r="K781" s="1"/>
      <c r="L781" s="2" t="s">
        <v>2340</v>
      </c>
      <c r="M781" s="1"/>
      <c r="N781" s="1"/>
      <c r="O781" s="1"/>
      <c r="P781" s="1"/>
      <c r="Q781" s="1"/>
      <c r="R781" s="1"/>
      <c r="S781" s="1"/>
      <c r="T781" s="1"/>
      <c r="U781" s="1"/>
      <c r="V781" s="1"/>
      <c r="W781" s="1"/>
      <c r="X781" s="1"/>
      <c r="Y781" s="1"/>
      <c r="Z781" s="1"/>
    </row>
    <row r="782" spans="1:26" ht="33.75" customHeight="1">
      <c r="A782" s="1">
        <v>848</v>
      </c>
      <c r="B782" s="1" t="s">
        <v>2341</v>
      </c>
      <c r="C782" s="1" t="s">
        <v>1696</v>
      </c>
      <c r="D782" s="4">
        <v>39867.208333333336</v>
      </c>
      <c r="E782" s="1" t="s">
        <v>320</v>
      </c>
      <c r="F782" s="1">
        <v>567</v>
      </c>
      <c r="G782" s="5" t="s">
        <v>64</v>
      </c>
      <c r="H782" s="1"/>
      <c r="I782" s="1" t="s">
        <v>64</v>
      </c>
      <c r="J782" s="1"/>
      <c r="K782" s="1"/>
      <c r="L782" s="2" t="s">
        <v>2342</v>
      </c>
      <c r="M782" s="1"/>
      <c r="N782" s="1"/>
      <c r="O782" s="1"/>
      <c r="P782" s="1"/>
      <c r="Q782" s="1"/>
      <c r="R782" s="1"/>
      <c r="S782" s="1"/>
      <c r="T782" s="1"/>
      <c r="U782" s="1"/>
      <c r="V782" s="1"/>
      <c r="W782" s="1"/>
      <c r="X782" s="1"/>
      <c r="Y782" s="1"/>
      <c r="Z782" s="1"/>
    </row>
    <row r="783" spans="1:26" ht="33.75" customHeight="1">
      <c r="A783" s="1">
        <v>1748</v>
      </c>
      <c r="B783" s="1" t="s">
        <v>2343</v>
      </c>
      <c r="C783" s="1" t="s">
        <v>1814</v>
      </c>
      <c r="D783" s="4">
        <v>39867.394444444442</v>
      </c>
      <c r="E783" s="1" t="s">
        <v>54</v>
      </c>
      <c r="F783" s="1" t="s">
        <v>2344</v>
      </c>
      <c r="G783" s="5" t="s">
        <v>64</v>
      </c>
      <c r="H783" s="1"/>
      <c r="I783" s="1" t="s">
        <v>64</v>
      </c>
      <c r="J783" s="1"/>
      <c r="K783" s="1"/>
      <c r="L783" s="2" t="s">
        <v>2345</v>
      </c>
      <c r="M783" s="1"/>
      <c r="N783" s="1"/>
      <c r="O783" s="1"/>
      <c r="P783" s="1"/>
      <c r="Q783" s="1"/>
      <c r="R783" s="1"/>
      <c r="S783" s="1"/>
      <c r="T783" s="1"/>
      <c r="U783" s="1"/>
      <c r="V783" s="1"/>
      <c r="W783" s="1"/>
      <c r="X783" s="1"/>
      <c r="Y783" s="1"/>
      <c r="Z783" s="1"/>
    </row>
    <row r="784" spans="1:26" ht="33.75" customHeight="1">
      <c r="A784" s="1">
        <v>1749</v>
      </c>
      <c r="B784" s="1" t="s">
        <v>2346</v>
      </c>
      <c r="C784" s="1" t="s">
        <v>1814</v>
      </c>
      <c r="D784" s="4">
        <v>39867.404166666667</v>
      </c>
      <c r="E784" s="1" t="s">
        <v>54</v>
      </c>
      <c r="F784" s="1"/>
      <c r="G784" s="5" t="s">
        <v>64</v>
      </c>
      <c r="H784" s="1"/>
      <c r="I784" s="1" t="s">
        <v>64</v>
      </c>
      <c r="J784" s="1"/>
      <c r="K784" s="1"/>
      <c r="L784" s="2" t="s">
        <v>2347</v>
      </c>
      <c r="M784" s="1"/>
      <c r="N784" s="1"/>
      <c r="O784" s="1"/>
      <c r="P784" s="1"/>
      <c r="Q784" s="1"/>
      <c r="R784" s="1"/>
      <c r="S784" s="1"/>
      <c r="T784" s="1"/>
      <c r="U784" s="1"/>
      <c r="V784" s="1"/>
      <c r="W784" s="1"/>
      <c r="X784" s="1"/>
      <c r="Y784" s="1"/>
      <c r="Z784" s="1"/>
    </row>
    <row r="785" spans="1:26" ht="33.75" customHeight="1">
      <c r="A785" s="1">
        <v>10</v>
      </c>
      <c r="B785" s="1" t="s">
        <v>12</v>
      </c>
      <c r="C785" s="1" t="s">
        <v>2335</v>
      </c>
      <c r="D785" s="4">
        <v>39867.414837962962</v>
      </c>
      <c r="E785" s="1" t="s">
        <v>14</v>
      </c>
      <c r="F785" s="1"/>
      <c r="G785" s="5" t="s">
        <v>64</v>
      </c>
      <c r="H785" s="5" t="s">
        <v>65</v>
      </c>
      <c r="I785" s="1" t="s">
        <v>886</v>
      </c>
      <c r="J785" s="1"/>
      <c r="K785" s="1"/>
      <c r="L785" s="2" t="s">
        <v>2348</v>
      </c>
      <c r="M785" s="1"/>
      <c r="N785" s="1"/>
      <c r="O785" s="1"/>
      <c r="P785" s="1"/>
      <c r="Q785" s="1"/>
      <c r="R785" s="1"/>
      <c r="S785" s="1"/>
      <c r="T785" s="1"/>
      <c r="U785" s="1"/>
      <c r="V785" s="1"/>
      <c r="W785" s="1"/>
      <c r="X785" s="1"/>
      <c r="Y785" s="1"/>
      <c r="Z785" s="1"/>
    </row>
    <row r="786" spans="1:26" ht="33.75" customHeight="1">
      <c r="A786" s="1">
        <v>849</v>
      </c>
      <c r="B786" s="1" t="s">
        <v>2349</v>
      </c>
      <c r="C786" s="1" t="s">
        <v>1696</v>
      </c>
      <c r="D786" s="4">
        <v>39867.429166666669</v>
      </c>
      <c r="E786" s="1" t="s">
        <v>14</v>
      </c>
      <c r="F786" s="1" t="s">
        <v>2341</v>
      </c>
      <c r="G786" s="5" t="s">
        <v>15</v>
      </c>
      <c r="H786" s="5" t="s">
        <v>150</v>
      </c>
      <c r="I786" s="1" t="s">
        <v>295</v>
      </c>
      <c r="J786" s="1"/>
      <c r="K786" s="1" t="s">
        <v>2350</v>
      </c>
      <c r="L786" s="2" t="s">
        <v>2351</v>
      </c>
      <c r="M786" s="1"/>
      <c r="N786" s="1"/>
      <c r="O786" s="1"/>
      <c r="P786" s="1"/>
      <c r="Q786" s="1"/>
      <c r="R786" s="1"/>
      <c r="S786" s="1"/>
      <c r="T786" s="1"/>
      <c r="U786" s="1"/>
      <c r="V786" s="1"/>
      <c r="W786" s="1"/>
      <c r="X786" s="1"/>
      <c r="Y786" s="1"/>
      <c r="Z786" s="1"/>
    </row>
    <row r="787" spans="1:26" ht="33.75" customHeight="1">
      <c r="A787" s="1">
        <v>850</v>
      </c>
      <c r="B787" s="1" t="s">
        <v>2352</v>
      </c>
      <c r="C787" s="1" t="s">
        <v>1696</v>
      </c>
      <c r="D787" s="4">
        <v>39867.462500000001</v>
      </c>
      <c r="E787" s="1" t="s">
        <v>14</v>
      </c>
      <c r="F787" s="1"/>
      <c r="G787" s="5" t="s">
        <v>64</v>
      </c>
      <c r="H787" s="5" t="s">
        <v>65</v>
      </c>
      <c r="I787" s="1" t="s">
        <v>886</v>
      </c>
      <c r="J787" s="1"/>
      <c r="K787" s="1" t="s">
        <v>2353</v>
      </c>
      <c r="L787" s="2" t="s">
        <v>2354</v>
      </c>
      <c r="M787" s="1"/>
      <c r="N787" s="1"/>
      <c r="O787" s="1"/>
      <c r="P787" s="1"/>
      <c r="Q787" s="1"/>
      <c r="R787" s="1"/>
      <c r="S787" s="1"/>
      <c r="T787" s="1"/>
      <c r="U787" s="1"/>
      <c r="V787" s="1"/>
      <c r="W787" s="1"/>
      <c r="X787" s="1"/>
      <c r="Y787" s="1"/>
      <c r="Z787" s="1"/>
    </row>
    <row r="788" spans="1:26" ht="33.75" customHeight="1">
      <c r="A788" s="1">
        <v>1750</v>
      </c>
      <c r="B788" s="1" t="s">
        <v>2355</v>
      </c>
      <c r="C788" s="1" t="s">
        <v>1814</v>
      </c>
      <c r="D788" s="4">
        <v>39867.741666666669</v>
      </c>
      <c r="E788" s="1" t="s">
        <v>1241</v>
      </c>
      <c r="F788" s="1" t="s">
        <v>2337</v>
      </c>
      <c r="G788" s="5" t="s">
        <v>64</v>
      </c>
      <c r="H788" s="1"/>
      <c r="I788" s="1" t="s">
        <v>64</v>
      </c>
      <c r="J788" s="1"/>
      <c r="K788" s="1"/>
      <c r="L788" s="2" t="s">
        <v>2356</v>
      </c>
      <c r="M788" s="1"/>
      <c r="N788" s="1"/>
      <c r="O788" s="1"/>
      <c r="P788" s="1"/>
      <c r="Q788" s="1"/>
      <c r="R788" s="1"/>
      <c r="S788" s="1"/>
      <c r="T788" s="1"/>
      <c r="U788" s="1"/>
      <c r="V788" s="1"/>
      <c r="W788" s="1"/>
      <c r="X788" s="1"/>
      <c r="Y788" s="1"/>
      <c r="Z788" s="1"/>
    </row>
    <row r="789" spans="1:26" ht="33.75" customHeight="1">
      <c r="A789" s="1">
        <v>1751</v>
      </c>
      <c r="B789" s="1" t="s">
        <v>2357</v>
      </c>
      <c r="C789" s="1" t="s">
        <v>1814</v>
      </c>
      <c r="D789" s="4">
        <v>39867.752083333333</v>
      </c>
      <c r="E789" s="1" t="s">
        <v>54</v>
      </c>
      <c r="F789" s="1" t="s">
        <v>2355</v>
      </c>
      <c r="G789" s="5" t="s">
        <v>64</v>
      </c>
      <c r="H789" s="1"/>
      <c r="I789" s="1" t="s">
        <v>64</v>
      </c>
      <c r="J789" s="1"/>
      <c r="K789" s="1"/>
      <c r="L789" s="2" t="s">
        <v>2358</v>
      </c>
      <c r="M789" s="1"/>
      <c r="N789" s="1"/>
      <c r="O789" s="1"/>
      <c r="P789" s="1"/>
      <c r="Q789" s="1"/>
      <c r="R789" s="1"/>
      <c r="S789" s="1"/>
      <c r="T789" s="1"/>
      <c r="U789" s="1"/>
      <c r="V789" s="1"/>
      <c r="W789" s="1"/>
      <c r="X789" s="1"/>
      <c r="Y789" s="1"/>
      <c r="Z789" s="1"/>
    </row>
    <row r="790" spans="1:26" ht="33.75" customHeight="1">
      <c r="A790" s="1">
        <v>851</v>
      </c>
      <c r="B790" s="1" t="s">
        <v>2359</v>
      </c>
      <c r="C790" s="1" t="s">
        <v>1696</v>
      </c>
      <c r="D790" s="4">
        <v>39867.754166666666</v>
      </c>
      <c r="E790" s="1" t="s">
        <v>320</v>
      </c>
      <c r="F790" s="1">
        <v>578</v>
      </c>
      <c r="G790" s="5" t="s">
        <v>64</v>
      </c>
      <c r="H790" s="1"/>
      <c r="I790" s="1" t="s">
        <v>64</v>
      </c>
      <c r="J790" s="1"/>
      <c r="K790" s="1" t="s">
        <v>2360</v>
      </c>
      <c r="L790" s="2" t="s">
        <v>2361</v>
      </c>
      <c r="M790" s="1"/>
      <c r="N790" s="1"/>
      <c r="O790" s="1"/>
      <c r="P790" s="1"/>
      <c r="Q790" s="1"/>
      <c r="R790" s="1"/>
      <c r="S790" s="1"/>
      <c r="T790" s="1"/>
      <c r="U790" s="1"/>
      <c r="V790" s="1"/>
      <c r="W790" s="1"/>
      <c r="X790" s="1"/>
      <c r="Y790" s="1"/>
      <c r="Z790" s="1"/>
    </row>
    <row r="791" spans="1:26" ht="33.75" customHeight="1">
      <c r="A791" s="1">
        <v>852</v>
      </c>
      <c r="B791" s="1" t="s">
        <v>2362</v>
      </c>
      <c r="C791" s="1" t="s">
        <v>1696</v>
      </c>
      <c r="D791" s="4">
        <v>39867.756249999999</v>
      </c>
      <c r="E791" s="1" t="s">
        <v>320</v>
      </c>
      <c r="F791" s="1"/>
      <c r="G791" s="5" t="s">
        <v>64</v>
      </c>
      <c r="H791" s="5" t="s">
        <v>1053</v>
      </c>
      <c r="I791" s="1" t="s">
        <v>2363</v>
      </c>
      <c r="J791" s="1"/>
      <c r="K791" s="1" t="s">
        <v>2364</v>
      </c>
      <c r="L791" s="2" t="s">
        <v>2365</v>
      </c>
      <c r="M791" s="1"/>
      <c r="N791" s="1"/>
      <c r="O791" s="1"/>
      <c r="P791" s="1"/>
      <c r="Q791" s="1"/>
      <c r="R791" s="1"/>
      <c r="S791" s="1"/>
      <c r="T791" s="1"/>
      <c r="U791" s="1"/>
      <c r="V791" s="1"/>
      <c r="W791" s="1"/>
      <c r="X791" s="1"/>
      <c r="Y791" s="1"/>
      <c r="Z791" s="1"/>
    </row>
    <row r="792" spans="1:26" ht="33.75" customHeight="1">
      <c r="A792" s="1">
        <v>860</v>
      </c>
      <c r="B792" s="1" t="s">
        <v>2366</v>
      </c>
      <c r="C792" s="1" t="s">
        <v>2335</v>
      </c>
      <c r="D792" s="4">
        <v>39867.758333333331</v>
      </c>
      <c r="E792" s="1" t="s">
        <v>320</v>
      </c>
      <c r="F792" s="1" t="s">
        <v>2367</v>
      </c>
      <c r="G792" s="5" t="s">
        <v>15</v>
      </c>
      <c r="H792" s="5" t="s">
        <v>402</v>
      </c>
      <c r="I792" s="1" t="s">
        <v>576</v>
      </c>
      <c r="J792" s="1"/>
      <c r="K792" s="1"/>
      <c r="L792" s="2" t="s">
        <v>2368</v>
      </c>
      <c r="M792" s="1"/>
      <c r="N792" s="1"/>
      <c r="O792" s="1"/>
      <c r="P792" s="1"/>
      <c r="Q792" s="1"/>
      <c r="R792" s="1"/>
      <c r="S792" s="1"/>
      <c r="T792" s="1"/>
      <c r="U792" s="1"/>
      <c r="V792" s="1"/>
      <c r="W792" s="1"/>
      <c r="X792" s="1"/>
      <c r="Y792" s="1"/>
      <c r="Z792" s="1"/>
    </row>
    <row r="793" spans="1:26" ht="33.75" customHeight="1">
      <c r="A793" s="1">
        <v>861</v>
      </c>
      <c r="B793" s="1" t="s">
        <v>2369</v>
      </c>
      <c r="C793" s="1" t="s">
        <v>2335</v>
      </c>
      <c r="D793" s="4">
        <v>39867.759722222225</v>
      </c>
      <c r="E793" s="1" t="s">
        <v>196</v>
      </c>
      <c r="F793" s="1"/>
      <c r="G793" s="5" t="s">
        <v>15</v>
      </c>
      <c r="H793" s="5" t="s">
        <v>50</v>
      </c>
      <c r="I793" s="1" t="s">
        <v>166</v>
      </c>
      <c r="J793" s="1"/>
      <c r="K793" s="1" t="s">
        <v>2370</v>
      </c>
      <c r="L793" s="2" t="s">
        <v>2371</v>
      </c>
      <c r="M793" s="1"/>
      <c r="N793" s="1"/>
      <c r="O793" s="1"/>
      <c r="P793" s="1"/>
      <c r="Q793" s="1"/>
      <c r="R793" s="1"/>
      <c r="S793" s="1"/>
      <c r="T793" s="1"/>
      <c r="U793" s="1"/>
      <c r="V793" s="1"/>
      <c r="W793" s="1"/>
      <c r="X793" s="1"/>
      <c r="Y793" s="1"/>
      <c r="Z793" s="1"/>
    </row>
    <row r="794" spans="1:26" ht="33.75" customHeight="1">
      <c r="A794" s="1">
        <v>853</v>
      </c>
      <c r="B794" s="1" t="s">
        <v>2372</v>
      </c>
      <c r="C794" s="1" t="s">
        <v>1696</v>
      </c>
      <c r="D794" s="4">
        <v>39867.763194444444</v>
      </c>
      <c r="E794" s="1" t="s">
        <v>14</v>
      </c>
      <c r="F794" s="1" t="s">
        <v>2362</v>
      </c>
      <c r="G794" s="5" t="s">
        <v>64</v>
      </c>
      <c r="H794" s="5" t="s">
        <v>431</v>
      </c>
      <c r="I794" s="1" t="s">
        <v>2373</v>
      </c>
      <c r="J794" s="1"/>
      <c r="K794" s="1" t="s">
        <v>2374</v>
      </c>
      <c r="L794" s="2" t="s">
        <v>2375</v>
      </c>
      <c r="M794" s="1"/>
      <c r="N794" s="1"/>
      <c r="O794" s="1"/>
      <c r="P794" s="1"/>
      <c r="Q794" s="1"/>
      <c r="R794" s="1"/>
      <c r="S794" s="1"/>
      <c r="T794" s="1"/>
      <c r="U794" s="1"/>
      <c r="V794" s="1"/>
      <c r="W794" s="1"/>
      <c r="X794" s="1"/>
      <c r="Y794" s="1"/>
      <c r="Z794" s="1"/>
    </row>
    <row r="795" spans="1:26" ht="33.75" customHeight="1">
      <c r="A795" s="1">
        <v>862</v>
      </c>
      <c r="B795" s="1" t="s">
        <v>2376</v>
      </c>
      <c r="C795" s="1" t="s">
        <v>2335</v>
      </c>
      <c r="D795" s="4">
        <v>39867.769444444442</v>
      </c>
      <c r="E795" s="1" t="s">
        <v>14</v>
      </c>
      <c r="F795" s="1"/>
      <c r="G795" s="5" t="s">
        <v>15</v>
      </c>
      <c r="H795" s="5" t="s">
        <v>140</v>
      </c>
      <c r="I795" s="1" t="s">
        <v>166</v>
      </c>
      <c r="J795" s="1"/>
      <c r="K795" s="1" t="s">
        <v>2377</v>
      </c>
      <c r="L795" s="2" t="s">
        <v>2378</v>
      </c>
      <c r="M795" s="1"/>
      <c r="N795" s="1"/>
      <c r="O795" s="1"/>
      <c r="P795" s="1"/>
      <c r="Q795" s="1"/>
      <c r="R795" s="1"/>
      <c r="S795" s="1"/>
      <c r="T795" s="1"/>
      <c r="U795" s="1"/>
      <c r="V795" s="1"/>
      <c r="W795" s="1"/>
      <c r="X795" s="1"/>
      <c r="Y795" s="1"/>
      <c r="Z795" s="1"/>
    </row>
    <row r="796" spans="1:26" ht="33.75" customHeight="1">
      <c r="A796" s="1">
        <v>863</v>
      </c>
      <c r="B796" s="1" t="s">
        <v>2379</v>
      </c>
      <c r="C796" s="1" t="s">
        <v>2335</v>
      </c>
      <c r="D796" s="4">
        <v>39867.782638888886</v>
      </c>
      <c r="E796" s="1" t="s">
        <v>14</v>
      </c>
      <c r="F796" s="1" t="s">
        <v>2366</v>
      </c>
      <c r="G796" s="5" t="s">
        <v>26</v>
      </c>
      <c r="H796" s="5" t="s">
        <v>133</v>
      </c>
      <c r="I796" s="1" t="s">
        <v>28</v>
      </c>
      <c r="J796" s="1" t="s">
        <v>134</v>
      </c>
      <c r="K796" s="1" t="s">
        <v>26</v>
      </c>
      <c r="L796" s="2" t="s">
        <v>2380</v>
      </c>
      <c r="M796" s="1"/>
      <c r="N796" s="1"/>
      <c r="O796" s="1"/>
      <c r="P796" s="1"/>
      <c r="Q796" s="1"/>
      <c r="R796" s="1"/>
      <c r="S796" s="1"/>
      <c r="T796" s="1"/>
      <c r="U796" s="1"/>
      <c r="V796" s="1"/>
      <c r="W796" s="1"/>
      <c r="X796" s="1"/>
      <c r="Y796" s="1"/>
      <c r="Z796" s="1"/>
    </row>
    <row r="797" spans="1:26" ht="33.75" customHeight="1">
      <c r="A797" s="1">
        <v>864</v>
      </c>
      <c r="B797" s="1" t="s">
        <v>2381</v>
      </c>
      <c r="C797" s="1" t="s">
        <v>2335</v>
      </c>
      <c r="D797" s="4">
        <v>39867.809027777781</v>
      </c>
      <c r="E797" s="1" t="s">
        <v>14</v>
      </c>
      <c r="F797" s="1" t="s">
        <v>2379</v>
      </c>
      <c r="G797" s="1" t="s">
        <v>64</v>
      </c>
      <c r="H797" s="1" t="s">
        <v>263</v>
      </c>
      <c r="I797" s="1" t="s">
        <v>2382</v>
      </c>
      <c r="J797" s="1"/>
      <c r="K797" s="1" t="s">
        <v>2383</v>
      </c>
      <c r="L797" s="2" t="s">
        <v>2384</v>
      </c>
      <c r="M797" s="1"/>
      <c r="N797" s="1"/>
      <c r="O797" s="1"/>
      <c r="P797" s="1"/>
      <c r="Q797" s="1"/>
      <c r="R797" s="1"/>
      <c r="S797" s="1"/>
      <c r="T797" s="1"/>
      <c r="U797" s="1"/>
      <c r="V797" s="1"/>
      <c r="W797" s="1"/>
      <c r="X797" s="1"/>
      <c r="Y797" s="1"/>
      <c r="Z797" s="1"/>
    </row>
    <row r="798" spans="1:26" ht="33.75" customHeight="1">
      <c r="A798" s="1">
        <v>865</v>
      </c>
      <c r="B798" s="1" t="s">
        <v>2385</v>
      </c>
      <c r="C798" s="1" t="s">
        <v>2335</v>
      </c>
      <c r="D798" s="4">
        <v>39867.836805555555</v>
      </c>
      <c r="E798" s="1" t="s">
        <v>320</v>
      </c>
      <c r="F798" s="1" t="s">
        <v>2379</v>
      </c>
      <c r="G798" s="1" t="s">
        <v>64</v>
      </c>
      <c r="H798" s="1" t="s">
        <v>263</v>
      </c>
      <c r="I798" s="1" t="s">
        <v>2382</v>
      </c>
      <c r="J798" s="1"/>
      <c r="K798" s="1" t="s">
        <v>2383</v>
      </c>
      <c r="L798" s="2" t="s">
        <v>2386</v>
      </c>
      <c r="M798" s="1"/>
      <c r="N798" s="1"/>
      <c r="O798" s="1"/>
      <c r="P798" s="1"/>
      <c r="Q798" s="1"/>
      <c r="R798" s="1"/>
      <c r="S798" s="1"/>
      <c r="T798" s="1"/>
      <c r="U798" s="1"/>
      <c r="V798" s="1"/>
      <c r="W798" s="1"/>
      <c r="X798" s="1"/>
      <c r="Y798" s="1"/>
      <c r="Z798" s="1"/>
    </row>
    <row r="799" spans="1:26" ht="33.75" customHeight="1">
      <c r="A799" s="1">
        <v>866</v>
      </c>
      <c r="B799" s="1" t="s">
        <v>2387</v>
      </c>
      <c r="C799" s="1" t="s">
        <v>2335</v>
      </c>
      <c r="D799" s="4">
        <v>39867.847222222219</v>
      </c>
      <c r="E799" s="1" t="s">
        <v>320</v>
      </c>
      <c r="F799" s="1" t="s">
        <v>2369</v>
      </c>
      <c r="G799" s="5" t="s">
        <v>15</v>
      </c>
      <c r="H799" s="5" t="s">
        <v>50</v>
      </c>
      <c r="I799" s="1" t="s">
        <v>166</v>
      </c>
      <c r="J799" s="1"/>
      <c r="K799" s="1" t="s">
        <v>2388</v>
      </c>
      <c r="L799" s="2" t="s">
        <v>2389</v>
      </c>
      <c r="M799" s="1"/>
      <c r="N799" s="1"/>
      <c r="O799" s="1"/>
      <c r="P799" s="1"/>
      <c r="Q799" s="1"/>
      <c r="R799" s="1"/>
      <c r="S799" s="1"/>
      <c r="T799" s="1"/>
      <c r="U799" s="1"/>
      <c r="V799" s="1"/>
      <c r="W799" s="1"/>
      <c r="X799" s="1"/>
      <c r="Y799" s="1"/>
      <c r="Z799" s="1"/>
    </row>
    <row r="800" spans="1:26" ht="33.75" customHeight="1">
      <c r="A800" s="1">
        <v>867</v>
      </c>
      <c r="B800" s="1" t="s">
        <v>2390</v>
      </c>
      <c r="C800" s="1" t="s">
        <v>2335</v>
      </c>
      <c r="D800" s="4">
        <v>39867.850694444445</v>
      </c>
      <c r="E800" s="1" t="s">
        <v>320</v>
      </c>
      <c r="F800" s="1"/>
      <c r="G800" s="1" t="s">
        <v>64</v>
      </c>
      <c r="H800" s="1" t="s">
        <v>263</v>
      </c>
      <c r="I800" s="1" t="s">
        <v>2391</v>
      </c>
      <c r="J800" s="1"/>
      <c r="K800" s="1" t="s">
        <v>2392</v>
      </c>
      <c r="L800" s="2" t="s">
        <v>2393</v>
      </c>
      <c r="M800" s="1"/>
      <c r="N800" s="1"/>
      <c r="O800" s="1"/>
      <c r="P800" s="1"/>
      <c r="Q800" s="1"/>
      <c r="R800" s="1"/>
      <c r="S800" s="1"/>
      <c r="T800" s="1"/>
      <c r="U800" s="1"/>
      <c r="V800" s="1"/>
      <c r="W800" s="1"/>
      <c r="X800" s="1"/>
      <c r="Y800" s="1"/>
      <c r="Z800" s="1"/>
    </row>
    <row r="801" spans="1:26" ht="33.75" customHeight="1">
      <c r="A801" s="1">
        <v>868</v>
      </c>
      <c r="B801" s="1" t="s">
        <v>2394</v>
      </c>
      <c r="C801" s="1" t="s">
        <v>2335</v>
      </c>
      <c r="D801" s="4">
        <v>39867.870833333334</v>
      </c>
      <c r="E801" s="1" t="s">
        <v>255</v>
      </c>
      <c r="F801" s="1" t="s">
        <v>2387</v>
      </c>
      <c r="G801" s="1" t="s">
        <v>15</v>
      </c>
      <c r="H801" s="1" t="s">
        <v>50</v>
      </c>
      <c r="I801" s="1" t="s">
        <v>166</v>
      </c>
      <c r="J801" s="1"/>
      <c r="K801" s="1" t="s">
        <v>2395</v>
      </c>
      <c r="L801" s="2" t="s">
        <v>2396</v>
      </c>
      <c r="M801" s="1"/>
      <c r="N801" s="1"/>
      <c r="O801" s="1"/>
      <c r="P801" s="1"/>
      <c r="Q801" s="1"/>
      <c r="R801" s="1"/>
      <c r="S801" s="1"/>
      <c r="T801" s="1"/>
      <c r="U801" s="1"/>
      <c r="V801" s="1"/>
      <c r="W801" s="1"/>
      <c r="X801" s="1"/>
      <c r="Y801" s="1"/>
      <c r="Z801" s="1"/>
    </row>
    <row r="802" spans="1:26" ht="33.75" customHeight="1">
      <c r="A802" s="1">
        <v>870</v>
      </c>
      <c r="B802" s="1" t="s">
        <v>2397</v>
      </c>
      <c r="C802" s="1" t="s">
        <v>2335</v>
      </c>
      <c r="D802" s="4">
        <v>39867.921527777777</v>
      </c>
      <c r="E802" s="1" t="s">
        <v>54</v>
      </c>
      <c r="F802" s="1" t="s">
        <v>2387</v>
      </c>
      <c r="G802" s="5" t="s">
        <v>15</v>
      </c>
      <c r="H802" s="5" t="s">
        <v>50</v>
      </c>
      <c r="I802" s="1" t="s">
        <v>166</v>
      </c>
      <c r="J802" s="1"/>
      <c r="K802" s="1" t="s">
        <v>2398</v>
      </c>
      <c r="L802" s="2" t="s">
        <v>2399</v>
      </c>
      <c r="M802" s="1"/>
      <c r="N802" s="1"/>
      <c r="O802" s="1"/>
      <c r="P802" s="1"/>
      <c r="Q802" s="1"/>
      <c r="R802" s="1"/>
      <c r="S802" s="1"/>
      <c r="T802" s="1"/>
      <c r="U802" s="1"/>
      <c r="V802" s="1"/>
      <c r="W802" s="1"/>
      <c r="X802" s="1"/>
      <c r="Y802" s="1"/>
      <c r="Z802" s="1"/>
    </row>
    <row r="803" spans="1:26" ht="33.75" customHeight="1">
      <c r="A803" s="1">
        <v>871</v>
      </c>
      <c r="B803" s="1" t="s">
        <v>2400</v>
      </c>
      <c r="C803" s="1" t="s">
        <v>2335</v>
      </c>
      <c r="D803" s="4">
        <v>39867.94027777778</v>
      </c>
      <c r="E803" s="1" t="s">
        <v>14</v>
      </c>
      <c r="F803" s="1" t="s">
        <v>2379</v>
      </c>
      <c r="G803" s="1" t="s">
        <v>64</v>
      </c>
      <c r="H803" s="1" t="s">
        <v>263</v>
      </c>
      <c r="I803" s="1" t="s">
        <v>603</v>
      </c>
      <c r="J803" s="1"/>
      <c r="K803" s="1" t="s">
        <v>2401</v>
      </c>
      <c r="L803" s="2" t="s">
        <v>2402</v>
      </c>
      <c r="M803" s="1"/>
      <c r="N803" s="1"/>
      <c r="O803" s="1"/>
      <c r="P803" s="1"/>
      <c r="Q803" s="1"/>
      <c r="R803" s="1"/>
      <c r="S803" s="1"/>
      <c r="T803" s="1"/>
      <c r="U803" s="1"/>
      <c r="V803" s="1"/>
      <c r="W803" s="1"/>
      <c r="X803" s="1"/>
      <c r="Y803" s="1"/>
      <c r="Z803" s="1"/>
    </row>
    <row r="804" spans="1:26" ht="33.75" customHeight="1">
      <c r="A804" s="1">
        <v>875</v>
      </c>
      <c r="B804" s="1" t="s">
        <v>2403</v>
      </c>
      <c r="C804" s="1" t="s">
        <v>2335</v>
      </c>
      <c r="D804" s="4">
        <v>39867.96875</v>
      </c>
      <c r="E804" s="1" t="s">
        <v>54</v>
      </c>
      <c r="F804" s="1" t="s">
        <v>2404</v>
      </c>
      <c r="G804" s="5" t="s">
        <v>64</v>
      </c>
      <c r="H804" s="5" t="s">
        <v>179</v>
      </c>
      <c r="I804" s="1" t="s">
        <v>2405</v>
      </c>
      <c r="J804" s="1"/>
      <c r="K804" s="1" t="s">
        <v>2406</v>
      </c>
      <c r="L804" s="2" t="s">
        <v>2407</v>
      </c>
      <c r="M804" s="1"/>
      <c r="N804" s="1"/>
      <c r="O804" s="1"/>
      <c r="P804" s="1"/>
      <c r="Q804" s="1"/>
      <c r="R804" s="1"/>
      <c r="S804" s="1"/>
      <c r="T804" s="1"/>
      <c r="U804" s="1"/>
      <c r="V804" s="1"/>
      <c r="W804" s="1"/>
      <c r="X804" s="1"/>
      <c r="Y804" s="1"/>
      <c r="Z804" s="1"/>
    </row>
    <row r="805" spans="1:26" ht="33.75" customHeight="1">
      <c r="A805" s="1">
        <v>877</v>
      </c>
      <c r="B805" s="1" t="s">
        <v>2408</v>
      </c>
      <c r="C805" s="1" t="s">
        <v>2335</v>
      </c>
      <c r="D805" s="4">
        <v>39867.973611111112</v>
      </c>
      <c r="E805" s="1" t="s">
        <v>54</v>
      </c>
      <c r="F805" s="1" t="s">
        <v>2409</v>
      </c>
      <c r="G805" s="5" t="s">
        <v>64</v>
      </c>
      <c r="H805" s="1" t="s">
        <v>263</v>
      </c>
      <c r="I805" s="1" t="s">
        <v>64</v>
      </c>
      <c r="J805" s="1"/>
      <c r="K805" s="1" t="s">
        <v>2410</v>
      </c>
      <c r="L805" s="2" t="s">
        <v>2411</v>
      </c>
      <c r="M805" s="1"/>
      <c r="N805" s="1"/>
      <c r="O805" s="1"/>
      <c r="P805" s="1"/>
      <c r="Q805" s="1"/>
      <c r="R805" s="1"/>
      <c r="S805" s="1"/>
      <c r="T805" s="1"/>
      <c r="U805" s="1"/>
      <c r="V805" s="1"/>
      <c r="W805" s="1"/>
      <c r="X805" s="1"/>
      <c r="Y805" s="1"/>
      <c r="Z805" s="1"/>
    </row>
    <row r="806" spans="1:26" ht="33.75" customHeight="1">
      <c r="A806" s="1">
        <v>878</v>
      </c>
      <c r="B806" s="1" t="s">
        <v>2412</v>
      </c>
      <c r="C806" s="1" t="s">
        <v>2335</v>
      </c>
      <c r="D806" s="4">
        <v>39867.974999999999</v>
      </c>
      <c r="E806" s="1" t="s">
        <v>54</v>
      </c>
      <c r="F806" s="1" t="s">
        <v>2408</v>
      </c>
      <c r="G806" s="6" t="s">
        <v>78</v>
      </c>
      <c r="H806" s="5" t="s">
        <v>79</v>
      </c>
      <c r="I806" s="1" t="s">
        <v>2230</v>
      </c>
      <c r="J806" s="1"/>
      <c r="K806" s="1" t="s">
        <v>2413</v>
      </c>
      <c r="L806" s="2" t="s">
        <v>2414</v>
      </c>
      <c r="M806" s="1"/>
      <c r="N806" s="1"/>
      <c r="O806" s="1"/>
      <c r="P806" s="1"/>
      <c r="Q806" s="1"/>
      <c r="R806" s="1"/>
      <c r="S806" s="1"/>
      <c r="T806" s="1"/>
      <c r="U806" s="1"/>
      <c r="V806" s="1"/>
      <c r="W806" s="1"/>
      <c r="X806" s="1"/>
      <c r="Y806" s="1"/>
      <c r="Z806" s="1"/>
    </row>
    <row r="807" spans="1:26" ht="33.75" customHeight="1">
      <c r="A807" s="1">
        <v>869</v>
      </c>
      <c r="B807" s="1" t="s">
        <v>2415</v>
      </c>
      <c r="C807" s="1" t="s">
        <v>2335</v>
      </c>
      <c r="D807" s="4">
        <v>39867.980555555558</v>
      </c>
      <c r="E807" s="1" t="s">
        <v>320</v>
      </c>
      <c r="F807" s="1" t="s">
        <v>2394</v>
      </c>
      <c r="G807" s="5" t="s">
        <v>26</v>
      </c>
      <c r="H807" s="5" t="s">
        <v>27</v>
      </c>
      <c r="I807" s="1" t="s">
        <v>2382</v>
      </c>
      <c r="J807" s="1"/>
      <c r="K807" s="1"/>
      <c r="L807" s="2" t="s">
        <v>2416</v>
      </c>
      <c r="M807" s="1"/>
      <c r="N807" s="1"/>
      <c r="O807" s="1"/>
      <c r="P807" s="1"/>
      <c r="Q807" s="1"/>
      <c r="R807" s="1"/>
      <c r="S807" s="1"/>
      <c r="T807" s="1"/>
      <c r="U807" s="1"/>
      <c r="V807" s="1"/>
      <c r="W807" s="1"/>
      <c r="X807" s="1"/>
      <c r="Y807" s="1"/>
      <c r="Z807" s="1"/>
    </row>
    <row r="808" spans="1:26" ht="33.75" customHeight="1">
      <c r="A808" s="1">
        <v>872</v>
      </c>
      <c r="B808" s="1" t="s">
        <v>2417</v>
      </c>
      <c r="C808" s="1" t="s">
        <v>2335</v>
      </c>
      <c r="D808" s="4">
        <v>39867.988194444442</v>
      </c>
      <c r="E808" s="1" t="s">
        <v>320</v>
      </c>
      <c r="F808" s="1"/>
      <c r="G808" s="5" t="s">
        <v>15</v>
      </c>
      <c r="H808" s="5" t="s">
        <v>150</v>
      </c>
      <c r="I808" s="1" t="s">
        <v>80</v>
      </c>
      <c r="J808" s="1"/>
      <c r="K808" s="1" t="s">
        <v>2418</v>
      </c>
      <c r="L808" s="2" t="s">
        <v>2419</v>
      </c>
      <c r="M808" s="1"/>
      <c r="N808" s="1"/>
      <c r="O808" s="1"/>
      <c r="P808" s="1"/>
      <c r="Q808" s="1"/>
      <c r="R808" s="1"/>
      <c r="S808" s="1"/>
      <c r="T808" s="1"/>
      <c r="U808" s="1"/>
      <c r="V808" s="1"/>
      <c r="W808" s="1"/>
      <c r="X808" s="1"/>
      <c r="Y808" s="1"/>
      <c r="Z808" s="1"/>
    </row>
    <row r="809" spans="1:26" ht="33.75" customHeight="1">
      <c r="A809" s="1">
        <v>879</v>
      </c>
      <c r="B809" s="1" t="s">
        <v>2420</v>
      </c>
      <c r="C809" s="1" t="s">
        <v>2335</v>
      </c>
      <c r="D809" s="4">
        <v>39868.000694444447</v>
      </c>
      <c r="E809" s="1" t="s">
        <v>320</v>
      </c>
      <c r="F809" s="1" t="s">
        <v>2408</v>
      </c>
      <c r="G809" s="6" t="s">
        <v>78</v>
      </c>
      <c r="H809" s="5" t="s">
        <v>223</v>
      </c>
      <c r="I809" s="1" t="s">
        <v>64</v>
      </c>
      <c r="J809" s="1" t="s">
        <v>450</v>
      </c>
      <c r="K809" s="1"/>
      <c r="L809" s="2" t="s">
        <v>2421</v>
      </c>
      <c r="M809" s="1"/>
      <c r="N809" s="1"/>
      <c r="O809" s="1"/>
      <c r="P809" s="1"/>
      <c r="Q809" s="1"/>
      <c r="R809" s="1"/>
      <c r="S809" s="1"/>
      <c r="T809" s="1"/>
      <c r="U809" s="1"/>
      <c r="V809" s="1"/>
      <c r="W809" s="1"/>
      <c r="X809" s="1"/>
      <c r="Y809" s="1"/>
      <c r="Z809" s="1"/>
    </row>
    <row r="810" spans="1:26" ht="33.75" customHeight="1">
      <c r="A810" s="1">
        <v>873</v>
      </c>
      <c r="B810" s="1" t="s">
        <v>2422</v>
      </c>
      <c r="C810" s="1" t="s">
        <v>2335</v>
      </c>
      <c r="D810" s="4">
        <v>39868.003472222219</v>
      </c>
      <c r="E810" s="1" t="s">
        <v>14</v>
      </c>
      <c r="F810" s="1" t="s">
        <v>2420</v>
      </c>
      <c r="G810" s="5" t="s">
        <v>26</v>
      </c>
      <c r="H810" s="5" t="s">
        <v>27</v>
      </c>
      <c r="I810" s="1" t="s">
        <v>28</v>
      </c>
      <c r="J810" s="1" t="s">
        <v>259</v>
      </c>
      <c r="K810" s="1" t="s">
        <v>2423</v>
      </c>
      <c r="L810" s="2" t="s">
        <v>2424</v>
      </c>
      <c r="M810" s="1"/>
      <c r="N810" s="1"/>
      <c r="O810" s="1"/>
      <c r="P810" s="1"/>
      <c r="Q810" s="1"/>
      <c r="R810" s="1"/>
      <c r="S810" s="1"/>
      <c r="T810" s="1"/>
      <c r="U810" s="1"/>
      <c r="V810" s="1"/>
      <c r="W810" s="1"/>
      <c r="X810" s="1"/>
      <c r="Y810" s="1"/>
      <c r="Z810" s="1"/>
    </row>
    <row r="811" spans="1:26" ht="33.75" customHeight="1">
      <c r="A811" s="1">
        <v>881</v>
      </c>
      <c r="B811" s="1" t="s">
        <v>2425</v>
      </c>
      <c r="C811" s="1" t="s">
        <v>2335</v>
      </c>
      <c r="D811" s="4">
        <v>39868.005555555559</v>
      </c>
      <c r="E811" s="1" t="s">
        <v>320</v>
      </c>
      <c r="F811" s="1" t="s">
        <v>2390</v>
      </c>
      <c r="G811" s="5" t="s">
        <v>15</v>
      </c>
      <c r="H811" s="5" t="s">
        <v>150</v>
      </c>
      <c r="I811" s="1" t="s">
        <v>2426</v>
      </c>
      <c r="J811" s="1"/>
      <c r="K811" s="1" t="s">
        <v>2427</v>
      </c>
      <c r="L811" s="2" t="s">
        <v>2428</v>
      </c>
      <c r="M811" s="1"/>
      <c r="N811" s="1"/>
      <c r="O811" s="1"/>
      <c r="P811" s="1"/>
      <c r="Q811" s="1"/>
      <c r="R811" s="1"/>
      <c r="S811" s="1"/>
      <c r="T811" s="1"/>
      <c r="U811" s="1"/>
      <c r="V811" s="1"/>
      <c r="W811" s="1"/>
      <c r="X811" s="1"/>
      <c r="Y811" s="1"/>
      <c r="Z811" s="1"/>
    </row>
    <row r="812" spans="1:26" ht="33.75" customHeight="1">
      <c r="A812" s="1">
        <v>882</v>
      </c>
      <c r="B812" s="1" t="s">
        <v>2429</v>
      </c>
      <c r="C812" s="1" t="s">
        <v>2335</v>
      </c>
      <c r="D812" s="4">
        <v>39868.040972222225</v>
      </c>
      <c r="E812" s="1" t="s">
        <v>255</v>
      </c>
      <c r="F812" s="1" t="s">
        <v>2425</v>
      </c>
      <c r="G812" s="5" t="s">
        <v>26</v>
      </c>
      <c r="H812" s="5" t="s">
        <v>1010</v>
      </c>
      <c r="I812" s="1" t="s">
        <v>2382</v>
      </c>
      <c r="J812" s="1"/>
      <c r="K812" s="1"/>
      <c r="L812" s="2" t="s">
        <v>2430</v>
      </c>
      <c r="M812" s="1"/>
      <c r="N812" s="1"/>
      <c r="O812" s="1"/>
      <c r="P812" s="1"/>
      <c r="Q812" s="1"/>
      <c r="R812" s="1"/>
      <c r="S812" s="1"/>
      <c r="T812" s="1"/>
      <c r="U812" s="1"/>
      <c r="V812" s="1"/>
      <c r="W812" s="1"/>
      <c r="X812" s="1"/>
      <c r="Y812" s="1"/>
      <c r="Z812" s="1"/>
    </row>
    <row r="813" spans="1:26" ht="33.75" customHeight="1">
      <c r="A813" s="1">
        <v>883</v>
      </c>
      <c r="B813" s="1" t="s">
        <v>2431</v>
      </c>
      <c r="C813" s="1" t="s">
        <v>2335</v>
      </c>
      <c r="D813" s="4">
        <v>39868.050694444442</v>
      </c>
      <c r="E813" s="1" t="s">
        <v>255</v>
      </c>
      <c r="F813" s="1"/>
      <c r="G813" s="5" t="s">
        <v>15</v>
      </c>
      <c r="H813" s="5" t="s">
        <v>150</v>
      </c>
      <c r="I813" s="1" t="s">
        <v>2426</v>
      </c>
      <c r="J813" s="1"/>
      <c r="K813" s="1" t="s">
        <v>2432</v>
      </c>
      <c r="L813" s="2" t="s">
        <v>2433</v>
      </c>
      <c r="M813" s="1"/>
      <c r="N813" s="1"/>
      <c r="O813" s="1"/>
      <c r="P813" s="1"/>
      <c r="Q813" s="1"/>
      <c r="R813" s="1"/>
      <c r="S813" s="1"/>
      <c r="T813" s="1"/>
      <c r="U813" s="1"/>
      <c r="V813" s="1"/>
      <c r="W813" s="1"/>
      <c r="X813" s="1"/>
      <c r="Y813" s="1"/>
      <c r="Z813" s="1"/>
    </row>
    <row r="814" spans="1:26" ht="33.75" customHeight="1">
      <c r="A814" s="1">
        <v>880</v>
      </c>
      <c r="B814" s="1" t="s">
        <v>2434</v>
      </c>
      <c r="C814" s="1" t="s">
        <v>2335</v>
      </c>
      <c r="D814" s="4">
        <v>39868.075694444444</v>
      </c>
      <c r="E814" s="1" t="s">
        <v>54</v>
      </c>
      <c r="F814" s="1"/>
      <c r="G814" s="5" t="s">
        <v>64</v>
      </c>
      <c r="H814" s="1"/>
      <c r="I814" s="1" t="s">
        <v>64</v>
      </c>
      <c r="J814" s="1"/>
      <c r="K814" s="1"/>
      <c r="L814" s="2" t="s">
        <v>2435</v>
      </c>
      <c r="M814" s="1"/>
      <c r="N814" s="1"/>
      <c r="O814" s="1"/>
      <c r="P814" s="1"/>
      <c r="Q814" s="1"/>
      <c r="R814" s="1"/>
      <c r="S814" s="1"/>
      <c r="T814" s="1"/>
      <c r="U814" s="1"/>
      <c r="V814" s="1"/>
      <c r="W814" s="1"/>
      <c r="X814" s="1"/>
      <c r="Y814" s="1"/>
      <c r="Z814" s="1"/>
    </row>
    <row r="815" spans="1:26" ht="33.75" customHeight="1">
      <c r="A815" s="1">
        <v>859</v>
      </c>
      <c r="B815" s="1" t="s">
        <v>2436</v>
      </c>
      <c r="C815" s="1" t="s">
        <v>2280</v>
      </c>
      <c r="D815" s="4">
        <v>39868.188194444447</v>
      </c>
      <c r="E815" s="1" t="s">
        <v>2437</v>
      </c>
      <c r="F815" s="1"/>
      <c r="G815" s="5" t="s">
        <v>33</v>
      </c>
      <c r="H815" s="5" t="s">
        <v>34</v>
      </c>
      <c r="I815" s="1" t="s">
        <v>166</v>
      </c>
      <c r="J815" s="1"/>
      <c r="K815" s="1" t="s">
        <v>2438</v>
      </c>
      <c r="L815" s="2" t="s">
        <v>2439</v>
      </c>
      <c r="M815" s="1"/>
      <c r="N815" s="1"/>
      <c r="O815" s="1"/>
      <c r="P815" s="1"/>
      <c r="Q815" s="1"/>
      <c r="R815" s="1"/>
      <c r="S815" s="1"/>
      <c r="T815" s="1"/>
      <c r="U815" s="1"/>
      <c r="V815" s="1"/>
      <c r="W815" s="1"/>
      <c r="X815" s="1"/>
      <c r="Y815" s="1"/>
      <c r="Z815" s="1"/>
    </row>
    <row r="816" spans="1:26" ht="33.75" customHeight="1">
      <c r="A816" s="1">
        <v>900</v>
      </c>
      <c r="B816" s="1" t="s">
        <v>2440</v>
      </c>
      <c r="C816" s="1" t="s">
        <v>2335</v>
      </c>
      <c r="D816" s="4">
        <v>39869.712500000001</v>
      </c>
      <c r="E816" s="1" t="s">
        <v>1528</v>
      </c>
      <c r="F816" s="1" t="s">
        <v>2441</v>
      </c>
      <c r="G816" s="5" t="s">
        <v>26</v>
      </c>
      <c r="H816" s="5" t="s">
        <v>1010</v>
      </c>
      <c r="I816" s="1" t="s">
        <v>2382</v>
      </c>
      <c r="J816" s="1"/>
      <c r="K816" s="1" t="s">
        <v>2442</v>
      </c>
      <c r="L816" s="2" t="s">
        <v>2443</v>
      </c>
      <c r="M816" s="1"/>
      <c r="N816" s="1"/>
      <c r="O816" s="1"/>
      <c r="P816" s="1"/>
      <c r="Q816" s="1"/>
      <c r="R816" s="1"/>
      <c r="S816" s="1"/>
      <c r="T816" s="1"/>
      <c r="U816" s="1"/>
      <c r="V816" s="1"/>
      <c r="W816" s="1"/>
      <c r="X816" s="1"/>
      <c r="Y816" s="1"/>
      <c r="Z816" s="1"/>
    </row>
    <row r="817" spans="1:26" ht="33.75" customHeight="1">
      <c r="A817" s="1">
        <v>884</v>
      </c>
      <c r="B817" s="1" t="s">
        <v>2444</v>
      </c>
      <c r="C817" s="1" t="s">
        <v>2335</v>
      </c>
      <c r="D817" s="4">
        <v>39868.237500000003</v>
      </c>
      <c r="E817" s="1" t="s">
        <v>320</v>
      </c>
      <c r="F817" s="1" t="s">
        <v>2434</v>
      </c>
      <c r="G817" s="5" t="s">
        <v>26</v>
      </c>
      <c r="H817" s="5" t="s">
        <v>27</v>
      </c>
      <c r="I817" s="1" t="s">
        <v>28</v>
      </c>
      <c r="J817" s="1" t="s">
        <v>259</v>
      </c>
      <c r="K817" s="1" t="s">
        <v>1605</v>
      </c>
      <c r="L817" s="2" t="s">
        <v>2445</v>
      </c>
      <c r="M817" s="1"/>
      <c r="N817" s="1"/>
      <c r="O817" s="1"/>
      <c r="P817" s="1"/>
      <c r="Q817" s="1"/>
      <c r="R817" s="1"/>
      <c r="S817" s="1"/>
      <c r="T817" s="1"/>
      <c r="U817" s="1"/>
      <c r="V817" s="1"/>
      <c r="W817" s="1"/>
      <c r="X817" s="1"/>
      <c r="Y817" s="1"/>
      <c r="Z817" s="1"/>
    </row>
    <row r="818" spans="1:26" ht="33.75" customHeight="1">
      <c r="A818" s="1">
        <v>885</v>
      </c>
      <c r="B818" s="1" t="s">
        <v>2446</v>
      </c>
      <c r="C818" s="1" t="s">
        <v>2335</v>
      </c>
      <c r="D818" s="4">
        <v>39868.254861111112</v>
      </c>
      <c r="E818" s="1" t="s">
        <v>54</v>
      </c>
      <c r="F818" s="1" t="s">
        <v>2444</v>
      </c>
      <c r="G818" s="5" t="s">
        <v>64</v>
      </c>
      <c r="H818" s="5" t="s">
        <v>263</v>
      </c>
      <c r="I818" s="1" t="s">
        <v>2382</v>
      </c>
      <c r="J818" s="1"/>
      <c r="K818" s="1"/>
      <c r="L818" s="2" t="s">
        <v>2447</v>
      </c>
      <c r="M818" s="1"/>
      <c r="N818" s="1"/>
      <c r="O818" s="1"/>
      <c r="P818" s="1"/>
      <c r="Q818" s="1"/>
      <c r="R818" s="1"/>
      <c r="S818" s="1"/>
      <c r="T818" s="1"/>
      <c r="U818" s="1"/>
      <c r="V818" s="1"/>
      <c r="W818" s="1"/>
      <c r="X818" s="1"/>
      <c r="Y818" s="1"/>
      <c r="Z818" s="1"/>
    </row>
    <row r="819" spans="1:26" ht="33.75" customHeight="1">
      <c r="A819" s="1">
        <v>886</v>
      </c>
      <c r="B819" s="1" t="s">
        <v>2448</v>
      </c>
      <c r="C819" s="1" t="s">
        <v>2335</v>
      </c>
      <c r="D819" s="4">
        <v>39868.268750000003</v>
      </c>
      <c r="E819" s="1" t="s">
        <v>54</v>
      </c>
      <c r="F819" s="1"/>
      <c r="G819" s="5" t="s">
        <v>15</v>
      </c>
      <c r="H819" s="5" t="s">
        <v>150</v>
      </c>
      <c r="I819" s="1" t="s">
        <v>26</v>
      </c>
      <c r="J819" s="1" t="s">
        <v>2449</v>
      </c>
      <c r="K819" s="1"/>
      <c r="L819" s="2" t="s">
        <v>2450</v>
      </c>
      <c r="M819" s="1"/>
      <c r="N819" s="1"/>
      <c r="O819" s="1"/>
      <c r="P819" s="1"/>
      <c r="Q819" s="1"/>
      <c r="R819" s="1"/>
      <c r="S819" s="1"/>
      <c r="T819" s="1"/>
      <c r="U819" s="1"/>
      <c r="V819" s="1"/>
      <c r="W819" s="1"/>
      <c r="X819" s="1"/>
      <c r="Y819" s="1"/>
      <c r="Z819" s="1"/>
    </row>
    <row r="820" spans="1:26" ht="33.75" customHeight="1">
      <c r="A820" s="1">
        <v>887</v>
      </c>
      <c r="B820" s="1" t="s">
        <v>2451</v>
      </c>
      <c r="C820" s="1" t="s">
        <v>2335</v>
      </c>
      <c r="D820" s="4">
        <v>39868.286805555559</v>
      </c>
      <c r="E820" s="1" t="s">
        <v>2452</v>
      </c>
      <c r="F820" s="1">
        <v>578</v>
      </c>
      <c r="G820" s="5" t="s">
        <v>15</v>
      </c>
      <c r="H820" s="5" t="s">
        <v>150</v>
      </c>
      <c r="I820" s="1" t="s">
        <v>2453</v>
      </c>
      <c r="J820" s="1"/>
      <c r="K820" s="1"/>
      <c r="L820" s="2" t="s">
        <v>2454</v>
      </c>
      <c r="M820" s="1"/>
      <c r="N820" s="1"/>
      <c r="O820" s="1"/>
      <c r="P820" s="1"/>
      <c r="Q820" s="1"/>
      <c r="R820" s="1"/>
      <c r="S820" s="1"/>
      <c r="T820" s="1"/>
      <c r="U820" s="1"/>
      <c r="V820" s="1"/>
      <c r="W820" s="1"/>
      <c r="X820" s="1"/>
      <c r="Y820" s="1"/>
      <c r="Z820" s="1"/>
    </row>
    <row r="821" spans="1:26" ht="33.75" customHeight="1">
      <c r="A821" s="1">
        <v>874</v>
      </c>
      <c r="B821" s="1" t="s">
        <v>2455</v>
      </c>
      <c r="C821" s="1" t="s">
        <v>2335</v>
      </c>
      <c r="D821" s="4">
        <v>39868.494444444441</v>
      </c>
      <c r="E821" s="1" t="s">
        <v>14</v>
      </c>
      <c r="F821" s="1"/>
      <c r="G821" s="5" t="s">
        <v>15</v>
      </c>
      <c r="H821" s="5" t="s">
        <v>150</v>
      </c>
      <c r="I821" s="1" t="s">
        <v>2382</v>
      </c>
      <c r="J821" s="1"/>
      <c r="K821" s="1"/>
      <c r="L821" s="2" t="s">
        <v>2456</v>
      </c>
      <c r="M821" s="1"/>
      <c r="N821" s="1"/>
      <c r="O821" s="1"/>
      <c r="P821" s="1"/>
      <c r="Q821" s="1"/>
      <c r="R821" s="1"/>
      <c r="S821" s="1"/>
      <c r="T821" s="1"/>
      <c r="U821" s="1"/>
      <c r="V821" s="1"/>
      <c r="W821" s="1"/>
      <c r="X821" s="1"/>
      <c r="Y821" s="1"/>
      <c r="Z821" s="1"/>
    </row>
    <row r="822" spans="1:26" ht="33.75" customHeight="1">
      <c r="A822" s="1">
        <v>888</v>
      </c>
      <c r="B822" s="1" t="s">
        <v>2457</v>
      </c>
      <c r="C822" s="1" t="s">
        <v>2335</v>
      </c>
      <c r="D822" s="4">
        <v>39868.563888888886</v>
      </c>
      <c r="E822" s="1" t="s">
        <v>14</v>
      </c>
      <c r="F822" s="1" t="s">
        <v>2458</v>
      </c>
      <c r="G822" s="5" t="s">
        <v>64</v>
      </c>
      <c r="H822" s="1"/>
      <c r="I822" s="1" t="s">
        <v>64</v>
      </c>
      <c r="J822" s="1"/>
      <c r="K822" s="1" t="s">
        <v>2459</v>
      </c>
      <c r="L822" s="2" t="s">
        <v>2460</v>
      </c>
      <c r="M822" s="1"/>
      <c r="N822" s="1"/>
      <c r="O822" s="1"/>
      <c r="P822" s="1"/>
      <c r="Q822" s="1"/>
      <c r="R822" s="1"/>
      <c r="S822" s="1"/>
      <c r="T822" s="1"/>
      <c r="U822" s="1"/>
      <c r="V822" s="1"/>
      <c r="W822" s="1"/>
      <c r="X822" s="1"/>
      <c r="Y822" s="1"/>
      <c r="Z822" s="1"/>
    </row>
    <row r="823" spans="1:26" ht="33.75" customHeight="1">
      <c r="A823" s="1">
        <v>891</v>
      </c>
      <c r="B823" s="1" t="s">
        <v>2461</v>
      </c>
      <c r="C823" s="1" t="s">
        <v>2335</v>
      </c>
      <c r="D823" s="4">
        <v>39868.576388888891</v>
      </c>
      <c r="E823" s="1" t="s">
        <v>474</v>
      </c>
      <c r="F823" s="1"/>
      <c r="G823" s="5" t="s">
        <v>15</v>
      </c>
      <c r="H823" s="5" t="s">
        <v>150</v>
      </c>
      <c r="I823" s="1" t="s">
        <v>2462</v>
      </c>
      <c r="J823" s="1" t="s">
        <v>1173</v>
      </c>
      <c r="K823" s="1"/>
      <c r="L823" s="2" t="s">
        <v>2463</v>
      </c>
      <c r="M823" s="1"/>
      <c r="N823" s="1"/>
      <c r="O823" s="1"/>
      <c r="P823" s="1"/>
      <c r="Q823" s="1"/>
      <c r="R823" s="1"/>
      <c r="S823" s="1"/>
      <c r="T823" s="1"/>
      <c r="U823" s="1"/>
      <c r="V823" s="1"/>
      <c r="W823" s="1"/>
      <c r="X823" s="1"/>
      <c r="Y823" s="1"/>
      <c r="Z823" s="1"/>
    </row>
    <row r="824" spans="1:26" ht="33.75" customHeight="1">
      <c r="A824" s="1">
        <v>889</v>
      </c>
      <c r="B824" s="1" t="s">
        <v>2464</v>
      </c>
      <c r="C824" s="1" t="s">
        <v>2335</v>
      </c>
      <c r="D824" s="4">
        <v>39868.67083333333</v>
      </c>
      <c r="E824" s="1" t="s">
        <v>2452</v>
      </c>
      <c r="F824" s="1"/>
      <c r="G824" s="6" t="s">
        <v>78</v>
      </c>
      <c r="H824" s="5" t="s">
        <v>479</v>
      </c>
      <c r="I824" s="1" t="s">
        <v>2382</v>
      </c>
      <c r="J824" s="1"/>
      <c r="K824" s="1"/>
      <c r="L824" s="2" t="s">
        <v>2465</v>
      </c>
      <c r="M824" s="1"/>
      <c r="N824" s="1"/>
      <c r="O824" s="1"/>
      <c r="P824" s="1"/>
      <c r="Q824" s="1"/>
      <c r="R824" s="1"/>
      <c r="S824" s="1"/>
      <c r="T824" s="1"/>
      <c r="U824" s="1"/>
      <c r="V824" s="1"/>
      <c r="W824" s="1"/>
      <c r="X824" s="1"/>
      <c r="Y824" s="1"/>
      <c r="Z824" s="1"/>
    </row>
    <row r="825" spans="1:26" ht="33.75" customHeight="1">
      <c r="A825" s="1">
        <v>892</v>
      </c>
      <c r="B825" s="1" t="s">
        <v>2466</v>
      </c>
      <c r="C825" s="1" t="s">
        <v>2335</v>
      </c>
      <c r="D825" s="4">
        <v>39868.674305555556</v>
      </c>
      <c r="E825" s="1" t="s">
        <v>2452</v>
      </c>
      <c r="F825" s="1"/>
      <c r="G825" s="5" t="s">
        <v>26</v>
      </c>
      <c r="H825" s="5" t="s">
        <v>133</v>
      </c>
      <c r="I825" s="1" t="s">
        <v>28</v>
      </c>
      <c r="J825" s="1" t="s">
        <v>134</v>
      </c>
      <c r="K825" s="1" t="s">
        <v>2467</v>
      </c>
      <c r="L825" s="2" t="s">
        <v>2468</v>
      </c>
      <c r="M825" s="1"/>
      <c r="N825" s="1"/>
      <c r="O825" s="1"/>
      <c r="P825" s="1"/>
      <c r="Q825" s="1"/>
      <c r="R825" s="1"/>
      <c r="S825" s="1"/>
      <c r="T825" s="1"/>
      <c r="U825" s="1"/>
      <c r="V825" s="1"/>
      <c r="W825" s="1"/>
      <c r="X825" s="1"/>
      <c r="Y825" s="1"/>
      <c r="Z825" s="1"/>
    </row>
    <row r="826" spans="1:26" ht="33.75" customHeight="1">
      <c r="A826" s="1">
        <v>890</v>
      </c>
      <c r="B826" s="1" t="s">
        <v>2469</v>
      </c>
      <c r="C826" s="1" t="s">
        <v>2335</v>
      </c>
      <c r="D826" s="4">
        <v>39868.685416666667</v>
      </c>
      <c r="E826" s="1" t="s">
        <v>2452</v>
      </c>
      <c r="F826" s="1"/>
      <c r="G826" s="6" t="s">
        <v>78</v>
      </c>
      <c r="H826" s="5" t="s">
        <v>870</v>
      </c>
      <c r="I826" s="1" t="s">
        <v>2382</v>
      </c>
      <c r="J826" s="1"/>
      <c r="K826" s="1" t="s">
        <v>2470</v>
      </c>
      <c r="L826" s="2" t="s">
        <v>2471</v>
      </c>
      <c r="M826" s="1"/>
      <c r="N826" s="1"/>
      <c r="O826" s="1"/>
      <c r="P826" s="1"/>
      <c r="Q826" s="1"/>
      <c r="R826" s="1"/>
      <c r="S826" s="1"/>
      <c r="T826" s="1"/>
      <c r="U826" s="1"/>
      <c r="V826" s="1"/>
      <c r="W826" s="1"/>
      <c r="X826" s="1"/>
      <c r="Y826" s="1"/>
      <c r="Z826" s="1"/>
    </row>
    <row r="827" spans="1:26" ht="33.75" customHeight="1">
      <c r="A827" s="1">
        <v>893</v>
      </c>
      <c r="B827" s="1" t="s">
        <v>2472</v>
      </c>
      <c r="C827" s="1" t="s">
        <v>2335</v>
      </c>
      <c r="D827" s="4">
        <v>39868.689583333333</v>
      </c>
      <c r="E827" s="1" t="s">
        <v>2452</v>
      </c>
      <c r="F827" s="1"/>
      <c r="G827" s="5" t="s">
        <v>15</v>
      </c>
      <c r="H827" s="5" t="s">
        <v>150</v>
      </c>
      <c r="I827" s="1" t="s">
        <v>2382</v>
      </c>
      <c r="J827" s="1"/>
      <c r="K827" s="1"/>
      <c r="L827" s="2" t="s">
        <v>2473</v>
      </c>
      <c r="M827" s="1"/>
      <c r="N827" s="1"/>
      <c r="O827" s="1"/>
      <c r="P827" s="1"/>
      <c r="Q827" s="1"/>
      <c r="R827" s="1"/>
      <c r="S827" s="1"/>
      <c r="T827" s="1"/>
      <c r="U827" s="1"/>
      <c r="V827" s="1"/>
      <c r="W827" s="1"/>
      <c r="X827" s="1"/>
      <c r="Y827" s="1"/>
      <c r="Z827" s="1"/>
    </row>
    <row r="828" spans="1:26" ht="33.75" customHeight="1">
      <c r="A828" s="1">
        <v>894</v>
      </c>
      <c r="B828" s="1" t="s">
        <v>2474</v>
      </c>
      <c r="C828" s="1" t="s">
        <v>2335</v>
      </c>
      <c r="D828" s="4">
        <v>39868.715277777781</v>
      </c>
      <c r="E828" s="1" t="s">
        <v>2452</v>
      </c>
      <c r="F828" s="1"/>
      <c r="G828" s="5" t="s">
        <v>15</v>
      </c>
      <c r="H828" s="5" t="s">
        <v>150</v>
      </c>
      <c r="I828" s="1" t="s">
        <v>2382</v>
      </c>
      <c r="J828" s="1"/>
      <c r="K828" s="1" t="s">
        <v>2475</v>
      </c>
      <c r="L828" s="2" t="s">
        <v>2476</v>
      </c>
      <c r="M828" s="1"/>
      <c r="N828" s="1"/>
      <c r="O828" s="1"/>
      <c r="P828" s="1"/>
      <c r="Q828" s="1"/>
      <c r="R828" s="1"/>
      <c r="S828" s="1"/>
      <c r="T828" s="1"/>
      <c r="U828" s="1"/>
      <c r="V828" s="1"/>
      <c r="W828" s="1"/>
      <c r="X828" s="1"/>
      <c r="Y828" s="1"/>
      <c r="Z828" s="1"/>
    </row>
    <row r="829" spans="1:26" ht="33.75" customHeight="1">
      <c r="A829" s="1">
        <v>895</v>
      </c>
      <c r="B829" s="1" t="s">
        <v>2477</v>
      </c>
      <c r="C829" s="1" t="s">
        <v>2335</v>
      </c>
      <c r="D829" s="4">
        <v>39868.74722222222</v>
      </c>
      <c r="E829" s="1" t="s">
        <v>2452</v>
      </c>
      <c r="F829" s="1" t="s">
        <v>2478</v>
      </c>
      <c r="G829" s="5" t="s">
        <v>26</v>
      </c>
      <c r="H829" s="5" t="s">
        <v>133</v>
      </c>
      <c r="I829" s="1" t="s">
        <v>28</v>
      </c>
      <c r="J829" s="1" t="s">
        <v>134</v>
      </c>
      <c r="K829" s="1" t="s">
        <v>2479</v>
      </c>
      <c r="L829" s="2" t="s">
        <v>2480</v>
      </c>
      <c r="M829" s="1"/>
      <c r="N829" s="1"/>
      <c r="O829" s="1"/>
      <c r="P829" s="1"/>
      <c r="Q829" s="1"/>
      <c r="R829" s="1"/>
      <c r="S829" s="1"/>
      <c r="T829" s="1"/>
      <c r="U829" s="1"/>
      <c r="V829" s="1"/>
      <c r="W829" s="1"/>
      <c r="X829" s="1"/>
      <c r="Y829" s="1"/>
      <c r="Z829" s="1"/>
    </row>
    <row r="830" spans="1:26" ht="33.75" customHeight="1">
      <c r="A830" s="1">
        <v>897</v>
      </c>
      <c r="B830" s="1" t="s">
        <v>2481</v>
      </c>
      <c r="C830" s="1" t="s">
        <v>2335</v>
      </c>
      <c r="D830" s="4">
        <v>39868.782638888886</v>
      </c>
      <c r="E830" s="1" t="s">
        <v>14</v>
      </c>
      <c r="F830" s="1"/>
      <c r="G830" s="5" t="s">
        <v>64</v>
      </c>
      <c r="H830" s="5" t="s">
        <v>684</v>
      </c>
      <c r="I830" s="1" t="s">
        <v>2482</v>
      </c>
      <c r="J830" s="1"/>
      <c r="K830" s="1" t="s">
        <v>2483</v>
      </c>
      <c r="L830" s="2" t="s">
        <v>2484</v>
      </c>
      <c r="M830" s="1"/>
      <c r="N830" s="1"/>
      <c r="O830" s="1"/>
      <c r="P830" s="1"/>
      <c r="Q830" s="1"/>
      <c r="R830" s="1"/>
      <c r="S830" s="1"/>
      <c r="T830" s="1"/>
      <c r="U830" s="1"/>
      <c r="V830" s="1"/>
      <c r="W830" s="1"/>
      <c r="X830" s="1"/>
      <c r="Y830" s="1"/>
      <c r="Z830" s="1"/>
    </row>
    <row r="831" spans="1:26" ht="33.75" customHeight="1">
      <c r="A831" s="1">
        <v>896</v>
      </c>
      <c r="B831" s="1" t="s">
        <v>2485</v>
      </c>
      <c r="C831" s="1" t="s">
        <v>2335</v>
      </c>
      <c r="D831" s="4">
        <v>39868.840277777781</v>
      </c>
      <c r="E831" s="1" t="s">
        <v>54</v>
      </c>
      <c r="F831" s="1" t="s">
        <v>2477</v>
      </c>
      <c r="G831" s="5" t="s">
        <v>15</v>
      </c>
      <c r="H831" s="5" t="s">
        <v>150</v>
      </c>
      <c r="I831" s="1" t="s">
        <v>2382</v>
      </c>
      <c r="J831" s="1"/>
      <c r="K831" s="1" t="s">
        <v>2442</v>
      </c>
      <c r="L831" s="2" t="s">
        <v>2486</v>
      </c>
      <c r="M831" s="1"/>
      <c r="N831" s="1"/>
      <c r="O831" s="1"/>
      <c r="P831" s="1"/>
      <c r="Q831" s="1"/>
      <c r="R831" s="1"/>
      <c r="S831" s="1"/>
      <c r="T831" s="1"/>
      <c r="U831" s="1"/>
      <c r="V831" s="1"/>
      <c r="W831" s="1"/>
      <c r="X831" s="1"/>
      <c r="Y831" s="1"/>
      <c r="Z831" s="1"/>
    </row>
    <row r="832" spans="1:26" ht="33.75" customHeight="1">
      <c r="A832" s="1">
        <v>898</v>
      </c>
      <c r="B832" s="1" t="s">
        <v>2487</v>
      </c>
      <c r="C832" s="1" t="s">
        <v>2335</v>
      </c>
      <c r="D832" s="4">
        <v>39868.852083333331</v>
      </c>
      <c r="E832" s="1" t="s">
        <v>2452</v>
      </c>
      <c r="F832" s="1">
        <v>800</v>
      </c>
      <c r="G832" s="5" t="s">
        <v>26</v>
      </c>
      <c r="H832" s="5" t="s">
        <v>27</v>
      </c>
      <c r="I832" s="1" t="s">
        <v>28</v>
      </c>
      <c r="J832" s="1" t="s">
        <v>29</v>
      </c>
      <c r="K832" s="1"/>
      <c r="L832" s="2" t="s">
        <v>2488</v>
      </c>
      <c r="M832" s="1"/>
      <c r="N832" s="1"/>
      <c r="O832" s="1"/>
      <c r="P832" s="1"/>
      <c r="Q832" s="1"/>
      <c r="R832" s="1"/>
      <c r="S832" s="1"/>
      <c r="T832" s="1"/>
      <c r="U832" s="1"/>
      <c r="V832" s="1"/>
      <c r="W832" s="1"/>
      <c r="X832" s="1"/>
      <c r="Y832" s="1"/>
      <c r="Z832" s="1"/>
    </row>
    <row r="833" spans="1:26" ht="33.75" customHeight="1">
      <c r="A833" s="1">
        <v>899</v>
      </c>
      <c r="B833" s="1" t="s">
        <v>2441</v>
      </c>
      <c r="C833" s="1" t="s">
        <v>2335</v>
      </c>
      <c r="D833" s="4">
        <v>39869.107638888891</v>
      </c>
      <c r="E833" s="1" t="s">
        <v>54</v>
      </c>
      <c r="F833" s="1"/>
      <c r="G833" s="5" t="s">
        <v>26</v>
      </c>
      <c r="H833" s="5" t="s">
        <v>133</v>
      </c>
      <c r="I833" s="1" t="s">
        <v>28</v>
      </c>
      <c r="J833" s="1" t="s">
        <v>134</v>
      </c>
      <c r="K833" s="1" t="s">
        <v>2489</v>
      </c>
      <c r="L833" s="2" t="s">
        <v>2490</v>
      </c>
      <c r="M833" s="1"/>
      <c r="N833" s="1"/>
      <c r="O833" s="1"/>
      <c r="P833" s="1"/>
      <c r="Q833" s="1"/>
      <c r="R833" s="1"/>
      <c r="S833" s="1"/>
      <c r="T833" s="1"/>
      <c r="U833" s="1"/>
      <c r="V833" s="1"/>
      <c r="W833" s="1"/>
      <c r="X833" s="1"/>
      <c r="Y833" s="1"/>
      <c r="Z833" s="1"/>
    </row>
    <row r="834" spans="1:26" ht="33.75" customHeight="1">
      <c r="A834" s="1">
        <v>902</v>
      </c>
      <c r="B834" s="1" t="s">
        <v>2491</v>
      </c>
      <c r="C834" s="1" t="s">
        <v>2335</v>
      </c>
      <c r="D834" s="4">
        <v>39869.203472222223</v>
      </c>
      <c r="E834" s="1" t="s">
        <v>2452</v>
      </c>
      <c r="F834" s="1" t="s">
        <v>2492</v>
      </c>
      <c r="G834" s="5" t="s">
        <v>15</v>
      </c>
      <c r="H834" s="5" t="s">
        <v>150</v>
      </c>
      <c r="I834" s="1" t="s">
        <v>213</v>
      </c>
      <c r="J834" s="1" t="s">
        <v>2493</v>
      </c>
      <c r="K834" s="1"/>
      <c r="L834" s="2" t="s">
        <v>2494</v>
      </c>
      <c r="M834" s="1"/>
      <c r="N834" s="1"/>
      <c r="O834" s="1"/>
      <c r="P834" s="1"/>
      <c r="Q834" s="1"/>
      <c r="R834" s="1"/>
      <c r="S834" s="1"/>
      <c r="T834" s="1"/>
      <c r="U834" s="1"/>
      <c r="V834" s="1"/>
      <c r="W834" s="1"/>
      <c r="X834" s="1"/>
      <c r="Y834" s="1"/>
      <c r="Z834" s="1"/>
    </row>
    <row r="835" spans="1:26" ht="33.75" customHeight="1">
      <c r="A835" s="1">
        <v>1752</v>
      </c>
      <c r="B835" s="1" t="s">
        <v>2495</v>
      </c>
      <c r="C835" s="1" t="s">
        <v>1814</v>
      </c>
      <c r="D835" s="4">
        <v>39869.407638888886</v>
      </c>
      <c r="E835" s="1" t="s">
        <v>54</v>
      </c>
      <c r="F835" s="1"/>
      <c r="G835" s="5" t="s">
        <v>64</v>
      </c>
      <c r="H835" s="1"/>
      <c r="I835" s="1" t="s">
        <v>64</v>
      </c>
      <c r="J835" s="1"/>
      <c r="K835" s="1"/>
      <c r="L835" s="2" t="s">
        <v>2496</v>
      </c>
      <c r="M835" s="1"/>
      <c r="N835" s="1"/>
      <c r="O835" s="1"/>
      <c r="P835" s="1"/>
      <c r="Q835" s="1"/>
      <c r="R835" s="1"/>
      <c r="S835" s="1"/>
      <c r="T835" s="1"/>
      <c r="U835" s="1"/>
      <c r="V835" s="1"/>
      <c r="W835" s="1"/>
      <c r="X835" s="1"/>
      <c r="Y835" s="1"/>
      <c r="Z835" s="1"/>
    </row>
    <row r="836" spans="1:26" ht="33.75" customHeight="1">
      <c r="A836" s="1">
        <v>1753</v>
      </c>
      <c r="B836" s="1" t="s">
        <v>2497</v>
      </c>
      <c r="C836" s="1" t="s">
        <v>1814</v>
      </c>
      <c r="D836" s="4">
        <v>39869.409722222219</v>
      </c>
      <c r="E836" s="1" t="s">
        <v>84</v>
      </c>
      <c r="F836" s="1">
        <v>212</v>
      </c>
      <c r="G836" s="6" t="s">
        <v>78</v>
      </c>
      <c r="H836" s="5" t="s">
        <v>870</v>
      </c>
      <c r="I836" s="1" t="s">
        <v>64</v>
      </c>
      <c r="J836" s="1"/>
      <c r="K836" s="1" t="s">
        <v>2498</v>
      </c>
      <c r="L836" s="2" t="s">
        <v>2499</v>
      </c>
      <c r="M836" s="1"/>
      <c r="N836" s="1"/>
      <c r="O836" s="1"/>
      <c r="P836" s="1"/>
      <c r="Q836" s="1"/>
      <c r="R836" s="1"/>
      <c r="S836" s="1"/>
      <c r="T836" s="1"/>
      <c r="U836" s="1"/>
      <c r="V836" s="1"/>
      <c r="W836" s="1"/>
      <c r="X836" s="1"/>
      <c r="Y836" s="1"/>
      <c r="Z836" s="1"/>
    </row>
    <row r="837" spans="1:26" ht="33.75" customHeight="1">
      <c r="A837" s="1">
        <v>1729</v>
      </c>
      <c r="B837" s="1" t="s">
        <v>2500</v>
      </c>
      <c r="C837" s="1" t="s">
        <v>1519</v>
      </c>
      <c r="D837" s="4">
        <v>39869.484027777777</v>
      </c>
      <c r="E837" s="1" t="s">
        <v>54</v>
      </c>
      <c r="F837" s="1"/>
      <c r="G837" s="5" t="s">
        <v>64</v>
      </c>
      <c r="H837" s="5" t="s">
        <v>65</v>
      </c>
      <c r="I837" s="1" t="s">
        <v>886</v>
      </c>
      <c r="J837" s="1"/>
      <c r="K837" s="1" t="s">
        <v>2501</v>
      </c>
      <c r="L837" s="2" t="s">
        <v>2502</v>
      </c>
      <c r="M837" s="1"/>
      <c r="N837" s="1"/>
      <c r="O837" s="1"/>
      <c r="P837" s="1"/>
      <c r="Q837" s="1"/>
      <c r="R837" s="1"/>
      <c r="S837" s="1"/>
      <c r="T837" s="1"/>
      <c r="U837" s="1"/>
      <c r="V837" s="1"/>
      <c r="W837" s="1"/>
      <c r="X837" s="1"/>
      <c r="Y837" s="1"/>
      <c r="Z837" s="1"/>
    </row>
    <row r="838" spans="1:26" ht="33.75" customHeight="1">
      <c r="A838" s="1">
        <v>1754</v>
      </c>
      <c r="B838" s="1" t="s">
        <v>2503</v>
      </c>
      <c r="C838" s="1" t="s">
        <v>1814</v>
      </c>
      <c r="D838" s="4">
        <v>39869.607638888891</v>
      </c>
      <c r="E838" s="1" t="s">
        <v>772</v>
      </c>
      <c r="F838" s="1"/>
      <c r="G838" s="5" t="s">
        <v>64</v>
      </c>
      <c r="H838" s="1"/>
      <c r="I838" s="1" t="s">
        <v>64</v>
      </c>
      <c r="J838" s="1"/>
      <c r="K838" s="1"/>
      <c r="L838" s="2" t="s">
        <v>2504</v>
      </c>
      <c r="M838" s="1"/>
      <c r="N838" s="1"/>
      <c r="O838" s="1"/>
      <c r="P838" s="1"/>
      <c r="Q838" s="1"/>
      <c r="R838" s="1"/>
      <c r="S838" s="1"/>
      <c r="T838" s="1"/>
      <c r="U838" s="1"/>
      <c r="V838" s="1"/>
      <c r="W838" s="1"/>
      <c r="X838" s="1"/>
      <c r="Y838" s="1"/>
      <c r="Z838" s="1"/>
    </row>
    <row r="839" spans="1:26" ht="33.75" customHeight="1">
      <c r="A839" s="1">
        <v>1755</v>
      </c>
      <c r="B839" s="1" t="s">
        <v>2505</v>
      </c>
      <c r="C839" s="1" t="s">
        <v>1814</v>
      </c>
      <c r="D839" s="4">
        <v>39869.633333333331</v>
      </c>
      <c r="E839" s="1" t="s">
        <v>54</v>
      </c>
      <c r="F839" s="1" t="s">
        <v>2503</v>
      </c>
      <c r="G839" s="5" t="s">
        <v>33</v>
      </c>
      <c r="H839" s="5" t="s">
        <v>34</v>
      </c>
      <c r="I839" s="1" t="s">
        <v>1605</v>
      </c>
      <c r="J839" s="1"/>
      <c r="K839" s="1"/>
      <c r="L839" s="2" t="s">
        <v>2506</v>
      </c>
      <c r="M839" s="1"/>
      <c r="N839" s="1"/>
      <c r="O839" s="1"/>
      <c r="P839" s="1"/>
      <c r="Q839" s="1"/>
      <c r="R839" s="1"/>
      <c r="S839" s="1"/>
      <c r="T839" s="1"/>
      <c r="U839" s="1"/>
      <c r="V839" s="1"/>
      <c r="W839" s="1"/>
      <c r="X839" s="1"/>
      <c r="Y839" s="1"/>
      <c r="Z839" s="1"/>
    </row>
    <row r="840" spans="1:26" ht="33.75" customHeight="1">
      <c r="A840" s="1">
        <v>928</v>
      </c>
      <c r="B840" s="1" t="s">
        <v>2507</v>
      </c>
      <c r="C840" s="1" t="s">
        <v>2335</v>
      </c>
      <c r="D840" s="4">
        <v>39871.936111111114</v>
      </c>
      <c r="E840" s="1" t="s">
        <v>1528</v>
      </c>
      <c r="F840" s="1"/>
      <c r="G840" s="5" t="s">
        <v>26</v>
      </c>
      <c r="H840" s="5" t="s">
        <v>133</v>
      </c>
      <c r="I840" s="1" t="s">
        <v>28</v>
      </c>
      <c r="J840" s="1" t="s">
        <v>134</v>
      </c>
      <c r="K840" s="1" t="s">
        <v>2508</v>
      </c>
      <c r="L840" s="2" t="s">
        <v>2509</v>
      </c>
      <c r="M840" s="1"/>
      <c r="N840" s="1"/>
      <c r="O840" s="1"/>
      <c r="P840" s="1"/>
      <c r="Q840" s="1"/>
      <c r="R840" s="1"/>
      <c r="S840" s="1"/>
      <c r="T840" s="1"/>
      <c r="U840" s="1"/>
      <c r="V840" s="1"/>
      <c r="W840" s="1"/>
      <c r="X840" s="1"/>
      <c r="Y840" s="1"/>
      <c r="Z840" s="1"/>
    </row>
    <row r="841" spans="1:26" ht="33.75" customHeight="1">
      <c r="A841" s="1">
        <v>905</v>
      </c>
      <c r="B841" s="1" t="s">
        <v>2510</v>
      </c>
      <c r="C841" s="1" t="s">
        <v>2335</v>
      </c>
      <c r="D841" s="4">
        <v>39869.780555555553</v>
      </c>
      <c r="E841" s="1" t="s">
        <v>14</v>
      </c>
      <c r="F841" s="1"/>
      <c r="G841" s="5" t="s">
        <v>33</v>
      </c>
      <c r="H841" s="5" t="s">
        <v>34</v>
      </c>
      <c r="I841" s="1" t="s">
        <v>1605</v>
      </c>
      <c r="J841" s="1"/>
      <c r="K841" s="1"/>
      <c r="L841" s="2" t="s">
        <v>2511</v>
      </c>
      <c r="M841" s="1"/>
      <c r="N841" s="1"/>
      <c r="O841" s="1"/>
      <c r="P841" s="1"/>
      <c r="Q841" s="1"/>
      <c r="R841" s="1"/>
      <c r="S841" s="1"/>
      <c r="T841" s="1"/>
      <c r="U841" s="1"/>
      <c r="V841" s="1"/>
      <c r="W841" s="1"/>
      <c r="X841" s="1"/>
      <c r="Y841" s="1"/>
      <c r="Z841" s="1"/>
    </row>
    <row r="842" spans="1:26" ht="33.75" customHeight="1">
      <c r="A842" s="1">
        <v>1756</v>
      </c>
      <c r="B842" s="1" t="s">
        <v>2512</v>
      </c>
      <c r="C842" s="1" t="s">
        <v>1814</v>
      </c>
      <c r="D842" s="4">
        <v>39869.789583333331</v>
      </c>
      <c r="E842" s="1" t="s">
        <v>1089</v>
      </c>
      <c r="F842" s="1"/>
      <c r="G842" s="5" t="s">
        <v>64</v>
      </c>
      <c r="H842" s="1"/>
      <c r="I842" s="1" t="s">
        <v>64</v>
      </c>
      <c r="J842" s="1"/>
      <c r="K842" s="1"/>
      <c r="L842" s="2" t="s">
        <v>2513</v>
      </c>
      <c r="M842" s="1"/>
      <c r="N842" s="1"/>
      <c r="O842" s="1"/>
      <c r="P842" s="1"/>
      <c r="Q842" s="1"/>
      <c r="R842" s="1"/>
      <c r="S842" s="1"/>
      <c r="T842" s="1"/>
      <c r="U842" s="1"/>
      <c r="V842" s="1"/>
      <c r="W842" s="1"/>
      <c r="X842" s="1"/>
      <c r="Y842" s="1"/>
      <c r="Z842" s="1"/>
    </row>
    <row r="843" spans="1:26" ht="33.75" customHeight="1">
      <c r="A843" s="1">
        <v>903</v>
      </c>
      <c r="B843" s="1" t="s">
        <v>2514</v>
      </c>
      <c r="C843" s="1" t="s">
        <v>2335</v>
      </c>
      <c r="D843" s="4">
        <v>39869.859722222223</v>
      </c>
      <c r="E843" s="1" t="s">
        <v>54</v>
      </c>
      <c r="F843" s="1" t="s">
        <v>2515</v>
      </c>
      <c r="G843" s="5" t="s">
        <v>26</v>
      </c>
      <c r="H843" s="5" t="s">
        <v>133</v>
      </c>
      <c r="I843" s="1" t="s">
        <v>28</v>
      </c>
      <c r="J843" s="1" t="s">
        <v>134</v>
      </c>
      <c r="K843" s="1"/>
      <c r="L843" s="2" t="s">
        <v>2516</v>
      </c>
      <c r="M843" s="1"/>
      <c r="N843" s="1"/>
      <c r="O843" s="1"/>
      <c r="P843" s="1"/>
      <c r="Q843" s="1"/>
      <c r="R843" s="1"/>
      <c r="S843" s="1"/>
      <c r="T843" s="1"/>
      <c r="U843" s="1"/>
      <c r="V843" s="1"/>
      <c r="W843" s="1"/>
      <c r="X843" s="1"/>
      <c r="Y843" s="1"/>
      <c r="Z843" s="1"/>
    </row>
    <row r="844" spans="1:26" ht="33.75" customHeight="1">
      <c r="A844" s="1">
        <v>901</v>
      </c>
      <c r="B844" s="1" t="s">
        <v>2517</v>
      </c>
      <c r="C844" s="1" t="s">
        <v>2335</v>
      </c>
      <c r="D844" s="4">
        <v>39869.868055555555</v>
      </c>
      <c r="E844" s="1" t="s">
        <v>54</v>
      </c>
      <c r="F844" s="1" t="s">
        <v>2441</v>
      </c>
      <c r="G844" s="5" t="s">
        <v>15</v>
      </c>
      <c r="H844" s="5" t="s">
        <v>150</v>
      </c>
      <c r="I844" s="1" t="s">
        <v>2382</v>
      </c>
      <c r="J844" s="1"/>
      <c r="K844" s="1" t="s">
        <v>2442</v>
      </c>
      <c r="L844" s="2" t="s">
        <v>2518</v>
      </c>
      <c r="M844" s="1"/>
      <c r="N844" s="1"/>
      <c r="O844" s="1"/>
      <c r="P844" s="1"/>
      <c r="Q844" s="1"/>
      <c r="R844" s="1"/>
      <c r="S844" s="1"/>
      <c r="T844" s="1"/>
      <c r="U844" s="1"/>
      <c r="V844" s="1"/>
      <c r="W844" s="1"/>
      <c r="X844" s="1"/>
      <c r="Y844" s="1"/>
      <c r="Z844" s="1"/>
    </row>
    <row r="845" spans="1:26" ht="33.75" customHeight="1">
      <c r="A845" s="1">
        <v>904</v>
      </c>
      <c r="B845" s="1" t="s">
        <v>2519</v>
      </c>
      <c r="C845" s="1" t="s">
        <v>2335</v>
      </c>
      <c r="D845" s="4">
        <v>39869.92291666667</v>
      </c>
      <c r="E845" s="1" t="s">
        <v>2452</v>
      </c>
      <c r="F845" s="1" t="s">
        <v>2491</v>
      </c>
      <c r="G845" s="5" t="s">
        <v>15</v>
      </c>
      <c r="H845" s="5" t="s">
        <v>150</v>
      </c>
      <c r="I845" s="1" t="s">
        <v>2382</v>
      </c>
      <c r="J845" s="1"/>
      <c r="K845" s="1" t="s">
        <v>2442</v>
      </c>
      <c r="L845" s="2" t="s">
        <v>2520</v>
      </c>
      <c r="M845" s="1"/>
      <c r="N845" s="1"/>
      <c r="O845" s="1"/>
      <c r="P845" s="1"/>
      <c r="Q845" s="1"/>
      <c r="R845" s="1"/>
      <c r="S845" s="1"/>
      <c r="T845" s="1"/>
      <c r="U845" s="1"/>
      <c r="V845" s="1"/>
      <c r="W845" s="1"/>
      <c r="X845" s="1"/>
      <c r="Y845" s="1"/>
      <c r="Z845" s="1"/>
    </row>
    <row r="846" spans="1:26" ht="33.75" customHeight="1">
      <c r="A846" s="1">
        <v>908</v>
      </c>
      <c r="B846" s="1" t="s">
        <v>2521</v>
      </c>
      <c r="C846" s="1" t="s">
        <v>2335</v>
      </c>
      <c r="D846" s="4">
        <v>39869.924305555556</v>
      </c>
      <c r="E846" s="1" t="s">
        <v>2452</v>
      </c>
      <c r="F846" s="1"/>
      <c r="G846" s="5" t="s">
        <v>64</v>
      </c>
      <c r="H846" s="5" t="s">
        <v>263</v>
      </c>
      <c r="I846" s="1" t="s">
        <v>1803</v>
      </c>
      <c r="J846" s="1"/>
      <c r="K846" s="1"/>
      <c r="L846" s="2" t="s">
        <v>2522</v>
      </c>
      <c r="M846" s="1"/>
      <c r="N846" s="1"/>
      <c r="O846" s="1"/>
      <c r="P846" s="1"/>
      <c r="Q846" s="1"/>
      <c r="R846" s="1"/>
      <c r="S846" s="1"/>
      <c r="T846" s="1"/>
      <c r="U846" s="1"/>
      <c r="V846" s="1"/>
      <c r="W846" s="1"/>
      <c r="X846" s="1"/>
      <c r="Y846" s="1"/>
      <c r="Z846" s="1"/>
    </row>
    <row r="847" spans="1:26" ht="33.75" customHeight="1">
      <c r="A847" s="1">
        <v>909</v>
      </c>
      <c r="B847" s="1" t="s">
        <v>2523</v>
      </c>
      <c r="C847" s="1" t="s">
        <v>2335</v>
      </c>
      <c r="D847" s="4">
        <v>39869.925000000003</v>
      </c>
      <c r="E847" s="1" t="s">
        <v>2452</v>
      </c>
      <c r="F847" s="1"/>
      <c r="G847" s="5" t="s">
        <v>64</v>
      </c>
      <c r="H847" s="5" t="s">
        <v>1053</v>
      </c>
      <c r="I847" s="1" t="s">
        <v>1803</v>
      </c>
      <c r="J847" s="1"/>
      <c r="K847" s="1"/>
      <c r="L847" s="2" t="s">
        <v>2524</v>
      </c>
      <c r="M847" s="1"/>
      <c r="N847" s="1"/>
      <c r="O847" s="1"/>
      <c r="P847" s="1"/>
      <c r="Q847" s="1"/>
      <c r="R847" s="1"/>
      <c r="S847" s="1"/>
      <c r="T847" s="1"/>
      <c r="U847" s="1"/>
      <c r="V847" s="1"/>
      <c r="W847" s="1"/>
      <c r="X847" s="1"/>
      <c r="Y847" s="1"/>
      <c r="Z847" s="1"/>
    </row>
    <row r="848" spans="1:26" ht="33.75" customHeight="1">
      <c r="A848" s="1">
        <v>910</v>
      </c>
      <c r="B848" s="1" t="s">
        <v>2525</v>
      </c>
      <c r="C848" s="1" t="s">
        <v>2335</v>
      </c>
      <c r="D848" s="4">
        <v>39869.949999999997</v>
      </c>
      <c r="E848" s="1" t="s">
        <v>54</v>
      </c>
      <c r="F848" s="1" t="s">
        <v>2523</v>
      </c>
      <c r="G848" s="5" t="s">
        <v>15</v>
      </c>
      <c r="H848" s="5" t="s">
        <v>150</v>
      </c>
      <c r="I848" s="1" t="s">
        <v>2382</v>
      </c>
      <c r="J848" s="1"/>
      <c r="K848" s="1" t="s">
        <v>2526</v>
      </c>
      <c r="L848" s="2" t="s">
        <v>2527</v>
      </c>
      <c r="M848" s="1"/>
      <c r="N848" s="1"/>
      <c r="O848" s="1"/>
      <c r="P848" s="1"/>
      <c r="Q848" s="1"/>
      <c r="R848" s="1"/>
      <c r="S848" s="1"/>
      <c r="T848" s="1"/>
      <c r="U848" s="1"/>
      <c r="V848" s="1"/>
      <c r="W848" s="1"/>
      <c r="X848" s="1"/>
      <c r="Y848" s="1"/>
      <c r="Z848" s="1"/>
    </row>
    <row r="849" spans="1:26" ht="33.75" customHeight="1">
      <c r="A849" s="1">
        <v>911</v>
      </c>
      <c r="B849" s="1" t="s">
        <v>2528</v>
      </c>
      <c r="C849" s="1" t="s">
        <v>2335</v>
      </c>
      <c r="D849" s="4">
        <v>39870.041666666664</v>
      </c>
      <c r="E849" s="1" t="s">
        <v>2452</v>
      </c>
      <c r="F849" s="1" t="s">
        <v>2523</v>
      </c>
      <c r="G849" s="5" t="s">
        <v>15</v>
      </c>
      <c r="H849" s="5" t="s">
        <v>150</v>
      </c>
      <c r="I849" s="1" t="s">
        <v>2382</v>
      </c>
      <c r="J849" s="1"/>
      <c r="K849" s="1"/>
      <c r="L849" s="2" t="s">
        <v>2529</v>
      </c>
      <c r="M849" s="1"/>
      <c r="N849" s="1"/>
      <c r="O849" s="1"/>
      <c r="P849" s="1"/>
      <c r="Q849" s="1"/>
      <c r="R849" s="1"/>
      <c r="S849" s="1"/>
      <c r="T849" s="1"/>
      <c r="U849" s="1"/>
      <c r="V849" s="1"/>
      <c r="W849" s="1"/>
      <c r="X849" s="1"/>
      <c r="Y849" s="1"/>
      <c r="Z849" s="1"/>
    </row>
    <row r="850" spans="1:26" ht="33.75" customHeight="1">
      <c r="A850" s="1">
        <v>906</v>
      </c>
      <c r="B850" s="1" t="s">
        <v>2530</v>
      </c>
      <c r="C850" s="1" t="s">
        <v>2335</v>
      </c>
      <c r="D850" s="4">
        <v>39870.043055555558</v>
      </c>
      <c r="E850" s="1" t="s">
        <v>2452</v>
      </c>
      <c r="F850" s="1" t="s">
        <v>2510</v>
      </c>
      <c r="G850" s="5" t="s">
        <v>15</v>
      </c>
      <c r="H850" s="5" t="s">
        <v>150</v>
      </c>
      <c r="I850" s="1" t="s">
        <v>2382</v>
      </c>
      <c r="J850" s="1"/>
      <c r="K850" s="1" t="s">
        <v>2526</v>
      </c>
      <c r="L850" s="2" t="s">
        <v>2531</v>
      </c>
      <c r="M850" s="1"/>
      <c r="N850" s="1"/>
      <c r="O850" s="1"/>
      <c r="P850" s="1"/>
      <c r="Q850" s="1"/>
      <c r="R850" s="1"/>
      <c r="S850" s="1"/>
      <c r="T850" s="1"/>
      <c r="U850" s="1"/>
      <c r="V850" s="1"/>
      <c r="W850" s="1"/>
      <c r="X850" s="1"/>
      <c r="Y850" s="1"/>
      <c r="Z850" s="1"/>
    </row>
    <row r="851" spans="1:26" ht="33.75" customHeight="1">
      <c r="A851" s="1">
        <v>1757</v>
      </c>
      <c r="B851" s="1" t="s">
        <v>2532</v>
      </c>
      <c r="C851" s="1" t="s">
        <v>1814</v>
      </c>
      <c r="D851" s="4">
        <v>39870.06527777778</v>
      </c>
      <c r="E851" s="1" t="s">
        <v>1089</v>
      </c>
      <c r="F851" s="1" t="s">
        <v>2533</v>
      </c>
      <c r="G851" s="5" t="s">
        <v>26</v>
      </c>
      <c r="H851" s="5" t="s">
        <v>133</v>
      </c>
      <c r="I851" s="1" t="s">
        <v>2534</v>
      </c>
      <c r="J851" s="1"/>
      <c r="K851" s="1"/>
      <c r="L851" s="2" t="s">
        <v>2535</v>
      </c>
      <c r="M851" s="1"/>
      <c r="N851" s="1"/>
      <c r="O851" s="1"/>
      <c r="P851" s="1"/>
      <c r="Q851" s="1"/>
      <c r="R851" s="1"/>
      <c r="S851" s="1"/>
      <c r="T851" s="1"/>
      <c r="U851" s="1"/>
      <c r="V851" s="1"/>
      <c r="W851" s="1"/>
      <c r="X851" s="1"/>
      <c r="Y851" s="1"/>
      <c r="Z851" s="1"/>
    </row>
    <row r="852" spans="1:26" ht="33.75" customHeight="1">
      <c r="A852" s="1">
        <v>912</v>
      </c>
      <c r="B852" s="1" t="s">
        <v>2536</v>
      </c>
      <c r="C852" s="1" t="s">
        <v>2335</v>
      </c>
      <c r="D852" s="4">
        <v>39870.287499999999</v>
      </c>
      <c r="E852" s="1" t="s">
        <v>320</v>
      </c>
      <c r="F852" s="1">
        <v>821</v>
      </c>
      <c r="G852" s="6" t="s">
        <v>78</v>
      </c>
      <c r="H852" s="5" t="s">
        <v>79</v>
      </c>
      <c r="I852" s="1" t="s">
        <v>2537</v>
      </c>
      <c r="J852" s="1"/>
      <c r="K852" s="1"/>
      <c r="L852" s="2" t="s">
        <v>2538</v>
      </c>
      <c r="M852" s="1"/>
      <c r="N852" s="1"/>
      <c r="O852" s="1"/>
      <c r="P852" s="1"/>
      <c r="Q852" s="1"/>
      <c r="R852" s="1"/>
      <c r="S852" s="1"/>
      <c r="T852" s="1"/>
      <c r="U852" s="1"/>
      <c r="V852" s="1"/>
      <c r="W852" s="1"/>
      <c r="X852" s="1"/>
      <c r="Y852" s="1"/>
      <c r="Z852" s="1"/>
    </row>
    <row r="853" spans="1:26" ht="33.75" customHeight="1">
      <c r="A853" s="1">
        <v>1758</v>
      </c>
      <c r="B853" s="1" t="s">
        <v>2539</v>
      </c>
      <c r="C853" s="1" t="s">
        <v>1814</v>
      </c>
      <c r="D853" s="4">
        <v>39870.322916666664</v>
      </c>
      <c r="E853" s="1" t="s">
        <v>54</v>
      </c>
      <c r="F853" s="1" t="s">
        <v>2532</v>
      </c>
      <c r="G853" s="5" t="s">
        <v>33</v>
      </c>
      <c r="H853" s="5" t="s">
        <v>34</v>
      </c>
      <c r="I853" s="1" t="s">
        <v>1605</v>
      </c>
      <c r="J853" s="1"/>
      <c r="K853" s="1"/>
      <c r="L853" s="2" t="s">
        <v>2540</v>
      </c>
      <c r="M853" s="1"/>
      <c r="N853" s="1"/>
      <c r="O853" s="1"/>
      <c r="P853" s="1"/>
      <c r="Q853" s="1"/>
      <c r="R853" s="1"/>
      <c r="S853" s="1"/>
      <c r="T853" s="1"/>
      <c r="U853" s="1"/>
      <c r="V853" s="1"/>
      <c r="W853" s="1"/>
      <c r="X853" s="1"/>
      <c r="Y853" s="1"/>
      <c r="Z853" s="1"/>
    </row>
    <row r="854" spans="1:26" ht="33.75" customHeight="1">
      <c r="A854" s="1">
        <v>907</v>
      </c>
      <c r="B854" s="1" t="s">
        <v>2541</v>
      </c>
      <c r="C854" s="1" t="s">
        <v>2335</v>
      </c>
      <c r="D854" s="4">
        <v>39870.426388888889</v>
      </c>
      <c r="E854" s="1" t="s">
        <v>14</v>
      </c>
      <c r="F854" s="1" t="s">
        <v>2510</v>
      </c>
      <c r="G854" s="5" t="s">
        <v>15</v>
      </c>
      <c r="H854" s="5" t="s">
        <v>150</v>
      </c>
      <c r="I854" s="1" t="s">
        <v>2382</v>
      </c>
      <c r="J854" s="1"/>
      <c r="K854" s="1"/>
      <c r="L854" s="2" t="s">
        <v>2542</v>
      </c>
      <c r="M854" s="1"/>
      <c r="N854" s="1"/>
      <c r="O854" s="1"/>
      <c r="P854" s="1"/>
      <c r="Q854" s="1"/>
      <c r="R854" s="1"/>
      <c r="S854" s="1"/>
      <c r="T854" s="1"/>
      <c r="U854" s="1"/>
      <c r="V854" s="1"/>
      <c r="W854" s="1"/>
      <c r="X854" s="1"/>
      <c r="Y854" s="1"/>
      <c r="Z854" s="1"/>
    </row>
    <row r="855" spans="1:26" ht="33.75" customHeight="1">
      <c r="A855" s="1">
        <v>914</v>
      </c>
      <c r="B855" s="1" t="s">
        <v>2543</v>
      </c>
      <c r="C855" s="1" t="s">
        <v>2335</v>
      </c>
      <c r="D855" s="4">
        <v>39870.491666666669</v>
      </c>
      <c r="E855" s="1" t="s">
        <v>14</v>
      </c>
      <c r="F855" s="1"/>
      <c r="G855" s="1" t="s">
        <v>64</v>
      </c>
      <c r="H855" s="1" t="s">
        <v>263</v>
      </c>
      <c r="I855" s="1" t="s">
        <v>238</v>
      </c>
      <c r="J855" s="1" t="s">
        <v>1443</v>
      </c>
      <c r="K855" s="1" t="s">
        <v>2544</v>
      </c>
      <c r="L855" s="2" t="s">
        <v>2545</v>
      </c>
      <c r="M855" s="1"/>
      <c r="N855" s="1"/>
      <c r="O855" s="1"/>
      <c r="P855" s="1"/>
      <c r="Q855" s="1"/>
      <c r="R855" s="1"/>
      <c r="S855" s="1"/>
      <c r="T855" s="1"/>
      <c r="U855" s="1"/>
      <c r="V855" s="1"/>
      <c r="W855" s="1"/>
      <c r="X855" s="1"/>
      <c r="Y855" s="1"/>
      <c r="Z855" s="1"/>
    </row>
    <row r="856" spans="1:26" ht="33.75" customHeight="1">
      <c r="A856" s="1">
        <v>1759</v>
      </c>
      <c r="B856" s="1" t="s">
        <v>2546</v>
      </c>
      <c r="C856" s="1" t="s">
        <v>1814</v>
      </c>
      <c r="D856" s="4">
        <v>39870.604166666664</v>
      </c>
      <c r="E856" s="1" t="s">
        <v>54</v>
      </c>
      <c r="F856" s="1"/>
      <c r="G856" s="5" t="s">
        <v>64</v>
      </c>
      <c r="H856" s="1"/>
      <c r="I856" s="1" t="s">
        <v>64</v>
      </c>
      <c r="J856" s="1"/>
      <c r="K856" s="1"/>
      <c r="L856" s="2" t="s">
        <v>2547</v>
      </c>
      <c r="M856" s="1"/>
      <c r="N856" s="1"/>
      <c r="O856" s="1"/>
      <c r="P856" s="1"/>
      <c r="Q856" s="1"/>
      <c r="R856" s="1"/>
      <c r="S856" s="1"/>
      <c r="T856" s="1"/>
      <c r="U856" s="1"/>
      <c r="V856" s="1"/>
      <c r="W856" s="1"/>
      <c r="X856" s="1"/>
      <c r="Y856" s="1"/>
      <c r="Z856" s="1"/>
    </row>
    <row r="857" spans="1:26" ht="33.75" customHeight="1">
      <c r="A857" s="1">
        <v>915</v>
      </c>
      <c r="B857" s="1" t="s">
        <v>2548</v>
      </c>
      <c r="C857" s="1" t="s">
        <v>2335</v>
      </c>
      <c r="D857" s="4">
        <v>39870.730555555558</v>
      </c>
      <c r="E857" s="1" t="s">
        <v>14</v>
      </c>
      <c r="F857" s="1"/>
      <c r="G857" s="1" t="s">
        <v>64</v>
      </c>
      <c r="H857" s="1" t="s">
        <v>263</v>
      </c>
      <c r="I857" s="1" t="s">
        <v>238</v>
      </c>
      <c r="J857" s="1" t="s">
        <v>1443</v>
      </c>
      <c r="K857" s="1"/>
      <c r="L857" s="2" t="s">
        <v>2549</v>
      </c>
      <c r="M857" s="1"/>
      <c r="N857" s="1"/>
      <c r="O857" s="1"/>
      <c r="P857" s="1"/>
      <c r="Q857" s="1"/>
      <c r="R857" s="1"/>
      <c r="S857" s="1"/>
      <c r="T857" s="1"/>
      <c r="U857" s="1"/>
      <c r="V857" s="1"/>
      <c r="W857" s="1"/>
      <c r="X857" s="1"/>
      <c r="Y857" s="1"/>
      <c r="Z857" s="1"/>
    </row>
    <row r="858" spans="1:26" ht="33.75" customHeight="1">
      <c r="A858" s="1">
        <v>913</v>
      </c>
      <c r="B858" s="1" t="s">
        <v>2550</v>
      </c>
      <c r="C858" s="1" t="s">
        <v>2335</v>
      </c>
      <c r="D858" s="4">
        <v>39870.788888888892</v>
      </c>
      <c r="E858" s="1" t="s">
        <v>320</v>
      </c>
      <c r="F858" s="1" t="s">
        <v>2536</v>
      </c>
      <c r="G858" s="5" t="s">
        <v>64</v>
      </c>
      <c r="H858" s="5" t="s">
        <v>179</v>
      </c>
      <c r="I858" s="1" t="s">
        <v>2382</v>
      </c>
      <c r="J858" s="1"/>
      <c r="K858" s="1"/>
      <c r="L858" s="2" t="s">
        <v>2551</v>
      </c>
      <c r="M858" s="1"/>
      <c r="N858" s="1"/>
      <c r="O858" s="1"/>
      <c r="P858" s="1"/>
      <c r="Q858" s="1"/>
      <c r="R858" s="1"/>
      <c r="S858" s="1"/>
      <c r="T858" s="1"/>
      <c r="U858" s="1"/>
      <c r="V858" s="1"/>
      <c r="W858" s="1"/>
      <c r="X858" s="1"/>
      <c r="Y858" s="1"/>
      <c r="Z858" s="1"/>
    </row>
    <row r="859" spans="1:26" ht="33.75" customHeight="1">
      <c r="A859" s="1">
        <v>916</v>
      </c>
      <c r="B859" s="1" t="s">
        <v>2552</v>
      </c>
      <c r="C859" s="1" t="s">
        <v>2335</v>
      </c>
      <c r="D859" s="4">
        <v>39871.03125</v>
      </c>
      <c r="E859" s="1" t="s">
        <v>54</v>
      </c>
      <c r="F859" s="1"/>
      <c r="G859" s="1" t="s">
        <v>64</v>
      </c>
      <c r="H859" s="1" t="s">
        <v>263</v>
      </c>
      <c r="I859" s="1" t="s">
        <v>238</v>
      </c>
      <c r="J859" s="1" t="s">
        <v>1443</v>
      </c>
      <c r="K859" s="1"/>
      <c r="L859" s="2" t="s">
        <v>2553</v>
      </c>
      <c r="M859" s="1"/>
      <c r="N859" s="1"/>
      <c r="O859" s="1"/>
      <c r="P859" s="1"/>
      <c r="Q859" s="1"/>
      <c r="R859" s="1"/>
      <c r="S859" s="1"/>
      <c r="T859" s="1"/>
      <c r="U859" s="1"/>
      <c r="V859" s="1"/>
      <c r="W859" s="1"/>
      <c r="X859" s="1"/>
      <c r="Y859" s="1"/>
      <c r="Z859" s="1"/>
    </row>
    <row r="860" spans="1:26" ht="33.75" customHeight="1">
      <c r="A860" s="1">
        <v>917</v>
      </c>
      <c r="B860" s="1" t="s">
        <v>2554</v>
      </c>
      <c r="C860" s="1" t="s">
        <v>2335</v>
      </c>
      <c r="D860" s="4">
        <v>39871.031944444447</v>
      </c>
      <c r="E860" s="1" t="s">
        <v>54</v>
      </c>
      <c r="F860" s="1"/>
      <c r="G860" s="5" t="s">
        <v>64</v>
      </c>
      <c r="H860" s="5" t="s">
        <v>179</v>
      </c>
      <c r="I860" s="1" t="s">
        <v>179</v>
      </c>
      <c r="J860" s="1"/>
      <c r="K860" s="1"/>
      <c r="L860" s="2" t="s">
        <v>2555</v>
      </c>
      <c r="M860" s="1"/>
      <c r="N860" s="1"/>
      <c r="O860" s="1"/>
      <c r="P860" s="1"/>
      <c r="Q860" s="1"/>
      <c r="R860" s="1"/>
      <c r="S860" s="1"/>
      <c r="T860" s="1"/>
      <c r="U860" s="1"/>
      <c r="V860" s="1"/>
      <c r="W860" s="1"/>
      <c r="X860" s="1"/>
      <c r="Y860" s="1"/>
      <c r="Z860" s="1"/>
    </row>
    <row r="861" spans="1:26" ht="33.75" customHeight="1">
      <c r="A861" s="1">
        <v>918</v>
      </c>
      <c r="B861" s="1" t="s">
        <v>2556</v>
      </c>
      <c r="C861" s="1" t="s">
        <v>2335</v>
      </c>
      <c r="D861" s="4">
        <v>39871.050000000003</v>
      </c>
      <c r="E861" s="1" t="s">
        <v>14</v>
      </c>
      <c r="F861" s="1" t="s">
        <v>2548</v>
      </c>
      <c r="G861" s="5" t="s">
        <v>64</v>
      </c>
      <c r="H861" s="5" t="s">
        <v>1053</v>
      </c>
      <c r="I861" s="1" t="s">
        <v>1803</v>
      </c>
      <c r="J861" s="1"/>
      <c r="K861" s="1"/>
      <c r="L861" s="2" t="s">
        <v>2557</v>
      </c>
      <c r="M861" s="1"/>
      <c r="N861" s="1"/>
      <c r="O861" s="1"/>
      <c r="P861" s="1"/>
      <c r="Q861" s="1"/>
      <c r="R861" s="1"/>
      <c r="S861" s="1"/>
      <c r="T861" s="1"/>
      <c r="U861" s="1"/>
      <c r="V861" s="1"/>
      <c r="W861" s="1"/>
      <c r="X861" s="1"/>
      <c r="Y861" s="1"/>
      <c r="Z861" s="1"/>
    </row>
    <row r="862" spans="1:26" ht="33.75" customHeight="1">
      <c r="A862" s="1">
        <v>1760</v>
      </c>
      <c r="B862" s="1" t="s">
        <v>2558</v>
      </c>
      <c r="C862" s="1" t="s">
        <v>1814</v>
      </c>
      <c r="D862" s="4">
        <v>39871.332638888889</v>
      </c>
      <c r="E862" s="1" t="s">
        <v>381</v>
      </c>
      <c r="F862" s="1"/>
      <c r="G862" s="5" t="s">
        <v>64</v>
      </c>
      <c r="H862" s="5" t="s">
        <v>1053</v>
      </c>
      <c r="I862" s="1" t="s">
        <v>2559</v>
      </c>
      <c r="J862" s="1"/>
      <c r="K862" s="1"/>
      <c r="L862" s="2" t="s">
        <v>2560</v>
      </c>
      <c r="M862" s="1"/>
      <c r="N862" s="1"/>
      <c r="O862" s="1"/>
      <c r="P862" s="1"/>
      <c r="Q862" s="1"/>
      <c r="R862" s="1"/>
      <c r="S862" s="1"/>
      <c r="T862" s="1"/>
      <c r="U862" s="1"/>
      <c r="V862" s="1"/>
      <c r="W862" s="1"/>
      <c r="X862" s="1"/>
      <c r="Y862" s="1"/>
      <c r="Z862" s="1"/>
    </row>
    <row r="863" spans="1:26" ht="33.75" customHeight="1">
      <c r="A863" s="1">
        <v>919</v>
      </c>
      <c r="B863" s="1" t="s">
        <v>2561</v>
      </c>
      <c r="C863" s="1" t="s">
        <v>2335</v>
      </c>
      <c r="D863" s="4">
        <v>39871.572222222225</v>
      </c>
      <c r="E863" s="1" t="s">
        <v>14</v>
      </c>
      <c r="F863" s="1" t="s">
        <v>2548</v>
      </c>
      <c r="G863" s="5" t="s">
        <v>26</v>
      </c>
      <c r="H863" s="5" t="s">
        <v>133</v>
      </c>
      <c r="I863" s="1" t="s">
        <v>28</v>
      </c>
      <c r="J863" s="1" t="s">
        <v>134</v>
      </c>
      <c r="K863" s="1" t="s">
        <v>2562</v>
      </c>
      <c r="L863" s="2" t="s">
        <v>2563</v>
      </c>
      <c r="M863" s="1"/>
      <c r="N863" s="1"/>
      <c r="O863" s="1"/>
      <c r="P863" s="1"/>
      <c r="Q863" s="1"/>
      <c r="R863" s="1"/>
      <c r="S863" s="1"/>
      <c r="T863" s="1"/>
      <c r="U863" s="1"/>
      <c r="V863" s="1"/>
      <c r="W863" s="1"/>
      <c r="X863" s="1"/>
      <c r="Y863" s="1"/>
      <c r="Z863" s="1"/>
    </row>
    <row r="864" spans="1:26" ht="33.75" customHeight="1">
      <c r="A864" s="1">
        <v>1761</v>
      </c>
      <c r="B864" s="1" t="s">
        <v>2564</v>
      </c>
      <c r="C864" s="1" t="s">
        <v>1814</v>
      </c>
      <c r="D864" s="4">
        <v>39871.579861111109</v>
      </c>
      <c r="E864" s="1" t="s">
        <v>772</v>
      </c>
      <c r="F864" s="1"/>
      <c r="G864" s="5" t="s">
        <v>64</v>
      </c>
      <c r="H864" s="1"/>
      <c r="I864" s="1" t="s">
        <v>64</v>
      </c>
      <c r="J864" s="1"/>
      <c r="K864" s="1"/>
      <c r="L864" s="2" t="s">
        <v>2565</v>
      </c>
      <c r="M864" s="1"/>
      <c r="N864" s="1"/>
      <c r="O864" s="1"/>
      <c r="P864" s="1"/>
      <c r="Q864" s="1"/>
      <c r="R864" s="1"/>
      <c r="S864" s="1"/>
      <c r="T864" s="1"/>
      <c r="U864" s="1"/>
      <c r="V864" s="1"/>
      <c r="W864" s="1"/>
      <c r="X864" s="1"/>
      <c r="Y864" s="1"/>
      <c r="Z864" s="1"/>
    </row>
    <row r="865" spans="1:26" ht="33.75" customHeight="1">
      <c r="A865" s="1">
        <v>920</v>
      </c>
      <c r="B865" s="1" t="s">
        <v>2566</v>
      </c>
      <c r="C865" s="1" t="s">
        <v>2335</v>
      </c>
      <c r="D865" s="4">
        <v>39871.68472222222</v>
      </c>
      <c r="E865" s="1" t="s">
        <v>320</v>
      </c>
      <c r="F865" s="1" t="s">
        <v>2561</v>
      </c>
      <c r="G865" s="5" t="s">
        <v>26</v>
      </c>
      <c r="H865" s="5" t="s">
        <v>133</v>
      </c>
      <c r="I865" s="1" t="s">
        <v>2382</v>
      </c>
      <c r="J865" s="1"/>
      <c r="K865" s="1" t="s">
        <v>2567</v>
      </c>
      <c r="L865" s="2" t="s">
        <v>2568</v>
      </c>
      <c r="M865" s="1"/>
      <c r="N865" s="1"/>
      <c r="O865" s="1"/>
      <c r="P865" s="1"/>
      <c r="Q865" s="1"/>
      <c r="R865" s="1"/>
      <c r="S865" s="1"/>
      <c r="T865" s="1"/>
      <c r="U865" s="1"/>
      <c r="V865" s="1"/>
      <c r="W865" s="1"/>
      <c r="X865" s="1"/>
      <c r="Y865" s="1"/>
      <c r="Z865" s="1"/>
    </row>
    <row r="866" spans="1:26" ht="33.75" customHeight="1">
      <c r="A866" s="1">
        <v>921</v>
      </c>
      <c r="B866" s="1" t="s">
        <v>2569</v>
      </c>
      <c r="C866" s="1" t="s">
        <v>2335</v>
      </c>
      <c r="D866" s="4">
        <v>39871.701388888891</v>
      </c>
      <c r="E866" s="1" t="s">
        <v>14</v>
      </c>
      <c r="F866" s="1" t="s">
        <v>2561</v>
      </c>
      <c r="G866" s="5" t="s">
        <v>26</v>
      </c>
      <c r="H866" s="5" t="s">
        <v>1010</v>
      </c>
      <c r="I866" s="1" t="s">
        <v>2382</v>
      </c>
      <c r="J866" s="1"/>
      <c r="K866" s="1"/>
      <c r="L866" s="2" t="s">
        <v>2570</v>
      </c>
      <c r="M866" s="1"/>
      <c r="N866" s="1"/>
      <c r="O866" s="1"/>
      <c r="P866" s="1"/>
      <c r="Q866" s="1"/>
      <c r="R866" s="1"/>
      <c r="S866" s="1"/>
      <c r="T866" s="1"/>
      <c r="U866" s="1"/>
      <c r="V866" s="1"/>
      <c r="W866" s="1"/>
      <c r="X866" s="1"/>
      <c r="Y866" s="1"/>
      <c r="Z866" s="1"/>
    </row>
    <row r="867" spans="1:26" ht="33.75" customHeight="1">
      <c r="A867" s="1">
        <v>922</v>
      </c>
      <c r="B867" s="1" t="s">
        <v>2571</v>
      </c>
      <c r="C867" s="1" t="s">
        <v>2335</v>
      </c>
      <c r="D867" s="4">
        <v>39871.728472222225</v>
      </c>
      <c r="E867" s="1" t="s">
        <v>54</v>
      </c>
      <c r="F867" s="1" t="s">
        <v>2561</v>
      </c>
      <c r="G867" s="5" t="s">
        <v>26</v>
      </c>
      <c r="H867" s="5" t="s">
        <v>27</v>
      </c>
      <c r="I867" s="1" t="s">
        <v>2382</v>
      </c>
      <c r="J867" s="1"/>
      <c r="K867" s="1" t="s">
        <v>2572</v>
      </c>
      <c r="L867" s="2" t="s">
        <v>2573</v>
      </c>
      <c r="M867" s="1"/>
      <c r="N867" s="1"/>
      <c r="O867" s="1"/>
      <c r="P867" s="1"/>
      <c r="Q867" s="1"/>
      <c r="R867" s="1"/>
      <c r="S867" s="1"/>
      <c r="T867" s="1"/>
      <c r="U867" s="1"/>
      <c r="V867" s="1"/>
      <c r="W867" s="1"/>
      <c r="X867" s="1"/>
      <c r="Y867" s="1"/>
      <c r="Z867" s="1"/>
    </row>
    <row r="868" spans="1:26" ht="33.75" customHeight="1">
      <c r="A868" s="1">
        <v>923</v>
      </c>
      <c r="B868" s="1" t="s">
        <v>2574</v>
      </c>
      <c r="C868" s="1" t="s">
        <v>2335</v>
      </c>
      <c r="D868" s="4">
        <v>39871.731249999997</v>
      </c>
      <c r="E868" s="1" t="s">
        <v>54</v>
      </c>
      <c r="F868" s="1" t="s">
        <v>2561</v>
      </c>
      <c r="G868" s="5" t="s">
        <v>64</v>
      </c>
      <c r="H868" s="5" t="s">
        <v>263</v>
      </c>
      <c r="I868" s="1" t="s">
        <v>2382</v>
      </c>
      <c r="J868" s="1"/>
      <c r="K868" s="1" t="s">
        <v>2567</v>
      </c>
      <c r="L868" s="2" t="s">
        <v>2575</v>
      </c>
      <c r="M868" s="1"/>
      <c r="N868" s="1"/>
      <c r="O868" s="1"/>
      <c r="P868" s="1"/>
      <c r="Q868" s="1"/>
      <c r="R868" s="1"/>
      <c r="S868" s="1"/>
      <c r="T868" s="1"/>
      <c r="U868" s="1"/>
      <c r="V868" s="1"/>
      <c r="W868" s="1"/>
      <c r="X868" s="1"/>
      <c r="Y868" s="1"/>
      <c r="Z868" s="1"/>
    </row>
    <row r="869" spans="1:26" ht="33.75" customHeight="1">
      <c r="A869" s="1">
        <v>924</v>
      </c>
      <c r="B869" s="1" t="s">
        <v>2576</v>
      </c>
      <c r="C869" s="1" t="s">
        <v>2335</v>
      </c>
      <c r="D869" s="4">
        <v>39871.744444444441</v>
      </c>
      <c r="E869" s="1" t="s">
        <v>320</v>
      </c>
      <c r="F869" s="1" t="s">
        <v>2561</v>
      </c>
      <c r="G869" s="5" t="s">
        <v>26</v>
      </c>
      <c r="H869" s="5" t="s">
        <v>27</v>
      </c>
      <c r="I869" s="1" t="s">
        <v>2382</v>
      </c>
      <c r="J869" s="1"/>
      <c r="K869" s="1" t="s">
        <v>2567</v>
      </c>
      <c r="L869" s="2" t="s">
        <v>2577</v>
      </c>
      <c r="M869" s="1"/>
      <c r="N869" s="1"/>
      <c r="O869" s="1"/>
      <c r="P869" s="1"/>
      <c r="Q869" s="1"/>
      <c r="R869" s="1"/>
      <c r="S869" s="1"/>
      <c r="T869" s="1"/>
      <c r="U869" s="1"/>
      <c r="V869" s="1"/>
      <c r="W869" s="1"/>
      <c r="X869" s="1"/>
      <c r="Y869" s="1"/>
      <c r="Z869" s="1"/>
    </row>
    <row r="870" spans="1:26" ht="33.75" customHeight="1">
      <c r="A870" s="1">
        <v>925</v>
      </c>
      <c r="B870" s="1" t="s">
        <v>2578</v>
      </c>
      <c r="C870" s="1" t="s">
        <v>2335</v>
      </c>
      <c r="D870" s="4">
        <v>39871.775694444441</v>
      </c>
      <c r="E870" s="1" t="s">
        <v>14</v>
      </c>
      <c r="F870" s="1"/>
      <c r="G870" s="5" t="s">
        <v>26</v>
      </c>
      <c r="H870" s="5" t="s">
        <v>27</v>
      </c>
      <c r="I870" s="1" t="s">
        <v>28</v>
      </c>
      <c r="J870" s="1" t="s">
        <v>29</v>
      </c>
      <c r="K870" s="1" t="s">
        <v>2579</v>
      </c>
      <c r="L870" s="2" t="s">
        <v>2580</v>
      </c>
      <c r="M870" s="1"/>
      <c r="N870" s="1"/>
      <c r="O870" s="1"/>
      <c r="P870" s="1"/>
      <c r="Q870" s="1"/>
      <c r="R870" s="1"/>
      <c r="S870" s="1"/>
      <c r="T870" s="1"/>
      <c r="U870" s="1"/>
      <c r="V870" s="1"/>
      <c r="W870" s="1"/>
      <c r="X870" s="1"/>
      <c r="Y870" s="1"/>
      <c r="Z870" s="1"/>
    </row>
    <row r="871" spans="1:26" ht="33.75" customHeight="1">
      <c r="A871" s="1">
        <v>926</v>
      </c>
      <c r="B871" s="1" t="s">
        <v>2581</v>
      </c>
      <c r="C871" s="1" t="s">
        <v>2335</v>
      </c>
      <c r="D871" s="4">
        <v>39871.826388888891</v>
      </c>
      <c r="E871" s="1" t="s">
        <v>320</v>
      </c>
      <c r="F871" s="1" t="s">
        <v>2561</v>
      </c>
      <c r="G871" s="5" t="s">
        <v>26</v>
      </c>
      <c r="H871" s="5" t="s">
        <v>27</v>
      </c>
      <c r="I871" s="1" t="s">
        <v>28</v>
      </c>
      <c r="J871" s="1" t="s">
        <v>259</v>
      </c>
      <c r="K871" s="1"/>
      <c r="L871" s="2" t="s">
        <v>2582</v>
      </c>
      <c r="M871" s="1"/>
      <c r="N871" s="1"/>
      <c r="O871" s="1"/>
      <c r="P871" s="1"/>
      <c r="Q871" s="1"/>
      <c r="R871" s="1"/>
      <c r="S871" s="1"/>
      <c r="T871" s="1"/>
      <c r="U871" s="1"/>
      <c r="V871" s="1"/>
      <c r="W871" s="1"/>
      <c r="X871" s="1"/>
      <c r="Y871" s="1"/>
      <c r="Z871" s="1"/>
    </row>
    <row r="872" spans="1:26" ht="33.75" customHeight="1">
      <c r="A872" s="1">
        <v>927</v>
      </c>
      <c r="B872" s="1" t="s">
        <v>2583</v>
      </c>
      <c r="C872" s="1" t="s">
        <v>2335</v>
      </c>
      <c r="D872" s="4">
        <v>39871.843055555553</v>
      </c>
      <c r="E872" s="1" t="s">
        <v>14</v>
      </c>
      <c r="F872" s="1" t="s">
        <v>2581</v>
      </c>
      <c r="G872" s="5" t="s">
        <v>26</v>
      </c>
      <c r="H872" s="5" t="s">
        <v>27</v>
      </c>
      <c r="I872" s="1" t="s">
        <v>28</v>
      </c>
      <c r="J872" s="1" t="s">
        <v>259</v>
      </c>
      <c r="K872" s="1" t="s">
        <v>2584</v>
      </c>
      <c r="L872" s="2" t="s">
        <v>2585</v>
      </c>
      <c r="M872" s="1"/>
      <c r="N872" s="1"/>
      <c r="O872" s="1"/>
      <c r="P872" s="1"/>
      <c r="Q872" s="1"/>
      <c r="R872" s="1"/>
      <c r="S872" s="1"/>
      <c r="T872" s="1"/>
      <c r="U872" s="1"/>
      <c r="V872" s="1"/>
      <c r="W872" s="1"/>
      <c r="X872" s="1"/>
      <c r="Y872" s="1"/>
      <c r="Z872" s="1"/>
    </row>
    <row r="873" spans="1:26" ht="33.75" customHeight="1">
      <c r="A873" s="1">
        <v>1762</v>
      </c>
      <c r="B873" s="1" t="s">
        <v>2586</v>
      </c>
      <c r="C873" s="1" t="s">
        <v>1814</v>
      </c>
      <c r="D873" s="4">
        <v>39871.867361111108</v>
      </c>
      <c r="E873" s="1" t="s">
        <v>54</v>
      </c>
      <c r="F873" s="1" t="s">
        <v>2587</v>
      </c>
      <c r="G873" s="5" t="s">
        <v>33</v>
      </c>
      <c r="H873" s="5" t="s">
        <v>34</v>
      </c>
      <c r="I873" s="1" t="s">
        <v>1605</v>
      </c>
      <c r="J873" s="1"/>
      <c r="K873" s="1"/>
      <c r="L873" s="2" t="s">
        <v>2588</v>
      </c>
      <c r="M873" s="1"/>
      <c r="N873" s="1"/>
      <c r="O873" s="1"/>
      <c r="P873" s="1"/>
      <c r="Q873" s="1"/>
      <c r="R873" s="1"/>
      <c r="S873" s="1"/>
      <c r="T873" s="1"/>
      <c r="U873" s="1"/>
      <c r="V873" s="1"/>
      <c r="W873" s="1"/>
      <c r="X873" s="1"/>
      <c r="Y873" s="1"/>
      <c r="Z873" s="1"/>
    </row>
    <row r="874" spans="1:26" ht="33.75" customHeight="1">
      <c r="A874" s="1">
        <v>930</v>
      </c>
      <c r="B874" s="1" t="s">
        <v>2589</v>
      </c>
      <c r="C874" s="1" t="s">
        <v>2335</v>
      </c>
      <c r="D874" s="4">
        <v>39871.962500000001</v>
      </c>
      <c r="E874" s="1" t="s">
        <v>1528</v>
      </c>
      <c r="F874" s="1" t="s">
        <v>2507</v>
      </c>
      <c r="G874" s="5" t="s">
        <v>15</v>
      </c>
      <c r="H874" s="5" t="s">
        <v>150</v>
      </c>
      <c r="I874" s="1" t="s">
        <v>2382</v>
      </c>
      <c r="J874" s="1"/>
      <c r="K874" s="1" t="s">
        <v>2590</v>
      </c>
      <c r="L874" s="2" t="s">
        <v>2591</v>
      </c>
      <c r="M874" s="1"/>
      <c r="N874" s="1"/>
      <c r="O874" s="1"/>
      <c r="P874" s="1"/>
      <c r="Q874" s="1"/>
      <c r="R874" s="1"/>
      <c r="S874" s="1"/>
      <c r="T874" s="1"/>
      <c r="U874" s="1"/>
      <c r="V874" s="1"/>
      <c r="W874" s="1"/>
      <c r="X874" s="1"/>
      <c r="Y874" s="1"/>
      <c r="Z874" s="1"/>
    </row>
    <row r="875" spans="1:26" ht="33.75" customHeight="1">
      <c r="A875" s="1">
        <v>932</v>
      </c>
      <c r="B875" s="1" t="s">
        <v>2592</v>
      </c>
      <c r="C875" s="1" t="s">
        <v>2335</v>
      </c>
      <c r="D875" s="4">
        <v>39871.941666666666</v>
      </c>
      <c r="E875" s="1" t="s">
        <v>320</v>
      </c>
      <c r="F875" s="1">
        <v>830</v>
      </c>
      <c r="G875" s="5" t="s">
        <v>26</v>
      </c>
      <c r="H875" s="5" t="s">
        <v>133</v>
      </c>
      <c r="I875" s="1" t="s">
        <v>28</v>
      </c>
      <c r="J875" s="1" t="s">
        <v>134</v>
      </c>
      <c r="K875" s="1"/>
      <c r="L875" s="2" t="s">
        <v>2593</v>
      </c>
      <c r="M875" s="1"/>
      <c r="N875" s="1"/>
      <c r="O875" s="1"/>
      <c r="P875" s="1"/>
      <c r="Q875" s="1"/>
      <c r="R875" s="1"/>
      <c r="S875" s="1"/>
      <c r="T875" s="1"/>
      <c r="U875" s="1"/>
      <c r="V875" s="1"/>
      <c r="W875" s="1"/>
      <c r="X875" s="1"/>
      <c r="Y875" s="1"/>
      <c r="Z875" s="1"/>
    </row>
    <row r="876" spans="1:26" ht="33.75" customHeight="1">
      <c r="A876" s="1">
        <v>929</v>
      </c>
      <c r="B876" s="1" t="s">
        <v>2594</v>
      </c>
      <c r="C876" s="1" t="s">
        <v>2335</v>
      </c>
      <c r="D876" s="4">
        <v>39871.954861111109</v>
      </c>
      <c r="E876" s="1" t="s">
        <v>54</v>
      </c>
      <c r="F876" s="1" t="s">
        <v>2595</v>
      </c>
      <c r="G876" s="6" t="s">
        <v>78</v>
      </c>
      <c r="H876" s="5" t="s">
        <v>79</v>
      </c>
      <c r="I876" s="1" t="s">
        <v>2382</v>
      </c>
      <c r="J876" s="1"/>
      <c r="K876" s="1" t="s">
        <v>2596</v>
      </c>
      <c r="L876" s="2" t="s">
        <v>2597</v>
      </c>
      <c r="M876" s="1"/>
      <c r="N876" s="1"/>
      <c r="O876" s="1"/>
      <c r="P876" s="1"/>
      <c r="Q876" s="1"/>
      <c r="R876" s="1"/>
      <c r="S876" s="1"/>
      <c r="T876" s="1"/>
      <c r="U876" s="1"/>
      <c r="V876" s="1"/>
      <c r="W876" s="1"/>
      <c r="X876" s="1"/>
      <c r="Y876" s="1"/>
      <c r="Z876" s="1"/>
    </row>
    <row r="877" spans="1:26" ht="33.75" customHeight="1">
      <c r="A877" s="1">
        <v>933</v>
      </c>
      <c r="B877" s="1" t="s">
        <v>2598</v>
      </c>
      <c r="C877" s="1" t="s">
        <v>2335</v>
      </c>
      <c r="D877" s="4">
        <v>39871.957638888889</v>
      </c>
      <c r="E877" s="1" t="s">
        <v>54</v>
      </c>
      <c r="F877" s="1"/>
      <c r="G877" s="5" t="s">
        <v>26</v>
      </c>
      <c r="H877" s="5" t="s">
        <v>133</v>
      </c>
      <c r="I877" s="1" t="s">
        <v>28</v>
      </c>
      <c r="J877" s="1" t="s">
        <v>134</v>
      </c>
      <c r="K877" s="1"/>
      <c r="L877" s="2" t="s">
        <v>2599</v>
      </c>
      <c r="M877" s="1"/>
      <c r="N877" s="1"/>
      <c r="O877" s="1"/>
      <c r="P877" s="1"/>
      <c r="Q877" s="1"/>
      <c r="R877" s="1"/>
      <c r="S877" s="1"/>
      <c r="T877" s="1"/>
      <c r="U877" s="1"/>
      <c r="V877" s="1"/>
      <c r="W877" s="1"/>
      <c r="X877" s="1"/>
      <c r="Y877" s="1"/>
      <c r="Z877" s="1"/>
    </row>
    <row r="878" spans="1:26" ht="33.75" customHeight="1">
      <c r="A878" s="1">
        <v>934</v>
      </c>
      <c r="B878" s="1" t="s">
        <v>2600</v>
      </c>
      <c r="C878" s="1" t="s">
        <v>2335</v>
      </c>
      <c r="D878" s="4">
        <v>39871.962500000001</v>
      </c>
      <c r="E878" s="1" t="s">
        <v>84</v>
      </c>
      <c r="F878" s="1"/>
      <c r="G878" s="5" t="s">
        <v>26</v>
      </c>
      <c r="H878" s="5" t="s">
        <v>133</v>
      </c>
      <c r="I878" s="1" t="s">
        <v>28</v>
      </c>
      <c r="J878" s="1" t="s">
        <v>134</v>
      </c>
      <c r="K878" s="1"/>
      <c r="L878" s="2" t="s">
        <v>2601</v>
      </c>
      <c r="M878" s="1"/>
      <c r="N878" s="1"/>
      <c r="O878" s="1"/>
      <c r="P878" s="1"/>
      <c r="Q878" s="1"/>
      <c r="R878" s="1"/>
      <c r="S878" s="1"/>
      <c r="T878" s="1"/>
      <c r="U878" s="1"/>
      <c r="V878" s="1"/>
      <c r="W878" s="1"/>
      <c r="X878" s="1"/>
      <c r="Y878" s="1"/>
      <c r="Z878" s="1"/>
    </row>
    <row r="879" spans="1:26" ht="33.75" customHeight="1">
      <c r="A879" s="1">
        <v>944</v>
      </c>
      <c r="B879" s="1" t="s">
        <v>2602</v>
      </c>
      <c r="C879" s="1" t="s">
        <v>2335</v>
      </c>
      <c r="D879" s="4">
        <v>39872.724999999999</v>
      </c>
      <c r="E879" s="1" t="s">
        <v>1528</v>
      </c>
      <c r="F879" s="1" t="s">
        <v>2603</v>
      </c>
      <c r="G879" s="5" t="s">
        <v>26</v>
      </c>
      <c r="H879" s="5" t="s">
        <v>133</v>
      </c>
      <c r="I879" s="1" t="s">
        <v>1268</v>
      </c>
      <c r="J879" s="1"/>
      <c r="K879" s="1"/>
      <c r="L879" s="2" t="s">
        <v>2604</v>
      </c>
      <c r="M879" s="1"/>
      <c r="N879" s="1"/>
      <c r="O879" s="1"/>
      <c r="P879" s="1"/>
      <c r="Q879" s="1"/>
      <c r="R879" s="1"/>
      <c r="S879" s="1"/>
      <c r="T879" s="1"/>
      <c r="U879" s="1"/>
      <c r="V879" s="1"/>
      <c r="W879" s="1"/>
      <c r="X879" s="1"/>
      <c r="Y879" s="1"/>
      <c r="Z879" s="1"/>
    </row>
    <row r="880" spans="1:26" ht="33.75" customHeight="1">
      <c r="A880" s="1">
        <v>935</v>
      </c>
      <c r="B880" s="1" t="s">
        <v>2605</v>
      </c>
      <c r="C880" s="1" t="s">
        <v>2335</v>
      </c>
      <c r="D880" s="4">
        <v>39871.976388888892</v>
      </c>
      <c r="E880" s="1" t="s">
        <v>84</v>
      </c>
      <c r="F880" s="1"/>
      <c r="G880" s="5" t="s">
        <v>26</v>
      </c>
      <c r="H880" s="5" t="s">
        <v>27</v>
      </c>
      <c r="I880" s="1" t="s">
        <v>28</v>
      </c>
      <c r="J880" s="1" t="s">
        <v>29</v>
      </c>
      <c r="K880" s="1"/>
      <c r="L880" s="2" t="s">
        <v>2606</v>
      </c>
      <c r="M880" s="1"/>
      <c r="N880" s="1"/>
      <c r="O880" s="1"/>
      <c r="P880" s="1"/>
      <c r="Q880" s="1"/>
      <c r="R880" s="1"/>
      <c r="S880" s="1"/>
      <c r="T880" s="1"/>
      <c r="U880" s="1"/>
      <c r="V880" s="1"/>
      <c r="W880" s="1"/>
      <c r="X880" s="1"/>
      <c r="Y880" s="1"/>
      <c r="Z880" s="1"/>
    </row>
    <row r="881" spans="1:26" ht="33.75" customHeight="1">
      <c r="A881" s="1">
        <v>936</v>
      </c>
      <c r="B881" s="1" t="s">
        <v>2607</v>
      </c>
      <c r="C881" s="1" t="s">
        <v>2335</v>
      </c>
      <c r="D881" s="4">
        <v>39871.978472222225</v>
      </c>
      <c r="E881" s="1" t="s">
        <v>84</v>
      </c>
      <c r="F881" s="1"/>
      <c r="G881" s="5" t="s">
        <v>64</v>
      </c>
      <c r="H881" s="5" t="s">
        <v>431</v>
      </c>
      <c r="I881" s="1" t="s">
        <v>2608</v>
      </c>
      <c r="J881" s="1"/>
      <c r="K881" s="1"/>
      <c r="L881" s="2" t="s">
        <v>2609</v>
      </c>
      <c r="M881" s="1"/>
      <c r="N881" s="1"/>
      <c r="O881" s="1"/>
      <c r="P881" s="1"/>
      <c r="Q881" s="1"/>
      <c r="R881" s="1"/>
      <c r="S881" s="1"/>
      <c r="T881" s="1"/>
      <c r="U881" s="1"/>
      <c r="V881" s="1"/>
      <c r="W881" s="1"/>
      <c r="X881" s="1"/>
      <c r="Y881" s="1"/>
      <c r="Z881" s="1"/>
    </row>
    <row r="882" spans="1:26" ht="33.75" customHeight="1">
      <c r="A882" s="1">
        <v>931</v>
      </c>
      <c r="B882" s="1" t="s">
        <v>2610</v>
      </c>
      <c r="C882" s="1" t="s">
        <v>2335</v>
      </c>
      <c r="D882" s="4">
        <v>39871.98541666667</v>
      </c>
      <c r="E882" s="1" t="s">
        <v>54</v>
      </c>
      <c r="F882" s="1" t="s">
        <v>2507</v>
      </c>
      <c r="G882" s="5" t="s">
        <v>15</v>
      </c>
      <c r="H882" s="5" t="s">
        <v>150</v>
      </c>
      <c r="I882" s="1" t="s">
        <v>2382</v>
      </c>
      <c r="J882" s="1"/>
      <c r="K882" s="1" t="s">
        <v>2611</v>
      </c>
      <c r="L882" s="2" t="s">
        <v>2612</v>
      </c>
      <c r="M882" s="1"/>
      <c r="N882" s="1"/>
      <c r="O882" s="1"/>
      <c r="P882" s="1"/>
      <c r="Q882" s="1"/>
      <c r="R882" s="1"/>
      <c r="S882" s="1"/>
      <c r="T882" s="1"/>
      <c r="U882" s="1"/>
      <c r="V882" s="1"/>
      <c r="W882" s="1"/>
      <c r="X882" s="1"/>
      <c r="Y882" s="1"/>
      <c r="Z882" s="1"/>
    </row>
    <row r="883" spans="1:26" ht="33.75" customHeight="1">
      <c r="A883" s="1">
        <v>1763</v>
      </c>
      <c r="B883" s="1" t="s">
        <v>2613</v>
      </c>
      <c r="C883" s="1" t="s">
        <v>1814</v>
      </c>
      <c r="D883" s="4">
        <v>39872.034722222219</v>
      </c>
      <c r="E883" s="1" t="s">
        <v>1241</v>
      </c>
      <c r="F883" s="1"/>
      <c r="G883" s="5" t="s">
        <v>64</v>
      </c>
      <c r="H883" s="1"/>
      <c r="I883" s="1" t="s">
        <v>64</v>
      </c>
      <c r="J883" s="1"/>
      <c r="K883" s="1"/>
      <c r="L883" s="2" t="s">
        <v>2614</v>
      </c>
      <c r="M883" s="1"/>
      <c r="N883" s="1"/>
      <c r="O883" s="1"/>
      <c r="P883" s="1"/>
      <c r="Q883" s="1"/>
      <c r="R883" s="1"/>
      <c r="S883" s="1"/>
      <c r="T883" s="1"/>
      <c r="U883" s="1"/>
      <c r="V883" s="1"/>
      <c r="W883" s="1"/>
      <c r="X883" s="1"/>
      <c r="Y883" s="1"/>
      <c r="Z883" s="1"/>
    </row>
    <row r="884" spans="1:26" ht="33.75" customHeight="1">
      <c r="A884" s="1">
        <v>938</v>
      </c>
      <c r="B884" s="1" t="s">
        <v>2615</v>
      </c>
      <c r="C884" s="1" t="s">
        <v>2335</v>
      </c>
      <c r="D884" s="4">
        <v>39872.069444444445</v>
      </c>
      <c r="E884" s="1" t="s">
        <v>14</v>
      </c>
      <c r="F884" s="1"/>
      <c r="G884" s="6" t="s">
        <v>78</v>
      </c>
      <c r="H884" s="5" t="s">
        <v>197</v>
      </c>
      <c r="I884" s="1" t="s">
        <v>372</v>
      </c>
      <c r="J884" s="1"/>
      <c r="K884" s="1"/>
      <c r="L884" s="2" t="s">
        <v>2616</v>
      </c>
      <c r="M884" s="1"/>
      <c r="N884" s="1"/>
      <c r="O884" s="1"/>
      <c r="P884" s="1"/>
      <c r="Q884" s="1"/>
      <c r="R884" s="1"/>
      <c r="S884" s="1"/>
      <c r="T884" s="1"/>
      <c r="U884" s="1"/>
      <c r="V884" s="1"/>
      <c r="W884" s="1"/>
      <c r="X884" s="1"/>
      <c r="Y884" s="1"/>
      <c r="Z884" s="1"/>
    </row>
    <row r="885" spans="1:26" ht="33.75" customHeight="1">
      <c r="A885" s="1">
        <v>939</v>
      </c>
      <c r="B885" s="1"/>
      <c r="C885" s="1" t="s">
        <v>2335</v>
      </c>
      <c r="D885" s="4">
        <v>39872.213194444441</v>
      </c>
      <c r="E885" s="1" t="s">
        <v>54</v>
      </c>
      <c r="F885" s="1" t="s">
        <v>2617</v>
      </c>
      <c r="G885" s="5" t="s">
        <v>15</v>
      </c>
      <c r="H885" s="5" t="s">
        <v>150</v>
      </c>
      <c r="I885" s="1" t="s">
        <v>1803</v>
      </c>
      <c r="J885" s="1"/>
      <c r="K885" s="1"/>
      <c r="L885" s="2" t="s">
        <v>2618</v>
      </c>
      <c r="M885" s="1"/>
      <c r="N885" s="1"/>
      <c r="O885" s="1"/>
      <c r="P885" s="1"/>
      <c r="Q885" s="1"/>
      <c r="R885" s="1"/>
      <c r="S885" s="1"/>
      <c r="T885" s="1"/>
      <c r="U885" s="1"/>
      <c r="V885" s="1"/>
      <c r="W885" s="1"/>
      <c r="X885" s="1"/>
      <c r="Y885" s="1"/>
      <c r="Z885" s="1"/>
    </row>
    <row r="886" spans="1:26" ht="33.75" customHeight="1">
      <c r="A886" s="1">
        <v>940</v>
      </c>
      <c r="B886" s="1" t="s">
        <v>2619</v>
      </c>
      <c r="C886" s="1" t="s">
        <v>2335</v>
      </c>
      <c r="D886" s="4">
        <v>39872.399305555555</v>
      </c>
      <c r="E886" s="1" t="s">
        <v>14</v>
      </c>
      <c r="F886" s="1" t="s">
        <v>2620</v>
      </c>
      <c r="G886" s="5" t="s">
        <v>26</v>
      </c>
      <c r="H886" s="5" t="s">
        <v>27</v>
      </c>
      <c r="I886" s="1" t="s">
        <v>28</v>
      </c>
      <c r="J886" s="1" t="s">
        <v>259</v>
      </c>
      <c r="K886" s="1"/>
      <c r="L886" s="2" t="s">
        <v>2621</v>
      </c>
      <c r="M886" s="1"/>
      <c r="N886" s="1"/>
      <c r="O886" s="1"/>
      <c r="P886" s="1"/>
      <c r="Q886" s="1"/>
      <c r="R886" s="1"/>
      <c r="S886" s="1"/>
      <c r="T886" s="1"/>
      <c r="U886" s="1"/>
      <c r="V886" s="1"/>
      <c r="W886" s="1"/>
      <c r="X886" s="1"/>
      <c r="Y886" s="1"/>
      <c r="Z886" s="1"/>
    </row>
    <row r="887" spans="1:26" ht="33.75" customHeight="1">
      <c r="A887" s="1">
        <v>941</v>
      </c>
      <c r="B887" s="1" t="s">
        <v>2622</v>
      </c>
      <c r="C887" s="1" t="s">
        <v>2335</v>
      </c>
      <c r="D887" s="4">
        <v>39872.484027777777</v>
      </c>
      <c r="E887" s="1" t="s">
        <v>14</v>
      </c>
      <c r="F887" s="1" t="s">
        <v>2619</v>
      </c>
      <c r="G887" s="5" t="s">
        <v>15</v>
      </c>
      <c r="H887" s="5" t="s">
        <v>150</v>
      </c>
      <c r="I887" s="1" t="s">
        <v>2382</v>
      </c>
      <c r="J887" s="1"/>
      <c r="K887" s="1"/>
      <c r="L887" s="2" t="s">
        <v>2623</v>
      </c>
      <c r="M887" s="1"/>
      <c r="N887" s="1"/>
      <c r="O887" s="1"/>
      <c r="P887" s="1"/>
      <c r="Q887" s="1"/>
      <c r="R887" s="1"/>
      <c r="S887" s="1"/>
      <c r="T887" s="1"/>
      <c r="U887" s="1"/>
      <c r="V887" s="1"/>
      <c r="W887" s="1"/>
      <c r="X887" s="1"/>
      <c r="Y887" s="1"/>
      <c r="Z887" s="1"/>
    </row>
    <row r="888" spans="1:26" ht="33.75" customHeight="1">
      <c r="A888" s="1">
        <v>1764</v>
      </c>
      <c r="B888" s="1" t="s">
        <v>2624</v>
      </c>
      <c r="C888" s="1" t="s">
        <v>1814</v>
      </c>
      <c r="D888" s="4">
        <v>39872.493055555555</v>
      </c>
      <c r="E888" s="1" t="s">
        <v>1887</v>
      </c>
      <c r="F888" s="1"/>
      <c r="G888" s="5" t="s">
        <v>64</v>
      </c>
      <c r="H888" s="5" t="s">
        <v>375</v>
      </c>
      <c r="I888" s="1" t="s">
        <v>900</v>
      </c>
      <c r="J888" s="1"/>
      <c r="K888" s="1"/>
      <c r="L888" s="2" t="s">
        <v>2625</v>
      </c>
      <c r="M888" s="1"/>
      <c r="N888" s="1"/>
      <c r="O888" s="1"/>
      <c r="P888" s="1"/>
      <c r="Q888" s="1"/>
      <c r="R888" s="1"/>
      <c r="S888" s="1"/>
      <c r="T888" s="1"/>
      <c r="U888" s="1"/>
      <c r="V888" s="1"/>
      <c r="W888" s="1"/>
      <c r="X888" s="1"/>
      <c r="Y888" s="1"/>
      <c r="Z888" s="1"/>
    </row>
    <row r="889" spans="1:26" ht="33.75" customHeight="1">
      <c r="A889" s="1">
        <v>1765</v>
      </c>
      <c r="B889" s="1" t="s">
        <v>2626</v>
      </c>
      <c r="C889" s="1" t="s">
        <v>1814</v>
      </c>
      <c r="D889" s="4">
        <v>39872.54791666667</v>
      </c>
      <c r="E889" s="1" t="s">
        <v>54</v>
      </c>
      <c r="F889" s="1" t="s">
        <v>2627</v>
      </c>
      <c r="G889" s="5" t="s">
        <v>15</v>
      </c>
      <c r="H889" s="5" t="s">
        <v>55</v>
      </c>
      <c r="I889" s="1" t="s">
        <v>64</v>
      </c>
      <c r="J889" s="1"/>
      <c r="K889" s="1"/>
      <c r="L889" s="2" t="s">
        <v>2628</v>
      </c>
      <c r="M889" s="1"/>
      <c r="N889" s="1"/>
      <c r="O889" s="1"/>
      <c r="P889" s="1"/>
      <c r="Q889" s="1"/>
      <c r="R889" s="1"/>
      <c r="S889" s="1"/>
      <c r="T889" s="1"/>
      <c r="U889" s="1"/>
      <c r="V889" s="1"/>
      <c r="W889" s="1"/>
      <c r="X889" s="1"/>
      <c r="Y889" s="1"/>
      <c r="Z889" s="1"/>
    </row>
    <row r="890" spans="1:26" ht="33.75" customHeight="1">
      <c r="A890" s="1">
        <v>1766</v>
      </c>
      <c r="B890" s="1" t="s">
        <v>2629</v>
      </c>
      <c r="C890" s="1" t="s">
        <v>1814</v>
      </c>
      <c r="D890" s="4">
        <v>39872.651388888888</v>
      </c>
      <c r="E890" s="1" t="s">
        <v>1887</v>
      </c>
      <c r="F890" s="1"/>
      <c r="G890" s="5" t="s">
        <v>64</v>
      </c>
      <c r="H890" s="5" t="s">
        <v>375</v>
      </c>
      <c r="I890" s="1" t="s">
        <v>900</v>
      </c>
      <c r="J890" s="1"/>
      <c r="K890" s="1"/>
      <c r="L890" s="2" t="s">
        <v>2630</v>
      </c>
      <c r="M890" s="1"/>
      <c r="N890" s="1"/>
      <c r="O890" s="1"/>
      <c r="P890" s="1"/>
      <c r="Q890" s="1"/>
      <c r="R890" s="1"/>
      <c r="S890" s="1"/>
      <c r="T890" s="1"/>
      <c r="U890" s="1"/>
      <c r="V890" s="1"/>
      <c r="W890" s="1"/>
      <c r="X890" s="1"/>
      <c r="Y890" s="1"/>
      <c r="Z890" s="1"/>
    </row>
    <row r="891" spans="1:26" ht="33.75" customHeight="1">
      <c r="A891" s="1">
        <v>942</v>
      </c>
      <c r="B891" s="1" t="s">
        <v>2631</v>
      </c>
      <c r="C891" s="1" t="s">
        <v>2335</v>
      </c>
      <c r="D891" s="4">
        <v>39872.682638888888</v>
      </c>
      <c r="E891" s="1" t="s">
        <v>84</v>
      </c>
      <c r="F891" s="1"/>
      <c r="G891" s="5" t="s">
        <v>26</v>
      </c>
      <c r="H891" s="5" t="s">
        <v>133</v>
      </c>
      <c r="I891" s="1" t="s">
        <v>1268</v>
      </c>
      <c r="J891" s="1"/>
      <c r="K891" s="1"/>
      <c r="L891" s="2" t="s">
        <v>2632</v>
      </c>
      <c r="M891" s="1"/>
      <c r="N891" s="1"/>
      <c r="O891" s="1"/>
      <c r="P891" s="1"/>
      <c r="Q891" s="1"/>
      <c r="R891" s="1"/>
      <c r="S891" s="1"/>
      <c r="T891" s="1"/>
      <c r="U891" s="1"/>
      <c r="V891" s="1"/>
      <c r="W891" s="1"/>
      <c r="X891" s="1"/>
      <c r="Y891" s="1"/>
      <c r="Z891" s="1"/>
    </row>
    <row r="892" spans="1:26" ht="33.75" customHeight="1">
      <c r="A892" s="1">
        <v>943</v>
      </c>
      <c r="B892" s="1" t="s">
        <v>2633</v>
      </c>
      <c r="C892" s="1" t="s">
        <v>2335</v>
      </c>
      <c r="D892" s="4">
        <v>39872.711111111108</v>
      </c>
      <c r="E892" s="1" t="s">
        <v>14</v>
      </c>
      <c r="F892" s="1" t="s">
        <v>2619</v>
      </c>
      <c r="G892" s="5" t="s">
        <v>26</v>
      </c>
      <c r="H892" s="5" t="s">
        <v>133</v>
      </c>
      <c r="I892" s="1" t="s">
        <v>2382</v>
      </c>
      <c r="J892" s="1"/>
      <c r="K892" s="1"/>
      <c r="L892" s="2" t="s">
        <v>2634</v>
      </c>
      <c r="M892" s="1"/>
      <c r="N892" s="1"/>
      <c r="O892" s="1"/>
      <c r="P892" s="1"/>
      <c r="Q892" s="1"/>
      <c r="R892" s="1"/>
      <c r="S892" s="1"/>
      <c r="T892" s="1"/>
      <c r="U892" s="1"/>
      <c r="V892" s="1"/>
      <c r="W892" s="1"/>
      <c r="X892" s="1"/>
      <c r="Y892" s="1"/>
      <c r="Z892" s="1"/>
    </row>
    <row r="893" spans="1:26" ht="33.75" customHeight="1">
      <c r="A893" s="1">
        <v>990</v>
      </c>
      <c r="B893" s="1" t="s">
        <v>2635</v>
      </c>
      <c r="C893" s="1" t="s">
        <v>2636</v>
      </c>
      <c r="D893" s="4">
        <v>39874.866666666669</v>
      </c>
      <c r="E893" s="1" t="s">
        <v>1528</v>
      </c>
      <c r="F893" s="1"/>
      <c r="G893" s="5" t="s">
        <v>15</v>
      </c>
      <c r="H893" s="5" t="s">
        <v>150</v>
      </c>
      <c r="I893" s="1" t="s">
        <v>2637</v>
      </c>
      <c r="J893" s="1"/>
      <c r="K893" s="1"/>
      <c r="L893" s="2" t="s">
        <v>2638</v>
      </c>
      <c r="M893" s="1"/>
      <c r="N893" s="1"/>
      <c r="O893" s="1"/>
      <c r="P893" s="1"/>
      <c r="Q893" s="1"/>
      <c r="R893" s="1"/>
      <c r="S893" s="1"/>
      <c r="T893" s="1"/>
      <c r="U893" s="1"/>
      <c r="V893" s="1"/>
      <c r="W893" s="1"/>
      <c r="X893" s="1"/>
      <c r="Y893" s="1"/>
      <c r="Z893" s="1"/>
    </row>
    <row r="894" spans="1:26" ht="33.75" customHeight="1">
      <c r="A894" s="1">
        <v>948</v>
      </c>
      <c r="B894" s="1" t="s">
        <v>2639</v>
      </c>
      <c r="C894" s="1" t="s">
        <v>2335</v>
      </c>
      <c r="D894" s="4">
        <v>39872.724999999999</v>
      </c>
      <c r="E894" s="1" t="s">
        <v>14</v>
      </c>
      <c r="F894" s="1"/>
      <c r="G894" s="5" t="s">
        <v>15</v>
      </c>
      <c r="H894" s="5" t="s">
        <v>150</v>
      </c>
      <c r="I894" s="1" t="s">
        <v>295</v>
      </c>
      <c r="J894" s="1"/>
      <c r="K894" s="1" t="s">
        <v>2640</v>
      </c>
      <c r="L894" s="2" t="s">
        <v>2641</v>
      </c>
      <c r="M894" s="1"/>
      <c r="N894" s="1"/>
      <c r="O894" s="1"/>
      <c r="P894" s="1"/>
      <c r="Q894" s="1"/>
      <c r="R894" s="1"/>
      <c r="S894" s="1"/>
      <c r="T894" s="1"/>
      <c r="U894" s="1"/>
      <c r="V894" s="1"/>
      <c r="W894" s="1"/>
      <c r="X894" s="1"/>
      <c r="Y894" s="1"/>
      <c r="Z894" s="1"/>
    </row>
    <row r="895" spans="1:26" ht="33.75" customHeight="1">
      <c r="A895" s="1">
        <v>949</v>
      </c>
      <c r="B895" s="1" t="s">
        <v>2642</v>
      </c>
      <c r="C895" s="1" t="s">
        <v>2335</v>
      </c>
      <c r="D895" s="4">
        <v>39872.741666666669</v>
      </c>
      <c r="E895" s="1" t="s">
        <v>14</v>
      </c>
      <c r="F895" s="1" t="s">
        <v>2639</v>
      </c>
      <c r="G895" s="5" t="s">
        <v>26</v>
      </c>
      <c r="H895" s="5" t="s">
        <v>27</v>
      </c>
      <c r="I895" s="1" t="s">
        <v>2382</v>
      </c>
      <c r="J895" s="1"/>
      <c r="K895" s="1"/>
      <c r="L895" s="2" t="s">
        <v>2643</v>
      </c>
      <c r="M895" s="1"/>
      <c r="N895" s="1"/>
      <c r="O895" s="1"/>
      <c r="P895" s="1"/>
      <c r="Q895" s="1"/>
      <c r="R895" s="1"/>
      <c r="S895" s="1"/>
      <c r="T895" s="1"/>
      <c r="U895" s="1"/>
      <c r="V895" s="1"/>
      <c r="W895" s="1"/>
      <c r="X895" s="1"/>
      <c r="Y895" s="1"/>
      <c r="Z895" s="1"/>
    </row>
    <row r="896" spans="1:26" ht="33.75" customHeight="1">
      <c r="A896" s="1">
        <v>945</v>
      </c>
      <c r="B896" s="1" t="s">
        <v>2644</v>
      </c>
      <c r="C896" s="1" t="s">
        <v>2335</v>
      </c>
      <c r="D896" s="4">
        <v>39872.8125</v>
      </c>
      <c r="E896" s="1" t="s">
        <v>54</v>
      </c>
      <c r="F896" s="1"/>
      <c r="G896" s="5" t="s">
        <v>15</v>
      </c>
      <c r="H896" s="5" t="s">
        <v>792</v>
      </c>
      <c r="I896" s="1" t="s">
        <v>2645</v>
      </c>
      <c r="J896" s="1"/>
      <c r="K896" s="1"/>
      <c r="L896" s="2" t="s">
        <v>2646</v>
      </c>
      <c r="M896" s="1"/>
      <c r="N896" s="1"/>
      <c r="O896" s="1"/>
      <c r="P896" s="1"/>
      <c r="Q896" s="1"/>
      <c r="R896" s="1"/>
      <c r="S896" s="1"/>
      <c r="T896" s="1"/>
      <c r="U896" s="1"/>
      <c r="V896" s="1"/>
      <c r="W896" s="1"/>
      <c r="X896" s="1"/>
      <c r="Y896" s="1"/>
      <c r="Z896" s="1"/>
    </row>
    <row r="897" spans="1:26" ht="33.75" customHeight="1">
      <c r="A897" s="1">
        <v>946</v>
      </c>
      <c r="B897" s="1" t="s">
        <v>2647</v>
      </c>
      <c r="C897" s="1" t="s">
        <v>2335</v>
      </c>
      <c r="D897" s="4">
        <v>39872.820833333331</v>
      </c>
      <c r="E897" s="1" t="s">
        <v>54</v>
      </c>
      <c r="F897" s="1" t="s">
        <v>2644</v>
      </c>
      <c r="G897" s="5" t="s">
        <v>15</v>
      </c>
      <c r="H897" s="5" t="s">
        <v>792</v>
      </c>
      <c r="I897" s="1" t="s">
        <v>2645</v>
      </c>
      <c r="J897" s="1"/>
      <c r="K897" s="1"/>
      <c r="L897" s="2" t="s">
        <v>2648</v>
      </c>
      <c r="M897" s="1"/>
      <c r="N897" s="1"/>
      <c r="O897" s="1"/>
      <c r="P897" s="1"/>
      <c r="Q897" s="1"/>
      <c r="R897" s="1"/>
      <c r="S897" s="1"/>
      <c r="T897" s="1"/>
      <c r="U897" s="1"/>
      <c r="V897" s="1"/>
      <c r="W897" s="1"/>
      <c r="X897" s="1"/>
      <c r="Y897" s="1"/>
      <c r="Z897" s="1"/>
    </row>
    <row r="898" spans="1:26" ht="33.75" customHeight="1">
      <c r="A898" s="1">
        <v>947</v>
      </c>
      <c r="B898" s="1" t="s">
        <v>2649</v>
      </c>
      <c r="C898" s="1" t="s">
        <v>2335</v>
      </c>
      <c r="D898" s="4">
        <v>39872.822222222225</v>
      </c>
      <c r="E898" s="1" t="s">
        <v>84</v>
      </c>
      <c r="F898" s="1" t="s">
        <v>2619</v>
      </c>
      <c r="G898" s="5" t="s">
        <v>64</v>
      </c>
      <c r="H898" s="5" t="s">
        <v>179</v>
      </c>
      <c r="I898" s="1" t="s">
        <v>2382</v>
      </c>
      <c r="J898" s="1"/>
      <c r="K898" s="1" t="s">
        <v>2650</v>
      </c>
      <c r="L898" s="2" t="s">
        <v>2651</v>
      </c>
      <c r="M898" s="1"/>
      <c r="N898" s="1"/>
      <c r="O898" s="1"/>
      <c r="P898" s="1"/>
      <c r="Q898" s="1"/>
      <c r="R898" s="1"/>
      <c r="S898" s="1"/>
      <c r="T898" s="1"/>
      <c r="U898" s="1"/>
      <c r="V898" s="1"/>
      <c r="W898" s="1"/>
      <c r="X898" s="1"/>
      <c r="Y898" s="1"/>
      <c r="Z898" s="1"/>
    </row>
    <row r="899" spans="1:26" ht="33.75" customHeight="1">
      <c r="A899" s="1">
        <v>950</v>
      </c>
      <c r="B899" s="1" t="s">
        <v>2652</v>
      </c>
      <c r="C899" s="1" t="s">
        <v>2335</v>
      </c>
      <c r="D899" s="4">
        <v>39872.82708333333</v>
      </c>
      <c r="E899" s="1" t="s">
        <v>54</v>
      </c>
      <c r="F899" s="1"/>
      <c r="G899" s="5" t="s">
        <v>15</v>
      </c>
      <c r="H899" s="5" t="s">
        <v>792</v>
      </c>
      <c r="I899" s="1" t="s">
        <v>2653</v>
      </c>
      <c r="J899" s="1"/>
      <c r="K899" s="1" t="s">
        <v>2654</v>
      </c>
      <c r="L899" s="2" t="s">
        <v>2655</v>
      </c>
      <c r="M899" s="1"/>
      <c r="N899" s="1"/>
      <c r="O899" s="1"/>
      <c r="P899" s="1"/>
      <c r="Q899" s="1"/>
      <c r="R899" s="1"/>
      <c r="S899" s="1"/>
      <c r="T899" s="1"/>
      <c r="U899" s="1"/>
      <c r="V899" s="1"/>
      <c r="W899" s="1"/>
      <c r="X899" s="1"/>
      <c r="Y899" s="1"/>
      <c r="Z899" s="1"/>
    </row>
    <row r="900" spans="1:26" ht="33.75" customHeight="1">
      <c r="A900" s="1">
        <v>951</v>
      </c>
      <c r="B900" s="1" t="s">
        <v>2656</v>
      </c>
      <c r="C900" s="1" t="s">
        <v>2335</v>
      </c>
      <c r="D900" s="4">
        <v>39872.827777777777</v>
      </c>
      <c r="E900" s="1" t="s">
        <v>54</v>
      </c>
      <c r="F900" s="1" t="s">
        <v>2657</v>
      </c>
      <c r="G900" s="5" t="s">
        <v>15</v>
      </c>
      <c r="H900" s="5" t="s">
        <v>792</v>
      </c>
      <c r="I900" s="1" t="s">
        <v>2658</v>
      </c>
      <c r="J900" s="1"/>
      <c r="K900" s="1"/>
      <c r="L900" s="2" t="s">
        <v>2659</v>
      </c>
      <c r="M900" s="1"/>
      <c r="N900" s="1"/>
      <c r="O900" s="1"/>
      <c r="P900" s="1"/>
      <c r="Q900" s="1"/>
      <c r="R900" s="1"/>
      <c r="S900" s="1"/>
      <c r="T900" s="1"/>
      <c r="U900" s="1"/>
      <c r="V900" s="1"/>
      <c r="W900" s="1"/>
      <c r="X900" s="1"/>
      <c r="Y900" s="1"/>
      <c r="Z900" s="1"/>
    </row>
    <row r="901" spans="1:26" ht="33.75" customHeight="1">
      <c r="A901" s="1">
        <v>952</v>
      </c>
      <c r="B901" s="1" t="s">
        <v>2660</v>
      </c>
      <c r="C901" s="1" t="s">
        <v>2335</v>
      </c>
      <c r="D901" s="4">
        <v>39872.840277777781</v>
      </c>
      <c r="E901" s="1" t="s">
        <v>54</v>
      </c>
      <c r="F901" s="1" t="s">
        <v>2652</v>
      </c>
      <c r="G901" s="5" t="s">
        <v>64</v>
      </c>
      <c r="H901" s="5" t="s">
        <v>263</v>
      </c>
      <c r="I901" s="1" t="s">
        <v>2382</v>
      </c>
      <c r="J901" s="1"/>
      <c r="K901" s="1"/>
      <c r="L901" s="2" t="s">
        <v>2661</v>
      </c>
      <c r="M901" s="1"/>
      <c r="N901" s="1"/>
      <c r="O901" s="1"/>
      <c r="P901" s="1"/>
      <c r="Q901" s="1"/>
      <c r="R901" s="1"/>
      <c r="S901" s="1"/>
      <c r="T901" s="1"/>
      <c r="U901" s="1"/>
      <c r="V901" s="1"/>
      <c r="W901" s="1"/>
      <c r="X901" s="1"/>
      <c r="Y901" s="1"/>
      <c r="Z901" s="1"/>
    </row>
    <row r="902" spans="1:26" ht="33.75" customHeight="1">
      <c r="A902" s="1">
        <v>953</v>
      </c>
      <c r="B902" s="1" t="s">
        <v>2662</v>
      </c>
      <c r="C902" s="1" t="s">
        <v>2335</v>
      </c>
      <c r="D902" s="4">
        <v>39872.845833333333</v>
      </c>
      <c r="E902" s="1" t="s">
        <v>54</v>
      </c>
      <c r="F902" s="1"/>
      <c r="G902" s="5" t="s">
        <v>64</v>
      </c>
      <c r="H902" s="5" t="s">
        <v>179</v>
      </c>
      <c r="I902" s="1" t="s">
        <v>179</v>
      </c>
      <c r="J902" s="1"/>
      <c r="K902" s="1"/>
      <c r="L902" s="2" t="s">
        <v>2663</v>
      </c>
      <c r="M902" s="1"/>
      <c r="N902" s="1"/>
      <c r="O902" s="1"/>
      <c r="P902" s="1"/>
      <c r="Q902" s="1"/>
      <c r="R902" s="1"/>
      <c r="S902" s="1"/>
      <c r="T902" s="1"/>
      <c r="U902" s="1"/>
      <c r="V902" s="1"/>
      <c r="W902" s="1"/>
      <c r="X902" s="1"/>
      <c r="Y902" s="1"/>
      <c r="Z902" s="1"/>
    </row>
    <row r="903" spans="1:26" ht="33.75" customHeight="1">
      <c r="A903" s="1">
        <v>937</v>
      </c>
      <c r="B903" s="1" t="s">
        <v>2664</v>
      </c>
      <c r="C903" s="1" t="s">
        <v>2335</v>
      </c>
      <c r="D903" s="4">
        <v>39872.898611111108</v>
      </c>
      <c r="E903" s="1" t="s">
        <v>320</v>
      </c>
      <c r="F903" s="1" t="s">
        <v>2665</v>
      </c>
      <c r="G903" s="5" t="s">
        <v>26</v>
      </c>
      <c r="H903" s="5" t="s">
        <v>27</v>
      </c>
      <c r="I903" s="1" t="s">
        <v>28</v>
      </c>
      <c r="J903" s="1" t="s">
        <v>259</v>
      </c>
      <c r="K903" s="1"/>
      <c r="L903" s="2" t="s">
        <v>2666</v>
      </c>
      <c r="M903" s="1"/>
      <c r="N903" s="1"/>
      <c r="O903" s="1"/>
      <c r="P903" s="1"/>
      <c r="Q903" s="1"/>
      <c r="R903" s="1"/>
      <c r="S903" s="1"/>
      <c r="T903" s="1"/>
      <c r="U903" s="1"/>
      <c r="V903" s="1"/>
      <c r="W903" s="1"/>
      <c r="X903" s="1"/>
      <c r="Y903" s="1"/>
      <c r="Z903" s="1"/>
    </row>
    <row r="904" spans="1:26" ht="33.75" customHeight="1">
      <c r="A904" s="1">
        <v>954</v>
      </c>
      <c r="B904" s="1" t="s">
        <v>2667</v>
      </c>
      <c r="C904" s="1" t="s">
        <v>2335</v>
      </c>
      <c r="D904" s="4">
        <v>39872.949999999997</v>
      </c>
      <c r="E904" s="1" t="s">
        <v>320</v>
      </c>
      <c r="F904" s="1"/>
      <c r="G904" s="5" t="s">
        <v>26</v>
      </c>
      <c r="H904" s="5" t="s">
        <v>133</v>
      </c>
      <c r="I904" s="1" t="s">
        <v>28</v>
      </c>
      <c r="J904" s="1" t="s">
        <v>134</v>
      </c>
      <c r="K904" s="1"/>
      <c r="L904" s="2" t="s">
        <v>2668</v>
      </c>
      <c r="M904" s="1"/>
      <c r="N904" s="1"/>
      <c r="O904" s="1"/>
      <c r="P904" s="1"/>
      <c r="Q904" s="1"/>
      <c r="R904" s="1"/>
      <c r="S904" s="1"/>
      <c r="T904" s="1"/>
      <c r="U904" s="1"/>
      <c r="V904" s="1"/>
      <c r="W904" s="1"/>
      <c r="X904" s="1"/>
      <c r="Y904" s="1"/>
      <c r="Z904" s="1"/>
    </row>
    <row r="905" spans="1:26" ht="33.75" customHeight="1">
      <c r="A905" s="1">
        <v>955</v>
      </c>
      <c r="B905" s="1" t="s">
        <v>2669</v>
      </c>
      <c r="C905" s="1" t="s">
        <v>2335</v>
      </c>
      <c r="D905" s="4">
        <v>39872.950694444444</v>
      </c>
      <c r="E905" s="1" t="s">
        <v>320</v>
      </c>
      <c r="F905" s="1" t="s">
        <v>2667</v>
      </c>
      <c r="G905" s="5" t="s">
        <v>64</v>
      </c>
      <c r="H905" s="5" t="s">
        <v>179</v>
      </c>
      <c r="I905" s="1" t="s">
        <v>2382</v>
      </c>
      <c r="J905" s="1"/>
      <c r="K905" s="1"/>
      <c r="L905" s="2" t="s">
        <v>2670</v>
      </c>
      <c r="M905" s="1"/>
      <c r="N905" s="1"/>
      <c r="O905" s="1"/>
      <c r="P905" s="1"/>
      <c r="Q905" s="1"/>
      <c r="R905" s="1"/>
      <c r="S905" s="1"/>
      <c r="T905" s="1"/>
      <c r="U905" s="1"/>
      <c r="V905" s="1"/>
      <c r="W905" s="1"/>
      <c r="X905" s="1"/>
      <c r="Y905" s="1"/>
      <c r="Z905" s="1"/>
    </row>
    <row r="906" spans="1:26" ht="33.75" customHeight="1">
      <c r="A906" s="1">
        <v>956</v>
      </c>
      <c r="B906" s="1" t="s">
        <v>2671</v>
      </c>
      <c r="C906" s="1" t="s">
        <v>2335</v>
      </c>
      <c r="D906" s="4">
        <v>39872.960416666669</v>
      </c>
      <c r="E906" s="1" t="s">
        <v>54</v>
      </c>
      <c r="F906" s="1" t="s">
        <v>2667</v>
      </c>
      <c r="G906" s="5" t="s">
        <v>15</v>
      </c>
      <c r="H906" s="5" t="s">
        <v>150</v>
      </c>
      <c r="I906" s="1" t="s">
        <v>2382</v>
      </c>
      <c r="J906" s="1"/>
      <c r="K906" s="1" t="s">
        <v>2650</v>
      </c>
      <c r="L906" s="2" t="s">
        <v>2672</v>
      </c>
      <c r="M906" s="1"/>
      <c r="N906" s="1"/>
      <c r="O906" s="1"/>
      <c r="P906" s="1"/>
      <c r="Q906" s="1"/>
      <c r="R906" s="1"/>
      <c r="S906" s="1"/>
      <c r="T906" s="1"/>
      <c r="U906" s="1"/>
      <c r="V906" s="1"/>
      <c r="W906" s="1"/>
      <c r="X906" s="1"/>
      <c r="Y906" s="1"/>
      <c r="Z906" s="1"/>
    </row>
    <row r="907" spans="1:26" ht="33.75" customHeight="1">
      <c r="A907" s="1">
        <v>957</v>
      </c>
      <c r="B907" s="1" t="s">
        <v>2673</v>
      </c>
      <c r="C907" s="1" t="s">
        <v>2335</v>
      </c>
      <c r="D907" s="4">
        <v>39872.961111111108</v>
      </c>
      <c r="E907" s="1" t="s">
        <v>320</v>
      </c>
      <c r="F907" s="1" t="s">
        <v>2674</v>
      </c>
      <c r="G907" s="6" t="s">
        <v>78</v>
      </c>
      <c r="H907" s="1" t="s">
        <v>479</v>
      </c>
      <c r="I907" s="1" t="s">
        <v>480</v>
      </c>
      <c r="J907" s="1" t="s">
        <v>481</v>
      </c>
      <c r="K907" s="1"/>
      <c r="L907" s="2" t="s">
        <v>2675</v>
      </c>
      <c r="M907" s="1"/>
      <c r="N907" s="1"/>
      <c r="O907" s="1"/>
      <c r="P907" s="1"/>
      <c r="Q907" s="1"/>
      <c r="R907" s="1"/>
      <c r="S907" s="1"/>
      <c r="T907" s="1"/>
      <c r="U907" s="1"/>
      <c r="V907" s="1"/>
      <c r="W907" s="1"/>
      <c r="X907" s="1"/>
      <c r="Y907" s="1"/>
      <c r="Z907" s="1"/>
    </row>
    <row r="908" spans="1:26" ht="33.75" customHeight="1">
      <c r="A908" s="1">
        <v>958</v>
      </c>
      <c r="B908" s="1" t="s">
        <v>2676</v>
      </c>
      <c r="C908" s="1" t="s">
        <v>2335</v>
      </c>
      <c r="D908" s="4">
        <v>39872.962500000001</v>
      </c>
      <c r="E908" s="1" t="s">
        <v>54</v>
      </c>
      <c r="F908" s="1"/>
      <c r="G908" s="5" t="s">
        <v>64</v>
      </c>
      <c r="H908" s="5" t="s">
        <v>65</v>
      </c>
      <c r="I908" s="1" t="s">
        <v>35</v>
      </c>
      <c r="J908" s="1"/>
      <c r="K908" s="1" t="s">
        <v>2677</v>
      </c>
      <c r="L908" s="2" t="s">
        <v>2678</v>
      </c>
      <c r="M908" s="1"/>
      <c r="N908" s="1"/>
      <c r="O908" s="1"/>
      <c r="P908" s="1"/>
      <c r="Q908" s="1"/>
      <c r="R908" s="1"/>
      <c r="S908" s="1"/>
      <c r="T908" s="1"/>
      <c r="U908" s="1"/>
      <c r="V908" s="1"/>
      <c r="W908" s="1"/>
      <c r="X908" s="1"/>
      <c r="Y908" s="1"/>
      <c r="Z908" s="1"/>
    </row>
    <row r="909" spans="1:26" ht="33.75" customHeight="1">
      <c r="A909" s="1">
        <v>959</v>
      </c>
      <c r="B909" s="1" t="s">
        <v>2679</v>
      </c>
      <c r="C909" s="1" t="s">
        <v>2335</v>
      </c>
      <c r="D909" s="4">
        <v>39872.974305555559</v>
      </c>
      <c r="E909" s="1" t="s">
        <v>320</v>
      </c>
      <c r="F909" s="1"/>
      <c r="G909" s="5" t="s">
        <v>15</v>
      </c>
      <c r="H909" s="5" t="s">
        <v>150</v>
      </c>
      <c r="I909" s="1" t="s">
        <v>2680</v>
      </c>
      <c r="J909" s="1"/>
      <c r="K909" s="1"/>
      <c r="L909" s="2" t="s">
        <v>2681</v>
      </c>
      <c r="M909" s="1"/>
      <c r="N909" s="1"/>
      <c r="O909" s="1"/>
      <c r="P909" s="1"/>
      <c r="Q909" s="1"/>
      <c r="R909" s="1"/>
      <c r="S909" s="1"/>
      <c r="T909" s="1"/>
      <c r="U909" s="1"/>
      <c r="V909" s="1"/>
      <c r="W909" s="1"/>
      <c r="X909" s="1"/>
      <c r="Y909" s="1"/>
      <c r="Z909" s="1"/>
    </row>
    <row r="910" spans="1:26" ht="33.75" customHeight="1">
      <c r="A910" s="1">
        <v>961</v>
      </c>
      <c r="B910" s="1" t="s">
        <v>2682</v>
      </c>
      <c r="C910" s="1" t="s">
        <v>2335</v>
      </c>
      <c r="D910" s="4">
        <v>39873.291666666664</v>
      </c>
      <c r="E910" s="1" t="s">
        <v>314</v>
      </c>
      <c r="F910" s="1"/>
      <c r="G910" s="6" t="s">
        <v>78</v>
      </c>
      <c r="H910" s="5" t="s">
        <v>223</v>
      </c>
      <c r="I910" s="1" t="s">
        <v>64</v>
      </c>
      <c r="J910" s="1" t="s">
        <v>224</v>
      </c>
      <c r="K910" s="1" t="s">
        <v>2683</v>
      </c>
      <c r="L910" s="2" t="s">
        <v>2684</v>
      </c>
      <c r="M910" s="1"/>
      <c r="N910" s="1"/>
      <c r="O910" s="1"/>
      <c r="P910" s="1"/>
      <c r="Q910" s="1"/>
      <c r="R910" s="1"/>
      <c r="S910" s="1"/>
      <c r="T910" s="1"/>
      <c r="U910" s="1"/>
      <c r="V910" s="1"/>
      <c r="W910" s="1"/>
      <c r="X910" s="1"/>
      <c r="Y910" s="1"/>
      <c r="Z910" s="1"/>
    </row>
    <row r="911" spans="1:26" ht="33.75" customHeight="1">
      <c r="A911" s="1">
        <v>1767</v>
      </c>
      <c r="B911" s="1" t="s">
        <v>2685</v>
      </c>
      <c r="C911" s="1" t="s">
        <v>1814</v>
      </c>
      <c r="D911" s="4">
        <v>39873.42291666667</v>
      </c>
      <c r="E911" s="1" t="s">
        <v>1887</v>
      </c>
      <c r="F911" s="1"/>
      <c r="G911" s="5" t="s">
        <v>33</v>
      </c>
      <c r="H911" s="5" t="s">
        <v>34</v>
      </c>
      <c r="I911" s="1" t="s">
        <v>35</v>
      </c>
      <c r="J911" s="1"/>
      <c r="K911" s="1" t="s">
        <v>2686</v>
      </c>
      <c r="L911" s="2" t="s">
        <v>2687</v>
      </c>
      <c r="M911" s="1"/>
      <c r="N911" s="1"/>
      <c r="O911" s="1"/>
      <c r="P911" s="1"/>
      <c r="Q911" s="1"/>
      <c r="R911" s="1"/>
      <c r="S911" s="1"/>
      <c r="T911" s="1"/>
      <c r="U911" s="1"/>
      <c r="V911" s="1"/>
      <c r="W911" s="1"/>
      <c r="X911" s="1"/>
      <c r="Y911" s="1"/>
      <c r="Z911" s="1"/>
    </row>
    <row r="912" spans="1:26" ht="33.75" customHeight="1">
      <c r="A912" s="1">
        <v>960</v>
      </c>
      <c r="B912" s="1" t="s">
        <v>2688</v>
      </c>
      <c r="C912" s="1" t="s">
        <v>2335</v>
      </c>
      <c r="D912" s="4">
        <v>39873.49722222222</v>
      </c>
      <c r="E912" s="1" t="s">
        <v>14</v>
      </c>
      <c r="F912" s="1" t="s">
        <v>2679</v>
      </c>
      <c r="G912" s="5" t="s">
        <v>26</v>
      </c>
      <c r="H912" s="5" t="s">
        <v>27</v>
      </c>
      <c r="I912" s="1" t="s">
        <v>28</v>
      </c>
      <c r="J912" s="1" t="s">
        <v>259</v>
      </c>
      <c r="K912" s="1" t="s">
        <v>2689</v>
      </c>
      <c r="L912" s="2" t="s">
        <v>2690</v>
      </c>
      <c r="M912" s="1"/>
      <c r="N912" s="1"/>
      <c r="O912" s="1"/>
      <c r="P912" s="1"/>
      <c r="Q912" s="1"/>
      <c r="R912" s="1"/>
      <c r="S912" s="1"/>
      <c r="T912" s="1"/>
      <c r="U912" s="1"/>
      <c r="V912" s="1"/>
      <c r="W912" s="1"/>
      <c r="X912" s="1"/>
      <c r="Y912" s="1"/>
      <c r="Z912" s="1"/>
    </row>
    <row r="913" spans="1:26" ht="33.75" customHeight="1">
      <c r="A913" s="1">
        <v>962</v>
      </c>
      <c r="B913" s="1" t="s">
        <v>2691</v>
      </c>
      <c r="C913" s="1" t="s">
        <v>2335</v>
      </c>
      <c r="D913" s="4">
        <v>39873.5</v>
      </c>
      <c r="E913" s="1" t="s">
        <v>14</v>
      </c>
      <c r="F913" s="1" t="s">
        <v>2692</v>
      </c>
      <c r="G913" s="5" t="s">
        <v>33</v>
      </c>
      <c r="H913" s="5" t="s">
        <v>34</v>
      </c>
      <c r="I913" s="1" t="s">
        <v>166</v>
      </c>
      <c r="J913" s="1"/>
      <c r="K913" s="1" t="s">
        <v>2693</v>
      </c>
      <c r="L913" s="2" t="s">
        <v>2694</v>
      </c>
      <c r="M913" s="1"/>
      <c r="N913" s="1"/>
      <c r="O913" s="1"/>
      <c r="P913" s="1"/>
      <c r="Q913" s="1"/>
      <c r="R913" s="1"/>
      <c r="S913" s="1"/>
      <c r="T913" s="1"/>
      <c r="U913" s="1"/>
      <c r="V913" s="1"/>
      <c r="W913" s="1"/>
      <c r="X913" s="1"/>
      <c r="Y913" s="1"/>
      <c r="Z913" s="1"/>
    </row>
    <row r="914" spans="1:26" ht="33.75" customHeight="1">
      <c r="A914" s="1">
        <v>963</v>
      </c>
      <c r="B914" s="1" t="s">
        <v>2695</v>
      </c>
      <c r="C914" s="1" t="s">
        <v>2335</v>
      </c>
      <c r="D914" s="4">
        <v>39873.519444444442</v>
      </c>
      <c r="E914" s="1" t="s">
        <v>14</v>
      </c>
      <c r="F914" s="1" t="s">
        <v>2696</v>
      </c>
      <c r="G914" s="5" t="s">
        <v>26</v>
      </c>
      <c r="H914" s="5" t="s">
        <v>27</v>
      </c>
      <c r="I914" s="1" t="s">
        <v>28</v>
      </c>
      <c r="J914" s="1" t="s">
        <v>259</v>
      </c>
      <c r="K914" s="1"/>
      <c r="L914" s="2" t="s">
        <v>2697</v>
      </c>
      <c r="M914" s="1"/>
      <c r="N914" s="1"/>
      <c r="O914" s="1"/>
      <c r="P914" s="1"/>
      <c r="Q914" s="1"/>
      <c r="R914" s="1"/>
      <c r="S914" s="1"/>
      <c r="T914" s="1"/>
      <c r="U914" s="1"/>
      <c r="V914" s="1"/>
      <c r="W914" s="1"/>
      <c r="X914" s="1"/>
      <c r="Y914" s="1"/>
      <c r="Z914" s="1"/>
    </row>
    <row r="915" spans="1:26" ht="33.75" customHeight="1">
      <c r="A915" s="1">
        <v>1768</v>
      </c>
      <c r="B915" s="1" t="s">
        <v>2698</v>
      </c>
      <c r="C915" s="1" t="s">
        <v>1814</v>
      </c>
      <c r="D915" s="4">
        <v>39873.561805555553</v>
      </c>
      <c r="E915" s="1" t="s">
        <v>772</v>
      </c>
      <c r="F915" s="1"/>
      <c r="G915" s="5" t="s">
        <v>64</v>
      </c>
      <c r="H915" s="5" t="s">
        <v>375</v>
      </c>
      <c r="I915" s="1" t="s">
        <v>900</v>
      </c>
      <c r="J915" s="1"/>
      <c r="K915" s="1"/>
      <c r="L915" s="2" t="s">
        <v>2699</v>
      </c>
      <c r="M915" s="1"/>
      <c r="N915" s="1"/>
      <c r="O915" s="1"/>
      <c r="P915" s="1"/>
      <c r="Q915" s="1"/>
      <c r="R915" s="1"/>
      <c r="S915" s="1"/>
      <c r="T915" s="1"/>
      <c r="U915" s="1"/>
      <c r="V915" s="1"/>
      <c r="W915" s="1"/>
      <c r="X915" s="1"/>
      <c r="Y915" s="1"/>
      <c r="Z915" s="1"/>
    </row>
    <row r="916" spans="1:26" ht="33.75" customHeight="1">
      <c r="A916" s="1">
        <v>1769</v>
      </c>
      <c r="B916" s="1" t="s">
        <v>2700</v>
      </c>
      <c r="C916" s="1" t="s">
        <v>1814</v>
      </c>
      <c r="D916" s="4">
        <v>39873.674305555556</v>
      </c>
      <c r="E916" s="1" t="s">
        <v>54</v>
      </c>
      <c r="F916" s="1" t="s">
        <v>2698</v>
      </c>
      <c r="G916" s="5" t="s">
        <v>33</v>
      </c>
      <c r="H916" s="5" t="s">
        <v>34</v>
      </c>
      <c r="I916" s="1" t="s">
        <v>1605</v>
      </c>
      <c r="J916" s="1"/>
      <c r="K916" s="1"/>
      <c r="L916" s="2" t="s">
        <v>2701</v>
      </c>
      <c r="M916" s="1"/>
      <c r="N916" s="1"/>
      <c r="O916" s="1"/>
      <c r="P916" s="1"/>
      <c r="Q916" s="1"/>
      <c r="R916" s="1"/>
      <c r="S916" s="1"/>
      <c r="T916" s="1"/>
      <c r="U916" s="1"/>
      <c r="V916" s="1"/>
      <c r="W916" s="1"/>
      <c r="X916" s="1"/>
      <c r="Y916" s="1"/>
      <c r="Z916" s="1"/>
    </row>
    <row r="917" spans="1:26" ht="33.75" customHeight="1">
      <c r="A917" s="1">
        <v>964</v>
      </c>
      <c r="B917" s="1" t="s">
        <v>2702</v>
      </c>
      <c r="C917" s="1" t="s">
        <v>2335</v>
      </c>
      <c r="D917" s="4">
        <v>39873.725694444445</v>
      </c>
      <c r="E917" s="1" t="s">
        <v>320</v>
      </c>
      <c r="F917" s="1" t="s">
        <v>2703</v>
      </c>
      <c r="G917" s="5" t="s">
        <v>26</v>
      </c>
      <c r="H917" s="5" t="s">
        <v>27</v>
      </c>
      <c r="I917" s="1" t="s">
        <v>28</v>
      </c>
      <c r="J917" s="1" t="s">
        <v>29</v>
      </c>
      <c r="K917" s="1" t="s">
        <v>2704</v>
      </c>
      <c r="L917" s="2" t="s">
        <v>2705</v>
      </c>
      <c r="M917" s="1"/>
      <c r="N917" s="1"/>
      <c r="O917" s="1"/>
      <c r="P917" s="1"/>
      <c r="Q917" s="1"/>
      <c r="R917" s="1"/>
      <c r="S917" s="1"/>
      <c r="T917" s="1"/>
      <c r="U917" s="1"/>
      <c r="V917" s="1"/>
      <c r="W917" s="1"/>
      <c r="X917" s="1"/>
      <c r="Y917" s="1"/>
      <c r="Z917" s="1"/>
    </row>
    <row r="918" spans="1:26" ht="33.75" customHeight="1">
      <c r="A918" s="1">
        <v>965</v>
      </c>
      <c r="B918" s="1" t="s">
        <v>2706</v>
      </c>
      <c r="C918" s="1" t="s">
        <v>2335</v>
      </c>
      <c r="D918" s="4">
        <v>39873.728472222225</v>
      </c>
      <c r="E918" s="1" t="s">
        <v>320</v>
      </c>
      <c r="F918" s="1">
        <v>828</v>
      </c>
      <c r="G918" s="5" t="s">
        <v>26</v>
      </c>
      <c r="H918" s="5" t="s">
        <v>133</v>
      </c>
      <c r="I918" s="1" t="s">
        <v>28</v>
      </c>
      <c r="J918" s="1" t="s">
        <v>134</v>
      </c>
      <c r="K918" s="1"/>
      <c r="L918" s="2" t="s">
        <v>2707</v>
      </c>
      <c r="M918" s="1"/>
      <c r="N918" s="1"/>
      <c r="O918" s="1"/>
      <c r="P918" s="1"/>
      <c r="Q918" s="1"/>
      <c r="R918" s="1"/>
      <c r="S918" s="1"/>
      <c r="T918" s="1"/>
      <c r="U918" s="1"/>
      <c r="V918" s="1"/>
      <c r="W918" s="1"/>
      <c r="X918" s="1"/>
      <c r="Y918" s="1"/>
      <c r="Z918" s="1"/>
    </row>
    <row r="919" spans="1:26" ht="33.75" customHeight="1">
      <c r="A919" s="1">
        <v>966</v>
      </c>
      <c r="B919" s="1" t="s">
        <v>2708</v>
      </c>
      <c r="C919" s="1" t="s">
        <v>2335</v>
      </c>
      <c r="D919" s="4">
        <v>39873.748611111114</v>
      </c>
      <c r="E919" s="1" t="s">
        <v>54</v>
      </c>
      <c r="F919" s="1"/>
      <c r="G919" s="5" t="s">
        <v>26</v>
      </c>
      <c r="H919" s="5" t="s">
        <v>27</v>
      </c>
      <c r="I919" s="1" t="s">
        <v>2709</v>
      </c>
      <c r="J919" s="1"/>
      <c r="K919" s="1"/>
      <c r="L919" s="2" t="s">
        <v>2710</v>
      </c>
      <c r="M919" s="1"/>
      <c r="N919" s="1"/>
      <c r="O919" s="1"/>
      <c r="P919" s="1"/>
      <c r="Q919" s="1"/>
      <c r="R919" s="1"/>
      <c r="S919" s="1"/>
      <c r="T919" s="1"/>
      <c r="U919" s="1"/>
      <c r="V919" s="1"/>
      <c r="W919" s="1"/>
      <c r="X919" s="1"/>
      <c r="Y919" s="1"/>
      <c r="Z919" s="1"/>
    </row>
    <row r="920" spans="1:26" ht="33.75" customHeight="1">
      <c r="A920" s="1">
        <v>1770</v>
      </c>
      <c r="B920" s="1" t="s">
        <v>2711</v>
      </c>
      <c r="C920" s="1" t="s">
        <v>1814</v>
      </c>
      <c r="D920" s="4">
        <v>39873.763194444444</v>
      </c>
      <c r="E920" s="1" t="s">
        <v>1089</v>
      </c>
      <c r="F920" s="1"/>
      <c r="G920" s="5" t="s">
        <v>64</v>
      </c>
      <c r="H920" s="1"/>
      <c r="I920" s="1" t="s">
        <v>64</v>
      </c>
      <c r="J920" s="1"/>
      <c r="K920" s="1"/>
      <c r="L920" s="2" t="s">
        <v>2712</v>
      </c>
      <c r="M920" s="1"/>
      <c r="N920" s="1"/>
      <c r="O920" s="1"/>
      <c r="P920" s="1"/>
      <c r="Q920" s="1"/>
      <c r="R920" s="1"/>
      <c r="S920" s="1"/>
      <c r="T920" s="1"/>
      <c r="U920" s="1"/>
      <c r="V920" s="1"/>
      <c r="W920" s="1"/>
      <c r="X920" s="1"/>
      <c r="Y920" s="1"/>
      <c r="Z920" s="1"/>
    </row>
    <row r="921" spans="1:26" ht="33.75" customHeight="1">
      <c r="A921" s="1">
        <v>968</v>
      </c>
      <c r="B921" s="1" t="s">
        <v>2713</v>
      </c>
      <c r="C921" s="1" t="s">
        <v>2335</v>
      </c>
      <c r="D921" s="4">
        <v>39873.79583333333</v>
      </c>
      <c r="E921" s="1" t="s">
        <v>196</v>
      </c>
      <c r="F921" s="1">
        <v>842</v>
      </c>
      <c r="G921" s="5" t="s">
        <v>64</v>
      </c>
      <c r="H921" s="1"/>
      <c r="I921" s="1" t="s">
        <v>64</v>
      </c>
      <c r="J921" s="1"/>
      <c r="K921" s="1"/>
      <c r="L921" s="2" t="s">
        <v>2714</v>
      </c>
      <c r="M921" s="1"/>
      <c r="N921" s="1"/>
      <c r="O921" s="1"/>
      <c r="P921" s="1"/>
      <c r="Q921" s="1"/>
      <c r="R921" s="1"/>
      <c r="S921" s="1"/>
      <c r="T921" s="1"/>
      <c r="U921" s="1"/>
      <c r="V921" s="1"/>
      <c r="W921" s="1"/>
      <c r="X921" s="1"/>
      <c r="Y921" s="1"/>
      <c r="Z921" s="1"/>
    </row>
    <row r="922" spans="1:26" ht="33.75" customHeight="1">
      <c r="A922" s="1">
        <v>969</v>
      </c>
      <c r="B922" s="1" t="s">
        <v>2715</v>
      </c>
      <c r="C922" s="1" t="s">
        <v>2335</v>
      </c>
      <c r="D922" s="4">
        <v>39873.799305555556</v>
      </c>
      <c r="E922" s="1" t="s">
        <v>196</v>
      </c>
      <c r="F922" s="1" t="s">
        <v>2713</v>
      </c>
      <c r="G922" s="5" t="s">
        <v>64</v>
      </c>
      <c r="H922" s="5" t="s">
        <v>179</v>
      </c>
      <c r="I922" s="1" t="s">
        <v>179</v>
      </c>
      <c r="J922" s="1"/>
      <c r="K922" s="1"/>
      <c r="L922" s="2" t="s">
        <v>2716</v>
      </c>
      <c r="M922" s="1"/>
      <c r="N922" s="1"/>
      <c r="O922" s="1"/>
      <c r="P922" s="1"/>
      <c r="Q922" s="1"/>
      <c r="R922" s="1"/>
      <c r="S922" s="1"/>
      <c r="T922" s="1"/>
      <c r="U922" s="1"/>
      <c r="V922" s="1"/>
      <c r="W922" s="1"/>
      <c r="X922" s="1"/>
      <c r="Y922" s="1"/>
      <c r="Z922" s="1"/>
    </row>
    <row r="923" spans="1:26" ht="33.75" customHeight="1">
      <c r="A923" s="1">
        <v>970</v>
      </c>
      <c r="B923" s="1" t="s">
        <v>2717</v>
      </c>
      <c r="C923" s="1" t="s">
        <v>2335</v>
      </c>
      <c r="D923" s="4">
        <v>39873.80972222222</v>
      </c>
      <c r="E923" s="1" t="s">
        <v>196</v>
      </c>
      <c r="F923" s="1" t="s">
        <v>2713</v>
      </c>
      <c r="G923" s="5" t="s">
        <v>64</v>
      </c>
      <c r="H923" s="5" t="s">
        <v>282</v>
      </c>
      <c r="I923" s="1" t="s">
        <v>283</v>
      </c>
      <c r="J923" s="1"/>
      <c r="K923" s="1"/>
      <c r="L923" s="2" t="s">
        <v>2718</v>
      </c>
      <c r="M923" s="1"/>
      <c r="N923" s="1"/>
      <c r="O923" s="1"/>
      <c r="P923" s="1"/>
      <c r="Q923" s="1"/>
      <c r="R923" s="1"/>
      <c r="S923" s="1"/>
      <c r="T923" s="1"/>
      <c r="U923" s="1"/>
      <c r="V923" s="1"/>
      <c r="W923" s="1"/>
      <c r="X923" s="1"/>
      <c r="Y923" s="1"/>
      <c r="Z923" s="1"/>
    </row>
    <row r="924" spans="1:26" ht="33.75" customHeight="1">
      <c r="A924" s="1">
        <v>971</v>
      </c>
      <c r="B924" s="1" t="s">
        <v>2719</v>
      </c>
      <c r="C924" s="1" t="s">
        <v>2335</v>
      </c>
      <c r="D924" s="4">
        <v>39873.811805555553</v>
      </c>
      <c r="E924" s="1" t="s">
        <v>196</v>
      </c>
      <c r="F924" s="1" t="s">
        <v>2717</v>
      </c>
      <c r="G924" s="5" t="s">
        <v>64</v>
      </c>
      <c r="H924" s="5" t="s">
        <v>179</v>
      </c>
      <c r="I924" s="1" t="s">
        <v>179</v>
      </c>
      <c r="J924" s="1"/>
      <c r="K924" s="1"/>
      <c r="L924" s="2" t="s">
        <v>2720</v>
      </c>
      <c r="M924" s="1"/>
      <c r="N924" s="1"/>
      <c r="O924" s="1"/>
      <c r="P924" s="1"/>
      <c r="Q924" s="1"/>
      <c r="R924" s="1"/>
      <c r="S924" s="1"/>
      <c r="T924" s="1"/>
      <c r="U924" s="1"/>
      <c r="V924" s="1"/>
      <c r="W924" s="1"/>
      <c r="X924" s="1"/>
      <c r="Y924" s="1"/>
      <c r="Z924" s="1"/>
    </row>
    <row r="925" spans="1:26" ht="33.75" customHeight="1">
      <c r="A925" s="1">
        <v>967</v>
      </c>
      <c r="B925" s="1" t="s">
        <v>2721</v>
      </c>
      <c r="C925" s="1" t="s">
        <v>2335</v>
      </c>
      <c r="D925" s="4">
        <v>39873.816666666666</v>
      </c>
      <c r="E925" s="1" t="s">
        <v>320</v>
      </c>
      <c r="F925" s="1" t="s">
        <v>2706</v>
      </c>
      <c r="G925" s="5" t="s">
        <v>26</v>
      </c>
      <c r="H925" s="5" t="s">
        <v>27</v>
      </c>
      <c r="I925" s="1" t="s">
        <v>2382</v>
      </c>
      <c r="J925" s="1"/>
      <c r="K925" s="1" t="s">
        <v>2722</v>
      </c>
      <c r="L925" s="2" t="s">
        <v>2723</v>
      </c>
      <c r="M925" s="1"/>
      <c r="N925" s="1"/>
      <c r="O925" s="1"/>
      <c r="P925" s="1"/>
      <c r="Q925" s="1"/>
      <c r="R925" s="1"/>
      <c r="S925" s="1"/>
      <c r="T925" s="1"/>
      <c r="U925" s="1"/>
      <c r="V925" s="1"/>
      <c r="W925" s="1"/>
      <c r="X925" s="1"/>
      <c r="Y925" s="1"/>
      <c r="Z925" s="1"/>
    </row>
    <row r="926" spans="1:26" ht="33.75" customHeight="1">
      <c r="A926" s="1">
        <v>1771</v>
      </c>
      <c r="B926" s="1" t="s">
        <v>2724</v>
      </c>
      <c r="C926" s="1" t="s">
        <v>1814</v>
      </c>
      <c r="D926" s="4">
        <v>39873.822916666664</v>
      </c>
      <c r="E926" s="1" t="s">
        <v>54</v>
      </c>
      <c r="F926" s="1" t="s">
        <v>2711</v>
      </c>
      <c r="G926" s="5" t="s">
        <v>33</v>
      </c>
      <c r="H926" s="5" t="s">
        <v>34</v>
      </c>
      <c r="I926" s="1" t="s">
        <v>1605</v>
      </c>
      <c r="J926" s="1"/>
      <c r="K926" s="1"/>
      <c r="L926" s="2" t="s">
        <v>2725</v>
      </c>
      <c r="M926" s="1"/>
      <c r="N926" s="1"/>
      <c r="O926" s="1"/>
      <c r="P926" s="1"/>
      <c r="Q926" s="1"/>
      <c r="R926" s="1"/>
      <c r="S926" s="1"/>
      <c r="T926" s="1"/>
      <c r="U926" s="1"/>
      <c r="V926" s="1"/>
      <c r="W926" s="1"/>
      <c r="X926" s="1"/>
      <c r="Y926" s="1"/>
      <c r="Z926" s="1"/>
    </row>
    <row r="927" spans="1:26" ht="33.75" customHeight="1">
      <c r="A927" s="1">
        <v>972</v>
      </c>
      <c r="B927" s="1" t="s">
        <v>2726</v>
      </c>
      <c r="C927" s="1" t="s">
        <v>2335</v>
      </c>
      <c r="D927" s="4">
        <v>39873.830555555556</v>
      </c>
      <c r="E927" s="1" t="s">
        <v>196</v>
      </c>
      <c r="F927" s="1" t="s">
        <v>2717</v>
      </c>
      <c r="G927" s="5" t="s">
        <v>64</v>
      </c>
      <c r="H927" s="5" t="s">
        <v>282</v>
      </c>
      <c r="I927" s="1" t="s">
        <v>283</v>
      </c>
      <c r="J927" s="1"/>
      <c r="K927" s="1"/>
      <c r="L927" s="2" t="s">
        <v>2727</v>
      </c>
      <c r="M927" s="1"/>
      <c r="N927" s="1"/>
      <c r="O927" s="1"/>
      <c r="P927" s="1"/>
      <c r="Q927" s="1"/>
      <c r="R927" s="1"/>
      <c r="S927" s="1"/>
      <c r="T927" s="1"/>
      <c r="U927" s="1"/>
      <c r="V927" s="1"/>
      <c r="W927" s="1"/>
      <c r="X927" s="1"/>
      <c r="Y927" s="1"/>
      <c r="Z927" s="1"/>
    </row>
    <row r="928" spans="1:26" ht="33.75" customHeight="1">
      <c r="A928" s="1">
        <v>973</v>
      </c>
      <c r="B928" s="1" t="s">
        <v>2728</v>
      </c>
      <c r="C928" s="1" t="s">
        <v>2335</v>
      </c>
      <c r="D928" s="4">
        <v>39873.895138888889</v>
      </c>
      <c r="E928" s="1" t="s">
        <v>196</v>
      </c>
      <c r="F928" s="1"/>
      <c r="G928" s="5" t="s">
        <v>64</v>
      </c>
      <c r="H928" s="1" t="s">
        <v>263</v>
      </c>
      <c r="I928" s="1" t="s">
        <v>64</v>
      </c>
      <c r="J928" s="1"/>
      <c r="K928" s="1"/>
      <c r="L928" s="2" t="s">
        <v>2729</v>
      </c>
      <c r="M928" s="1"/>
      <c r="N928" s="1"/>
      <c r="O928" s="1"/>
      <c r="P928" s="1"/>
      <c r="Q928" s="1"/>
      <c r="R928" s="1"/>
      <c r="S928" s="1"/>
      <c r="T928" s="1"/>
      <c r="U928" s="1"/>
      <c r="V928" s="1"/>
      <c r="W928" s="1"/>
      <c r="X928" s="1"/>
      <c r="Y928" s="1"/>
      <c r="Z928" s="1"/>
    </row>
    <row r="929" spans="1:26" ht="33.75" customHeight="1">
      <c r="A929" s="1">
        <v>974</v>
      </c>
      <c r="B929" s="1" t="s">
        <v>2730</v>
      </c>
      <c r="C929" s="1" t="s">
        <v>2335</v>
      </c>
      <c r="D929" s="4">
        <v>39873.945138888892</v>
      </c>
      <c r="E929" s="1" t="s">
        <v>196</v>
      </c>
      <c r="F929" s="1" t="s">
        <v>2728</v>
      </c>
      <c r="G929" s="5" t="s">
        <v>64</v>
      </c>
      <c r="H929" s="1" t="s">
        <v>263</v>
      </c>
      <c r="I929" s="1" t="s">
        <v>64</v>
      </c>
      <c r="J929" s="1"/>
      <c r="K929" s="1"/>
      <c r="L929" s="2" t="s">
        <v>2731</v>
      </c>
      <c r="M929" s="1"/>
      <c r="N929" s="1"/>
      <c r="O929" s="1"/>
      <c r="P929" s="1"/>
      <c r="Q929" s="1"/>
      <c r="R929" s="1"/>
      <c r="S929" s="1"/>
      <c r="T929" s="1"/>
      <c r="U929" s="1"/>
      <c r="V929" s="1"/>
      <c r="W929" s="1"/>
      <c r="X929" s="1"/>
      <c r="Y929" s="1"/>
      <c r="Z929" s="1"/>
    </row>
    <row r="930" spans="1:26" ht="33.75" customHeight="1">
      <c r="A930" s="1">
        <v>11</v>
      </c>
      <c r="B930" s="1" t="s">
        <v>12</v>
      </c>
      <c r="C930" s="1" t="s">
        <v>2636</v>
      </c>
      <c r="D930" s="4">
        <v>39873.984710648147</v>
      </c>
      <c r="E930" s="1" t="s">
        <v>14</v>
      </c>
      <c r="F930" s="1"/>
      <c r="G930" s="5" t="s">
        <v>64</v>
      </c>
      <c r="H930" s="5" t="s">
        <v>65</v>
      </c>
      <c r="I930" s="1" t="s">
        <v>886</v>
      </c>
      <c r="J930" s="1" t="s">
        <v>2732</v>
      </c>
      <c r="K930" s="1" t="s">
        <v>2733</v>
      </c>
      <c r="L930" s="2" t="s">
        <v>2734</v>
      </c>
      <c r="M930" s="1"/>
      <c r="N930" s="1"/>
      <c r="O930" s="1"/>
      <c r="P930" s="1"/>
      <c r="Q930" s="1"/>
      <c r="R930" s="1"/>
      <c r="S930" s="1"/>
      <c r="T930" s="1"/>
      <c r="U930" s="1"/>
      <c r="V930" s="1"/>
      <c r="W930" s="1"/>
      <c r="X930" s="1"/>
      <c r="Y930" s="1"/>
      <c r="Z930" s="1"/>
    </row>
    <row r="931" spans="1:26" ht="33.75" customHeight="1">
      <c r="A931" s="1">
        <v>975</v>
      </c>
      <c r="B931" s="1" t="s">
        <v>2735</v>
      </c>
      <c r="C931" s="1" t="s">
        <v>2335</v>
      </c>
      <c r="D931" s="4">
        <v>39874.012499999997</v>
      </c>
      <c r="E931" s="1" t="s">
        <v>14</v>
      </c>
      <c r="F931" s="1" t="s">
        <v>2736</v>
      </c>
      <c r="G931" s="5" t="s">
        <v>26</v>
      </c>
      <c r="H931" s="5" t="s">
        <v>133</v>
      </c>
      <c r="I931" s="1" t="s">
        <v>28</v>
      </c>
      <c r="J931" s="1" t="s">
        <v>134</v>
      </c>
      <c r="K931" s="1"/>
      <c r="L931" s="2" t="s">
        <v>2737</v>
      </c>
      <c r="M931" s="1"/>
      <c r="N931" s="1"/>
      <c r="O931" s="1"/>
      <c r="P931" s="1"/>
      <c r="Q931" s="1"/>
      <c r="R931" s="1"/>
      <c r="S931" s="1"/>
      <c r="T931" s="1"/>
      <c r="U931" s="1"/>
      <c r="V931" s="1"/>
      <c r="W931" s="1"/>
      <c r="X931" s="1"/>
      <c r="Y931" s="1"/>
      <c r="Z931" s="1"/>
    </row>
    <row r="932" spans="1:26" ht="33.75" customHeight="1">
      <c r="A932" s="1">
        <v>976</v>
      </c>
      <c r="B932" s="1" t="s">
        <v>2738</v>
      </c>
      <c r="C932" s="1" t="s">
        <v>2335</v>
      </c>
      <c r="D932" s="4">
        <v>39874.013194444444</v>
      </c>
      <c r="E932" s="1" t="s">
        <v>14</v>
      </c>
      <c r="F932" s="1" t="s">
        <v>2739</v>
      </c>
      <c r="G932" s="5" t="s">
        <v>64</v>
      </c>
      <c r="H932" s="1" t="s">
        <v>263</v>
      </c>
      <c r="I932" s="1" t="s">
        <v>64</v>
      </c>
      <c r="J932" s="1"/>
      <c r="K932" s="1"/>
      <c r="L932" s="2" t="s">
        <v>2740</v>
      </c>
      <c r="M932" s="1"/>
      <c r="N932" s="1"/>
      <c r="O932" s="1"/>
      <c r="P932" s="1"/>
      <c r="Q932" s="1"/>
      <c r="R932" s="1"/>
      <c r="S932" s="1"/>
      <c r="T932" s="1"/>
      <c r="U932" s="1"/>
      <c r="V932" s="1"/>
      <c r="W932" s="1"/>
      <c r="X932" s="1"/>
      <c r="Y932" s="1"/>
      <c r="Z932" s="1"/>
    </row>
    <row r="933" spans="1:26" ht="33.75" customHeight="1">
      <c r="A933" s="1">
        <v>977</v>
      </c>
      <c r="B933" s="1" t="s">
        <v>2741</v>
      </c>
      <c r="C933" s="1" t="s">
        <v>2335</v>
      </c>
      <c r="D933" s="4">
        <v>39874.013888888891</v>
      </c>
      <c r="E933" s="1" t="s">
        <v>14</v>
      </c>
      <c r="F933" s="1"/>
      <c r="G933" s="6" t="s">
        <v>78</v>
      </c>
      <c r="H933" s="5" t="s">
        <v>197</v>
      </c>
      <c r="I933" s="1" t="s">
        <v>372</v>
      </c>
      <c r="J933" s="1"/>
      <c r="K933" s="1"/>
      <c r="L933" s="2" t="s">
        <v>2742</v>
      </c>
      <c r="M933" s="1"/>
      <c r="N933" s="1"/>
      <c r="O933" s="1"/>
      <c r="P933" s="1"/>
      <c r="Q933" s="1"/>
      <c r="R933" s="1"/>
      <c r="S933" s="1"/>
      <c r="T933" s="1"/>
      <c r="U933" s="1"/>
      <c r="V933" s="1"/>
      <c r="W933" s="1"/>
      <c r="X933" s="1"/>
      <c r="Y933" s="1"/>
      <c r="Z933" s="1"/>
    </row>
    <row r="934" spans="1:26" ht="33.75" customHeight="1">
      <c r="A934" s="1">
        <v>978</v>
      </c>
      <c r="B934" s="1" t="s">
        <v>2743</v>
      </c>
      <c r="C934" s="1" t="s">
        <v>2335</v>
      </c>
      <c r="D934" s="4">
        <v>39874.015277777777</v>
      </c>
      <c r="E934" s="1" t="s">
        <v>14</v>
      </c>
      <c r="F934" s="1"/>
      <c r="G934" s="5" t="s">
        <v>64</v>
      </c>
      <c r="H934" s="5" t="s">
        <v>65</v>
      </c>
      <c r="I934" s="1" t="s">
        <v>886</v>
      </c>
      <c r="J934" s="1"/>
      <c r="K934" s="1"/>
      <c r="L934" s="2" t="s">
        <v>2744</v>
      </c>
      <c r="M934" s="1"/>
      <c r="N934" s="1"/>
      <c r="O934" s="1"/>
      <c r="P934" s="1"/>
      <c r="Q934" s="1"/>
      <c r="R934" s="1"/>
      <c r="S934" s="1"/>
      <c r="T934" s="1"/>
      <c r="U934" s="1"/>
      <c r="V934" s="1"/>
      <c r="W934" s="1"/>
      <c r="X934" s="1"/>
      <c r="Y934" s="1"/>
      <c r="Z934" s="1"/>
    </row>
    <row r="935" spans="1:26" ht="33.75" customHeight="1">
      <c r="A935" s="1">
        <v>979</v>
      </c>
      <c r="B935" s="1" t="s">
        <v>2745</v>
      </c>
      <c r="C935" s="1" t="s">
        <v>2636</v>
      </c>
      <c r="D935" s="4">
        <v>39874.085416666669</v>
      </c>
      <c r="E935" s="1" t="s">
        <v>54</v>
      </c>
      <c r="F935" s="1" t="s">
        <v>2735</v>
      </c>
      <c r="G935" s="5" t="s">
        <v>64</v>
      </c>
      <c r="H935" s="1"/>
      <c r="I935" s="1" t="s">
        <v>64</v>
      </c>
      <c r="J935" s="1" t="s">
        <v>259</v>
      </c>
      <c r="K935" s="1"/>
      <c r="L935" s="2" t="s">
        <v>2746</v>
      </c>
      <c r="M935" s="1"/>
      <c r="N935" s="1"/>
      <c r="O935" s="1"/>
      <c r="P935" s="1"/>
      <c r="Q935" s="1"/>
      <c r="R935" s="1"/>
      <c r="S935" s="1"/>
      <c r="T935" s="1"/>
      <c r="U935" s="1"/>
      <c r="V935" s="1"/>
      <c r="W935" s="1"/>
      <c r="X935" s="1"/>
      <c r="Y935" s="1"/>
      <c r="Z935" s="1"/>
    </row>
    <row r="936" spans="1:26" ht="33.75" customHeight="1">
      <c r="A936" s="1">
        <v>980</v>
      </c>
      <c r="B936" s="1" t="s">
        <v>2747</v>
      </c>
      <c r="C936" s="1" t="s">
        <v>2636</v>
      </c>
      <c r="D936" s="4">
        <v>39874.087500000001</v>
      </c>
      <c r="E936" s="1" t="s">
        <v>54</v>
      </c>
      <c r="F936" s="1" t="s">
        <v>2745</v>
      </c>
      <c r="G936" s="5" t="s">
        <v>15</v>
      </c>
      <c r="H936" s="5" t="s">
        <v>150</v>
      </c>
      <c r="I936" s="1" t="s">
        <v>2382</v>
      </c>
      <c r="J936" s="1"/>
      <c r="K936" s="1"/>
      <c r="L936" s="2" t="s">
        <v>2748</v>
      </c>
      <c r="M936" s="1"/>
      <c r="N936" s="1"/>
      <c r="O936" s="1"/>
      <c r="P936" s="1"/>
      <c r="Q936" s="1"/>
      <c r="R936" s="1"/>
      <c r="S936" s="1"/>
      <c r="T936" s="1"/>
      <c r="U936" s="1"/>
      <c r="V936" s="1"/>
      <c r="W936" s="1"/>
      <c r="X936" s="1"/>
      <c r="Y936" s="1"/>
      <c r="Z936" s="1"/>
    </row>
    <row r="937" spans="1:26" ht="33.75" customHeight="1">
      <c r="A937" s="1">
        <v>982</v>
      </c>
      <c r="B937" s="1" t="s">
        <v>2749</v>
      </c>
      <c r="C937" s="1" t="s">
        <v>2636</v>
      </c>
      <c r="D937" s="4">
        <v>39874.172222222223</v>
      </c>
      <c r="E937" s="1" t="s">
        <v>320</v>
      </c>
      <c r="F937" s="1" t="s">
        <v>2738</v>
      </c>
      <c r="G937" s="5" t="s">
        <v>26</v>
      </c>
      <c r="H937" s="5" t="s">
        <v>27</v>
      </c>
      <c r="I937" s="1" t="s">
        <v>28</v>
      </c>
      <c r="J937" s="1" t="s">
        <v>259</v>
      </c>
      <c r="K937" s="1"/>
      <c r="L937" s="2" t="s">
        <v>2750</v>
      </c>
      <c r="M937" s="1"/>
      <c r="N937" s="1"/>
      <c r="O937" s="1"/>
      <c r="P937" s="1"/>
      <c r="Q937" s="1"/>
      <c r="R937" s="1"/>
      <c r="S937" s="1"/>
      <c r="T937" s="1"/>
      <c r="U937" s="1"/>
      <c r="V937" s="1"/>
      <c r="W937" s="1"/>
      <c r="X937" s="1"/>
      <c r="Y937" s="1"/>
      <c r="Z937" s="1"/>
    </row>
    <row r="938" spans="1:26" ht="33.75" customHeight="1">
      <c r="A938" s="1">
        <v>983</v>
      </c>
      <c r="B938" s="1" t="s">
        <v>2751</v>
      </c>
      <c r="C938" s="1" t="s">
        <v>2636</v>
      </c>
      <c r="D938" s="4">
        <v>39874.261805555558</v>
      </c>
      <c r="E938" s="1" t="s">
        <v>54</v>
      </c>
      <c r="F938" s="1"/>
      <c r="G938" s="5" t="s">
        <v>33</v>
      </c>
      <c r="H938" s="5" t="s">
        <v>34</v>
      </c>
      <c r="I938" s="1" t="s">
        <v>1605</v>
      </c>
      <c r="J938" s="1"/>
      <c r="K938" s="1" t="s">
        <v>2752</v>
      </c>
      <c r="L938" s="2" t="s">
        <v>2753</v>
      </c>
      <c r="M938" s="1"/>
      <c r="N938" s="1"/>
      <c r="O938" s="1"/>
      <c r="P938" s="1"/>
      <c r="Q938" s="1"/>
      <c r="R938" s="1"/>
      <c r="S938" s="1"/>
      <c r="T938" s="1"/>
      <c r="U938" s="1"/>
      <c r="V938" s="1"/>
      <c r="W938" s="1"/>
      <c r="X938" s="1"/>
      <c r="Y938" s="1"/>
      <c r="Z938" s="1"/>
    </row>
    <row r="939" spans="1:26" ht="33.75" customHeight="1">
      <c r="A939" s="1">
        <v>984</v>
      </c>
      <c r="B939" s="1" t="s">
        <v>2754</v>
      </c>
      <c r="C939" s="1" t="s">
        <v>2636</v>
      </c>
      <c r="D939" s="4">
        <v>39874.336805555555</v>
      </c>
      <c r="E939" s="1" t="s">
        <v>54</v>
      </c>
      <c r="F939" s="1"/>
      <c r="G939" s="5" t="s">
        <v>64</v>
      </c>
      <c r="H939" s="1"/>
      <c r="I939" s="1" t="s">
        <v>64</v>
      </c>
      <c r="J939" s="1"/>
      <c r="K939" s="1"/>
      <c r="L939" s="2" t="s">
        <v>2755</v>
      </c>
      <c r="M939" s="1"/>
      <c r="N939" s="1"/>
      <c r="O939" s="1"/>
      <c r="P939" s="1"/>
      <c r="Q939" s="1"/>
      <c r="R939" s="1"/>
      <c r="S939" s="1"/>
      <c r="T939" s="1"/>
      <c r="U939" s="1"/>
      <c r="V939" s="1"/>
      <c r="W939" s="1"/>
      <c r="X939" s="1"/>
      <c r="Y939" s="1"/>
      <c r="Z939" s="1"/>
    </row>
    <row r="940" spans="1:26" ht="33.75" customHeight="1">
      <c r="A940" s="1">
        <v>981</v>
      </c>
      <c r="B940" s="1" t="s">
        <v>2756</v>
      </c>
      <c r="C940" s="1" t="s">
        <v>2636</v>
      </c>
      <c r="D940" s="4">
        <v>39874.37777777778</v>
      </c>
      <c r="E940" s="1" t="s">
        <v>14</v>
      </c>
      <c r="F940" s="1" t="s">
        <v>2745</v>
      </c>
      <c r="G940" s="5" t="s">
        <v>15</v>
      </c>
      <c r="H940" s="5" t="s">
        <v>150</v>
      </c>
      <c r="I940" s="1" t="s">
        <v>2382</v>
      </c>
      <c r="J940" s="1"/>
      <c r="K940" s="1" t="s">
        <v>2611</v>
      </c>
      <c r="L940" s="2" t="s">
        <v>2757</v>
      </c>
      <c r="M940" s="1"/>
      <c r="N940" s="1"/>
      <c r="O940" s="1"/>
      <c r="P940" s="1"/>
      <c r="Q940" s="1"/>
      <c r="R940" s="1"/>
      <c r="S940" s="1"/>
      <c r="T940" s="1"/>
      <c r="U940" s="1"/>
      <c r="V940" s="1"/>
      <c r="W940" s="1"/>
      <c r="X940" s="1"/>
      <c r="Y940" s="1"/>
      <c r="Z940" s="1"/>
    </row>
    <row r="941" spans="1:26" ht="33.75" customHeight="1">
      <c r="A941" s="1">
        <v>985</v>
      </c>
      <c r="B941" s="1" t="s">
        <v>2758</v>
      </c>
      <c r="C941" s="1" t="s">
        <v>2636</v>
      </c>
      <c r="D941" s="4">
        <v>39874.42291666667</v>
      </c>
      <c r="E941" s="1" t="s">
        <v>14</v>
      </c>
      <c r="F941" s="1"/>
      <c r="G941" s="5" t="s">
        <v>64</v>
      </c>
      <c r="H941" s="1"/>
      <c r="I941" s="1" t="s">
        <v>64</v>
      </c>
      <c r="J941" s="1"/>
      <c r="K941" s="1"/>
      <c r="L941" s="2" t="s">
        <v>2759</v>
      </c>
      <c r="M941" s="1"/>
      <c r="N941" s="1"/>
      <c r="O941" s="1"/>
      <c r="P941" s="1"/>
      <c r="Q941" s="1"/>
      <c r="R941" s="1"/>
      <c r="S941" s="1"/>
      <c r="T941" s="1"/>
      <c r="U941" s="1"/>
      <c r="V941" s="1"/>
      <c r="W941" s="1"/>
      <c r="X941" s="1"/>
      <c r="Y941" s="1"/>
      <c r="Z941" s="1"/>
    </row>
    <row r="942" spans="1:26" ht="33.75" customHeight="1">
      <c r="A942" s="1">
        <v>986</v>
      </c>
      <c r="B942" s="1" t="s">
        <v>2760</v>
      </c>
      <c r="C942" s="1" t="s">
        <v>2636</v>
      </c>
      <c r="D942" s="4">
        <v>39874.427777777775</v>
      </c>
      <c r="E942" s="1" t="s">
        <v>14</v>
      </c>
      <c r="F942" s="1"/>
      <c r="G942" s="6" t="s">
        <v>78</v>
      </c>
      <c r="H942" s="5" t="s">
        <v>555</v>
      </c>
      <c r="I942" s="1" t="s">
        <v>166</v>
      </c>
      <c r="J942" s="1"/>
      <c r="K942" s="1" t="s">
        <v>2761</v>
      </c>
      <c r="L942" s="2" t="s">
        <v>2762</v>
      </c>
      <c r="M942" s="1"/>
      <c r="N942" s="1"/>
      <c r="O942" s="1"/>
      <c r="P942" s="1"/>
      <c r="Q942" s="1"/>
      <c r="R942" s="1"/>
      <c r="S942" s="1"/>
      <c r="T942" s="1"/>
      <c r="U942" s="1"/>
      <c r="V942" s="1"/>
      <c r="W942" s="1"/>
      <c r="X942" s="1"/>
      <c r="Y942" s="1"/>
      <c r="Z942" s="1"/>
    </row>
    <row r="943" spans="1:26" ht="33.75" customHeight="1">
      <c r="A943" s="1">
        <v>988</v>
      </c>
      <c r="B943" s="1"/>
      <c r="C943" s="1" t="s">
        <v>2636</v>
      </c>
      <c r="D943" s="4">
        <v>39874.772916666669</v>
      </c>
      <c r="E943" s="1" t="s">
        <v>14</v>
      </c>
      <c r="F943" s="1"/>
      <c r="G943" s="5" t="s">
        <v>26</v>
      </c>
      <c r="H943" s="5" t="s">
        <v>133</v>
      </c>
      <c r="I943" s="1" t="s">
        <v>28</v>
      </c>
      <c r="J943" s="1" t="s">
        <v>134</v>
      </c>
      <c r="K943" s="1" t="s">
        <v>2763</v>
      </c>
      <c r="L943" s="2" t="s">
        <v>2764</v>
      </c>
      <c r="M943" s="1"/>
      <c r="N943" s="1"/>
      <c r="O943" s="1"/>
      <c r="P943" s="1"/>
      <c r="Q943" s="1"/>
      <c r="R943" s="1"/>
      <c r="S943" s="1"/>
      <c r="T943" s="1"/>
      <c r="U943" s="1"/>
      <c r="V943" s="1"/>
      <c r="W943" s="1"/>
      <c r="X943" s="1"/>
      <c r="Y943" s="1"/>
      <c r="Z943" s="1"/>
    </row>
    <row r="944" spans="1:26" ht="33.75" customHeight="1">
      <c r="A944" s="1">
        <v>991</v>
      </c>
      <c r="B944" s="1" t="s">
        <v>2765</v>
      </c>
      <c r="C944" s="1" t="s">
        <v>2636</v>
      </c>
      <c r="D944" s="4">
        <v>39874.779166666667</v>
      </c>
      <c r="E944" s="1" t="s">
        <v>320</v>
      </c>
      <c r="F944" s="1">
        <v>837.2</v>
      </c>
      <c r="G944" s="5" t="s">
        <v>26</v>
      </c>
      <c r="H944" s="5" t="s">
        <v>133</v>
      </c>
      <c r="I944" s="1" t="s">
        <v>28</v>
      </c>
      <c r="J944" s="1" t="s">
        <v>134</v>
      </c>
      <c r="K944" s="1"/>
      <c r="L944" s="2" t="s">
        <v>2766</v>
      </c>
      <c r="M944" s="1"/>
      <c r="N944" s="1"/>
      <c r="O944" s="1"/>
      <c r="P944" s="1"/>
      <c r="Q944" s="1"/>
      <c r="R944" s="1"/>
      <c r="S944" s="1"/>
      <c r="T944" s="1"/>
      <c r="U944" s="1"/>
      <c r="V944" s="1"/>
      <c r="W944" s="1"/>
      <c r="X944" s="1"/>
      <c r="Y944" s="1"/>
      <c r="Z944" s="1"/>
    </row>
    <row r="945" spans="1:26" ht="33.75" customHeight="1">
      <c r="A945" s="1">
        <v>992</v>
      </c>
      <c r="B945" s="1" t="s">
        <v>2767</v>
      </c>
      <c r="C945" s="1" t="s">
        <v>2636</v>
      </c>
      <c r="D945" s="4">
        <v>39874.779861111114</v>
      </c>
      <c r="E945" s="1" t="s">
        <v>320</v>
      </c>
      <c r="F945" s="1" t="s">
        <v>2765</v>
      </c>
      <c r="G945" s="5" t="s">
        <v>64</v>
      </c>
      <c r="H945" s="5" t="s">
        <v>179</v>
      </c>
      <c r="I945" s="1" t="s">
        <v>2382</v>
      </c>
      <c r="J945" s="1"/>
      <c r="K945" s="1"/>
      <c r="L945" s="2" t="s">
        <v>2768</v>
      </c>
      <c r="M945" s="1"/>
      <c r="N945" s="1"/>
      <c r="O945" s="1"/>
      <c r="P945" s="1"/>
      <c r="Q945" s="1"/>
      <c r="R945" s="1"/>
      <c r="S945" s="1"/>
      <c r="T945" s="1"/>
      <c r="U945" s="1"/>
      <c r="V945" s="1"/>
      <c r="W945" s="1"/>
      <c r="X945" s="1"/>
      <c r="Y945" s="1"/>
      <c r="Z945" s="1"/>
    </row>
    <row r="946" spans="1:26" ht="33.75" customHeight="1">
      <c r="A946" s="1">
        <v>989</v>
      </c>
      <c r="B946" s="1" t="s">
        <v>2769</v>
      </c>
      <c r="C946" s="1" t="s">
        <v>2636</v>
      </c>
      <c r="D946" s="4">
        <v>39874.783333333333</v>
      </c>
      <c r="E946" s="1" t="s">
        <v>320</v>
      </c>
      <c r="F946" s="1" t="s">
        <v>2770</v>
      </c>
      <c r="G946" s="6" t="s">
        <v>78</v>
      </c>
      <c r="H946" s="5" t="s">
        <v>79</v>
      </c>
      <c r="I946" s="1" t="s">
        <v>2771</v>
      </c>
      <c r="J946" s="1"/>
      <c r="K946" s="1"/>
      <c r="L946" s="2" t="s">
        <v>2772</v>
      </c>
      <c r="M946" s="1"/>
      <c r="N946" s="1"/>
      <c r="O946" s="1"/>
      <c r="P946" s="1"/>
      <c r="Q946" s="1"/>
      <c r="R946" s="1"/>
      <c r="S946" s="1"/>
      <c r="T946" s="1"/>
      <c r="U946" s="1"/>
      <c r="V946" s="1"/>
      <c r="W946" s="1"/>
      <c r="X946" s="1"/>
      <c r="Y946" s="1"/>
      <c r="Z946" s="1"/>
    </row>
    <row r="947" spans="1:26" ht="33.75" customHeight="1">
      <c r="A947" s="1">
        <v>993</v>
      </c>
      <c r="B947" s="1" t="s">
        <v>2773</v>
      </c>
      <c r="C947" s="1" t="s">
        <v>2636</v>
      </c>
      <c r="D947" s="4">
        <v>39874.821527777778</v>
      </c>
      <c r="E947" s="1" t="s">
        <v>14</v>
      </c>
      <c r="F947" s="1" t="s">
        <v>2769</v>
      </c>
      <c r="G947" s="5" t="s">
        <v>64</v>
      </c>
      <c r="H947" s="1"/>
      <c r="I947" s="1" t="s">
        <v>64</v>
      </c>
      <c r="J947" s="1"/>
      <c r="K947" s="1"/>
      <c r="L947" s="2" t="s">
        <v>2774</v>
      </c>
      <c r="M947" s="1"/>
      <c r="N947" s="1"/>
      <c r="O947" s="1"/>
      <c r="P947" s="1"/>
      <c r="Q947" s="1"/>
      <c r="R947" s="1"/>
      <c r="S947" s="1"/>
      <c r="T947" s="1"/>
      <c r="U947" s="1"/>
      <c r="V947" s="1"/>
      <c r="W947" s="1"/>
      <c r="X947" s="1"/>
      <c r="Y947" s="1"/>
      <c r="Z947" s="1"/>
    </row>
    <row r="948" spans="1:26" ht="33.75" customHeight="1">
      <c r="A948" s="1">
        <v>994</v>
      </c>
      <c r="B948" s="1" t="s">
        <v>2775</v>
      </c>
      <c r="C948" s="1" t="s">
        <v>2636</v>
      </c>
      <c r="D948" s="4">
        <v>39874.857638888891</v>
      </c>
      <c r="E948" s="1" t="s">
        <v>14</v>
      </c>
      <c r="F948" s="1"/>
      <c r="G948" s="5" t="s">
        <v>64</v>
      </c>
      <c r="H948" s="1"/>
      <c r="I948" s="1" t="s">
        <v>64</v>
      </c>
      <c r="J948" s="1"/>
      <c r="K948" s="1"/>
      <c r="L948" s="2" t="s">
        <v>2776</v>
      </c>
      <c r="M948" s="1"/>
      <c r="N948" s="1"/>
      <c r="O948" s="1"/>
      <c r="P948" s="1"/>
      <c r="Q948" s="1"/>
      <c r="R948" s="1"/>
      <c r="S948" s="1"/>
      <c r="T948" s="1"/>
      <c r="U948" s="1"/>
      <c r="V948" s="1"/>
      <c r="W948" s="1"/>
      <c r="X948" s="1"/>
      <c r="Y948" s="1"/>
      <c r="Z948" s="1"/>
    </row>
    <row r="949" spans="1:26" ht="33.75" customHeight="1">
      <c r="A949" s="1">
        <v>995</v>
      </c>
      <c r="B949" s="1" t="s">
        <v>2777</v>
      </c>
      <c r="C949" s="1" t="s">
        <v>2636</v>
      </c>
      <c r="D949" s="4">
        <v>39874.863888888889</v>
      </c>
      <c r="E949" s="1" t="s">
        <v>54</v>
      </c>
      <c r="F949" s="1" t="s">
        <v>2778</v>
      </c>
      <c r="G949" s="5" t="s">
        <v>26</v>
      </c>
      <c r="H949" s="5" t="s">
        <v>27</v>
      </c>
      <c r="I949" s="1" t="s">
        <v>28</v>
      </c>
      <c r="J949" s="1" t="s">
        <v>259</v>
      </c>
      <c r="K949" s="1"/>
      <c r="L949" s="2" t="s">
        <v>2779</v>
      </c>
      <c r="M949" s="1"/>
      <c r="N949" s="1"/>
      <c r="O949" s="1"/>
      <c r="P949" s="1"/>
      <c r="Q949" s="1"/>
      <c r="R949" s="1"/>
      <c r="S949" s="1"/>
      <c r="T949" s="1"/>
      <c r="U949" s="1"/>
      <c r="V949" s="1"/>
      <c r="W949" s="1"/>
      <c r="X949" s="1"/>
      <c r="Y949" s="1"/>
      <c r="Z949" s="1"/>
    </row>
    <row r="950" spans="1:26" ht="33.75" customHeight="1">
      <c r="A950" s="1">
        <v>1008</v>
      </c>
      <c r="B950" s="1" t="s">
        <v>2780</v>
      </c>
      <c r="C950" s="1" t="s">
        <v>2636</v>
      </c>
      <c r="D950" s="4">
        <v>39875.864583333336</v>
      </c>
      <c r="E950" s="1" t="s">
        <v>1528</v>
      </c>
      <c r="F950" s="1">
        <v>862</v>
      </c>
      <c r="G950" s="5" t="s">
        <v>26</v>
      </c>
      <c r="H950" s="5" t="s">
        <v>27</v>
      </c>
      <c r="I950" s="1" t="s">
        <v>28</v>
      </c>
      <c r="J950" s="1" t="s">
        <v>259</v>
      </c>
      <c r="K950" s="1"/>
      <c r="L950" s="2" t="s">
        <v>2781</v>
      </c>
      <c r="M950" s="1"/>
      <c r="N950" s="1"/>
      <c r="O950" s="1"/>
      <c r="P950" s="1"/>
      <c r="Q950" s="1"/>
      <c r="R950" s="1"/>
      <c r="S950" s="1"/>
      <c r="T950" s="1"/>
      <c r="U950" s="1"/>
      <c r="V950" s="1"/>
      <c r="W950" s="1"/>
      <c r="X950" s="1"/>
      <c r="Y950" s="1"/>
      <c r="Z950" s="1"/>
    </row>
    <row r="951" spans="1:26" ht="33.75" customHeight="1">
      <c r="A951" s="1">
        <v>996</v>
      </c>
      <c r="B951" s="1" t="s">
        <v>2782</v>
      </c>
      <c r="C951" s="1" t="s">
        <v>2636</v>
      </c>
      <c r="D951" s="4">
        <v>39874.868750000001</v>
      </c>
      <c r="E951" s="1" t="s">
        <v>54</v>
      </c>
      <c r="F951" s="1" t="s">
        <v>2783</v>
      </c>
      <c r="G951" s="5" t="s">
        <v>64</v>
      </c>
      <c r="H951" s="5" t="s">
        <v>179</v>
      </c>
      <c r="I951" s="1" t="s">
        <v>179</v>
      </c>
      <c r="J951" s="1"/>
      <c r="K951" s="1"/>
      <c r="L951" s="2" t="s">
        <v>2784</v>
      </c>
      <c r="M951" s="1"/>
      <c r="N951" s="1"/>
      <c r="O951" s="1"/>
      <c r="P951" s="1"/>
      <c r="Q951" s="1"/>
      <c r="R951" s="1"/>
      <c r="S951" s="1"/>
      <c r="T951" s="1"/>
      <c r="U951" s="1"/>
      <c r="V951" s="1"/>
      <c r="W951" s="1"/>
      <c r="X951" s="1"/>
      <c r="Y951" s="1"/>
      <c r="Z951" s="1"/>
    </row>
    <row r="952" spans="1:26" ht="33.75" customHeight="1">
      <c r="A952" s="1">
        <v>997</v>
      </c>
      <c r="B952" s="1" t="s">
        <v>2785</v>
      </c>
      <c r="C952" s="1" t="s">
        <v>2636</v>
      </c>
      <c r="D952" s="4">
        <v>39874.873611111114</v>
      </c>
      <c r="E952" s="1" t="s">
        <v>54</v>
      </c>
      <c r="F952" s="1"/>
      <c r="G952" s="5" t="s">
        <v>64</v>
      </c>
      <c r="H952" s="1"/>
      <c r="I952" s="1" t="s">
        <v>64</v>
      </c>
      <c r="J952" s="1"/>
      <c r="K952" s="1"/>
      <c r="L952" s="2" t="s">
        <v>2786</v>
      </c>
      <c r="M952" s="1"/>
      <c r="N952" s="1"/>
      <c r="O952" s="1"/>
      <c r="P952" s="1"/>
      <c r="Q952" s="1"/>
      <c r="R952" s="1"/>
      <c r="S952" s="1"/>
      <c r="T952" s="1"/>
      <c r="U952" s="1"/>
      <c r="V952" s="1"/>
      <c r="W952" s="1"/>
      <c r="X952" s="1"/>
      <c r="Y952" s="1"/>
      <c r="Z952" s="1"/>
    </row>
    <row r="953" spans="1:26" ht="33.75" customHeight="1">
      <c r="A953" s="1">
        <v>998</v>
      </c>
      <c r="B953" s="1" t="s">
        <v>2787</v>
      </c>
      <c r="C953" s="1" t="s">
        <v>2636</v>
      </c>
      <c r="D953" s="4">
        <v>39874.875</v>
      </c>
      <c r="E953" s="1" t="s">
        <v>54</v>
      </c>
      <c r="F953" s="1"/>
      <c r="G953" s="6" t="s">
        <v>78</v>
      </c>
      <c r="H953" s="5" t="s">
        <v>79</v>
      </c>
      <c r="I953" s="1" t="s">
        <v>2788</v>
      </c>
      <c r="J953" s="1"/>
      <c r="K953" s="1"/>
      <c r="L953" s="2" t="s">
        <v>2789</v>
      </c>
      <c r="M953" s="1"/>
      <c r="N953" s="1"/>
      <c r="O953" s="1"/>
      <c r="P953" s="1"/>
      <c r="Q953" s="1"/>
      <c r="R953" s="1"/>
      <c r="S953" s="1"/>
      <c r="T953" s="1"/>
      <c r="U953" s="1"/>
      <c r="V953" s="1"/>
      <c r="W953" s="1"/>
      <c r="X953" s="1"/>
      <c r="Y953" s="1"/>
      <c r="Z953" s="1"/>
    </row>
    <row r="954" spans="1:26" ht="33.75" customHeight="1">
      <c r="A954" s="1">
        <v>987</v>
      </c>
      <c r="B954" s="1" t="s">
        <v>2790</v>
      </c>
      <c r="C954" s="1" t="s">
        <v>2636</v>
      </c>
      <c r="D954" s="4">
        <v>39874.880555555559</v>
      </c>
      <c r="E954" s="1" t="s">
        <v>54</v>
      </c>
      <c r="F954" s="1" t="s">
        <v>2760</v>
      </c>
      <c r="G954" s="6" t="s">
        <v>78</v>
      </c>
      <c r="H954" s="5" t="s">
        <v>79</v>
      </c>
      <c r="I954" s="1" t="s">
        <v>2382</v>
      </c>
      <c r="J954" s="1"/>
      <c r="K954" s="1"/>
      <c r="L954" s="2" t="s">
        <v>2791</v>
      </c>
      <c r="M954" s="1"/>
      <c r="N954" s="1"/>
      <c r="O954" s="1"/>
      <c r="P954" s="1"/>
      <c r="Q954" s="1"/>
      <c r="R954" s="1"/>
      <c r="S954" s="1"/>
      <c r="T954" s="1"/>
      <c r="U954" s="1"/>
      <c r="V954" s="1"/>
      <c r="W954" s="1"/>
      <c r="X954" s="1"/>
      <c r="Y954" s="1"/>
      <c r="Z954" s="1"/>
    </row>
    <row r="955" spans="1:26" ht="33.75" customHeight="1">
      <c r="A955" s="1">
        <v>999</v>
      </c>
      <c r="B955" s="1" t="s">
        <v>2792</v>
      </c>
      <c r="C955" s="1" t="s">
        <v>2636</v>
      </c>
      <c r="D955" s="4">
        <v>39874.943749999999</v>
      </c>
      <c r="E955" s="1" t="s">
        <v>196</v>
      </c>
      <c r="F955" s="1"/>
      <c r="G955" s="5" t="s">
        <v>26</v>
      </c>
      <c r="H955" s="5" t="s">
        <v>133</v>
      </c>
      <c r="I955" s="1" t="s">
        <v>28</v>
      </c>
      <c r="J955" s="1" t="s">
        <v>134</v>
      </c>
      <c r="K955" s="1"/>
      <c r="L955" s="2" t="s">
        <v>2793</v>
      </c>
      <c r="M955" s="1"/>
      <c r="N955" s="1"/>
      <c r="O955" s="1"/>
      <c r="P955" s="1"/>
      <c r="Q955" s="1"/>
      <c r="R955" s="1"/>
      <c r="S955" s="1"/>
      <c r="T955" s="1"/>
      <c r="U955" s="1"/>
      <c r="V955" s="1"/>
      <c r="W955" s="1"/>
      <c r="X955" s="1"/>
      <c r="Y955" s="1"/>
      <c r="Z955" s="1"/>
    </row>
    <row r="956" spans="1:26" ht="33.75" customHeight="1">
      <c r="A956" s="1">
        <v>1000</v>
      </c>
      <c r="B956" s="1" t="s">
        <v>2794</v>
      </c>
      <c r="C956" s="1" t="s">
        <v>2636</v>
      </c>
      <c r="D956" s="4">
        <v>39874.966666666667</v>
      </c>
      <c r="E956" s="1" t="s">
        <v>54</v>
      </c>
      <c r="F956" s="1" t="s">
        <v>2792</v>
      </c>
      <c r="G956" s="5" t="s">
        <v>26</v>
      </c>
      <c r="H956" s="5" t="s">
        <v>27</v>
      </c>
      <c r="I956" s="1" t="s">
        <v>28</v>
      </c>
      <c r="J956" s="1" t="s">
        <v>259</v>
      </c>
      <c r="K956" s="1"/>
      <c r="L956" s="2" t="s">
        <v>2795</v>
      </c>
      <c r="M956" s="1"/>
      <c r="N956" s="1"/>
      <c r="O956" s="1"/>
      <c r="P956" s="1"/>
      <c r="Q956" s="1"/>
      <c r="R956" s="1"/>
      <c r="S956" s="1"/>
      <c r="T956" s="1"/>
      <c r="U956" s="1"/>
      <c r="V956" s="1"/>
      <c r="W956" s="1"/>
      <c r="X956" s="1"/>
      <c r="Y956" s="1"/>
      <c r="Z956" s="1"/>
    </row>
    <row r="957" spans="1:26" ht="33.75" customHeight="1">
      <c r="A957" s="1">
        <v>1001</v>
      </c>
      <c r="B957" s="1" t="s">
        <v>2796</v>
      </c>
      <c r="C957" s="1" t="s">
        <v>2636</v>
      </c>
      <c r="D957" s="4">
        <v>39874.980555555558</v>
      </c>
      <c r="E957" s="1" t="s">
        <v>196</v>
      </c>
      <c r="F957" s="1"/>
      <c r="G957" s="5" t="s">
        <v>26</v>
      </c>
      <c r="H957" s="5" t="s">
        <v>27</v>
      </c>
      <c r="I957" s="1" t="s">
        <v>28</v>
      </c>
      <c r="J957" s="1" t="s">
        <v>259</v>
      </c>
      <c r="K957" s="1"/>
      <c r="L957" s="2" t="s">
        <v>2797</v>
      </c>
      <c r="M957" s="1"/>
      <c r="N957" s="1"/>
      <c r="O957" s="1"/>
      <c r="P957" s="1"/>
      <c r="Q957" s="1"/>
      <c r="R957" s="1"/>
      <c r="S957" s="1"/>
      <c r="T957" s="1"/>
      <c r="U957" s="1"/>
      <c r="V957" s="1"/>
      <c r="W957" s="1"/>
      <c r="X957" s="1"/>
      <c r="Y957" s="1"/>
      <c r="Z957" s="1"/>
    </row>
    <row r="958" spans="1:26" ht="33.75" customHeight="1">
      <c r="A958" s="1">
        <v>1002</v>
      </c>
      <c r="B958" s="1" t="s">
        <v>2798</v>
      </c>
      <c r="C958" s="1" t="s">
        <v>2636</v>
      </c>
      <c r="D958" s="4">
        <v>39875.004166666666</v>
      </c>
      <c r="E958" s="1" t="s">
        <v>14</v>
      </c>
      <c r="F958" s="1"/>
      <c r="G958" s="5" t="s">
        <v>64</v>
      </c>
      <c r="H958" s="1"/>
      <c r="I958" s="1" t="s">
        <v>64</v>
      </c>
      <c r="J958" s="1"/>
      <c r="K958" s="1"/>
      <c r="L958" s="2" t="s">
        <v>2799</v>
      </c>
      <c r="M958" s="1"/>
      <c r="N958" s="1"/>
      <c r="O958" s="1"/>
      <c r="P958" s="1"/>
      <c r="Q958" s="1"/>
      <c r="R958" s="1"/>
      <c r="S958" s="1"/>
      <c r="T958" s="1"/>
      <c r="U958" s="1"/>
      <c r="V958" s="1"/>
      <c r="W958" s="1"/>
      <c r="X958" s="1"/>
      <c r="Y958" s="1"/>
      <c r="Z958" s="1"/>
    </row>
    <row r="959" spans="1:26" ht="33.75" customHeight="1">
      <c r="A959" s="1">
        <v>1003</v>
      </c>
      <c r="B959" s="1" t="s">
        <v>2800</v>
      </c>
      <c r="C959" s="1" t="s">
        <v>2636</v>
      </c>
      <c r="D959" s="4">
        <v>39875.024305555555</v>
      </c>
      <c r="E959" s="1" t="s">
        <v>54</v>
      </c>
      <c r="F959" s="1" t="s">
        <v>2798</v>
      </c>
      <c r="G959" s="5" t="s">
        <v>15</v>
      </c>
      <c r="H959" s="5" t="s">
        <v>55</v>
      </c>
      <c r="I959" s="1" t="s">
        <v>2382</v>
      </c>
      <c r="J959" s="1"/>
      <c r="K959" s="1"/>
      <c r="L959" s="2" t="s">
        <v>2801</v>
      </c>
      <c r="M959" s="1"/>
      <c r="N959" s="1"/>
      <c r="O959" s="1"/>
      <c r="P959" s="1"/>
      <c r="Q959" s="1"/>
      <c r="R959" s="1"/>
      <c r="S959" s="1"/>
      <c r="T959" s="1"/>
      <c r="U959" s="1"/>
      <c r="V959" s="1"/>
      <c r="W959" s="1"/>
      <c r="X959" s="1"/>
      <c r="Y959" s="1"/>
      <c r="Z959" s="1"/>
    </row>
    <row r="960" spans="1:26" ht="33.75" customHeight="1">
      <c r="A960" s="1">
        <v>1004</v>
      </c>
      <c r="B960" s="1" t="s">
        <v>2802</v>
      </c>
      <c r="C960" s="1" t="s">
        <v>2636</v>
      </c>
      <c r="D960" s="4">
        <v>39875.02847222222</v>
      </c>
      <c r="E960" s="1" t="s">
        <v>54</v>
      </c>
      <c r="F960" s="1" t="s">
        <v>2803</v>
      </c>
      <c r="G960" s="5" t="s">
        <v>64</v>
      </c>
      <c r="H960" s="5" t="s">
        <v>263</v>
      </c>
      <c r="I960" s="1" t="s">
        <v>213</v>
      </c>
      <c r="J960" s="1" t="s">
        <v>2493</v>
      </c>
      <c r="K960" s="1"/>
      <c r="L960" s="2" t="s">
        <v>2804</v>
      </c>
      <c r="M960" s="1"/>
      <c r="N960" s="1"/>
      <c r="O960" s="1"/>
      <c r="P960" s="1"/>
      <c r="Q960" s="1"/>
      <c r="R960" s="1"/>
      <c r="S960" s="1"/>
      <c r="T960" s="1"/>
      <c r="U960" s="1"/>
      <c r="V960" s="1"/>
      <c r="W960" s="1"/>
      <c r="X960" s="1"/>
      <c r="Y960" s="1"/>
      <c r="Z960" s="1"/>
    </row>
    <row r="961" spans="1:26" ht="33.75" customHeight="1">
      <c r="A961" s="1">
        <v>1005</v>
      </c>
      <c r="B961" s="1" t="s">
        <v>2805</v>
      </c>
      <c r="C961" s="1" t="s">
        <v>2636</v>
      </c>
      <c r="D961" s="4">
        <v>39875.061111111114</v>
      </c>
      <c r="E961" s="1" t="s">
        <v>14</v>
      </c>
      <c r="F961" s="1"/>
      <c r="G961" s="5" t="s">
        <v>64</v>
      </c>
      <c r="H961" s="1"/>
      <c r="I961" s="1" t="s">
        <v>64</v>
      </c>
      <c r="J961" s="1"/>
      <c r="K961" s="1"/>
      <c r="L961" s="2" t="s">
        <v>2806</v>
      </c>
      <c r="M961" s="1"/>
      <c r="N961" s="1"/>
      <c r="O961" s="1"/>
      <c r="P961" s="1"/>
      <c r="Q961" s="1"/>
      <c r="R961" s="1"/>
      <c r="S961" s="1"/>
      <c r="T961" s="1"/>
      <c r="U961" s="1"/>
      <c r="V961" s="1"/>
      <c r="W961" s="1"/>
      <c r="X961" s="1"/>
      <c r="Y961" s="1"/>
      <c r="Z961" s="1"/>
    </row>
    <row r="962" spans="1:26" ht="33.75" customHeight="1">
      <c r="A962" s="1">
        <v>1772</v>
      </c>
      <c r="B962" s="1" t="s">
        <v>2807</v>
      </c>
      <c r="C962" s="1" t="s">
        <v>1814</v>
      </c>
      <c r="D962" s="4">
        <v>39875.340277777781</v>
      </c>
      <c r="E962" s="1" t="s">
        <v>84</v>
      </c>
      <c r="F962" s="1"/>
      <c r="G962" s="5" t="s">
        <v>64</v>
      </c>
      <c r="H962" s="1"/>
      <c r="I962" s="1" t="s">
        <v>64</v>
      </c>
      <c r="J962" s="1"/>
      <c r="K962" s="1"/>
      <c r="L962" s="2" t="s">
        <v>2808</v>
      </c>
      <c r="M962" s="1"/>
      <c r="N962" s="1"/>
      <c r="O962" s="1"/>
      <c r="P962" s="1"/>
      <c r="Q962" s="1"/>
      <c r="R962" s="1"/>
      <c r="S962" s="1"/>
      <c r="T962" s="1"/>
      <c r="U962" s="1"/>
      <c r="V962" s="1"/>
      <c r="W962" s="1"/>
      <c r="X962" s="1"/>
      <c r="Y962" s="1"/>
      <c r="Z962" s="1"/>
    </row>
    <row r="963" spans="1:26" ht="33.75" customHeight="1">
      <c r="A963" s="1">
        <v>1773</v>
      </c>
      <c r="B963" s="1" t="s">
        <v>2809</v>
      </c>
      <c r="C963" s="1" t="s">
        <v>1814</v>
      </c>
      <c r="D963" s="4">
        <v>39875.570833333331</v>
      </c>
      <c r="E963" s="1" t="s">
        <v>772</v>
      </c>
      <c r="F963" s="1"/>
      <c r="G963" s="5" t="s">
        <v>64</v>
      </c>
      <c r="H963" s="1"/>
      <c r="I963" s="1" t="s">
        <v>64</v>
      </c>
      <c r="J963" s="1"/>
      <c r="K963" s="1"/>
      <c r="L963" s="2" t="s">
        <v>2810</v>
      </c>
      <c r="M963" s="1"/>
      <c r="N963" s="1"/>
      <c r="O963" s="1"/>
      <c r="P963" s="1"/>
      <c r="Q963" s="1"/>
      <c r="R963" s="1"/>
      <c r="S963" s="1"/>
      <c r="T963" s="1"/>
      <c r="U963" s="1"/>
      <c r="V963" s="1"/>
      <c r="W963" s="1"/>
      <c r="X963" s="1"/>
      <c r="Y963" s="1"/>
      <c r="Z963" s="1"/>
    </row>
    <row r="964" spans="1:26" ht="33.75" customHeight="1">
      <c r="A964" s="1">
        <v>1006</v>
      </c>
      <c r="B964" s="1" t="s">
        <v>2811</v>
      </c>
      <c r="C964" s="1" t="s">
        <v>2636</v>
      </c>
      <c r="D964" s="4">
        <v>39875.622916666667</v>
      </c>
      <c r="E964" s="1" t="s">
        <v>14</v>
      </c>
      <c r="F964" s="1" t="s">
        <v>2805</v>
      </c>
      <c r="G964" s="5" t="s">
        <v>26</v>
      </c>
      <c r="H964" s="5" t="s">
        <v>27</v>
      </c>
      <c r="I964" s="1" t="s">
        <v>28</v>
      </c>
      <c r="J964" s="1" t="s">
        <v>29</v>
      </c>
      <c r="K964" s="1"/>
      <c r="L964" s="2" t="s">
        <v>2812</v>
      </c>
      <c r="M964" s="1"/>
      <c r="N964" s="1"/>
      <c r="O964" s="1"/>
      <c r="P964" s="1"/>
      <c r="Q964" s="1"/>
      <c r="R964" s="1"/>
      <c r="S964" s="1"/>
      <c r="T964" s="1"/>
      <c r="U964" s="1"/>
      <c r="V964" s="1"/>
      <c r="W964" s="1"/>
      <c r="X964" s="1"/>
      <c r="Y964" s="1"/>
      <c r="Z964" s="1"/>
    </row>
    <row r="965" spans="1:26" ht="33.75" customHeight="1">
      <c r="A965" s="1">
        <v>1010</v>
      </c>
      <c r="B965" s="1" t="s">
        <v>2813</v>
      </c>
      <c r="C965" s="1" t="s">
        <v>2636</v>
      </c>
      <c r="D965" s="4">
        <v>39876.148611111108</v>
      </c>
      <c r="E965" s="1" t="s">
        <v>1528</v>
      </c>
      <c r="F965" s="1" t="s">
        <v>2780</v>
      </c>
      <c r="G965" s="5" t="s">
        <v>64</v>
      </c>
      <c r="H965" s="5" t="s">
        <v>179</v>
      </c>
      <c r="I965" s="1" t="s">
        <v>2382</v>
      </c>
      <c r="J965" s="1"/>
      <c r="K965" s="1"/>
      <c r="L965" s="2" t="s">
        <v>2814</v>
      </c>
      <c r="M965" s="1"/>
      <c r="N965" s="1"/>
      <c r="O965" s="1"/>
      <c r="P965" s="1"/>
      <c r="Q965" s="1"/>
      <c r="R965" s="1"/>
      <c r="S965" s="1"/>
      <c r="T965" s="1"/>
      <c r="U965" s="1"/>
      <c r="V965" s="1"/>
      <c r="W965" s="1"/>
      <c r="X965" s="1"/>
      <c r="Y965" s="1"/>
      <c r="Z965" s="1"/>
    </row>
    <row r="966" spans="1:26" ht="33.75" customHeight="1">
      <c r="A966" s="1">
        <v>1009</v>
      </c>
      <c r="B966" s="1" t="s">
        <v>2815</v>
      </c>
      <c r="C966" s="1" t="s">
        <v>2636</v>
      </c>
      <c r="D966" s="4">
        <v>39876.019444444442</v>
      </c>
      <c r="E966" s="1" t="s">
        <v>54</v>
      </c>
      <c r="F966" s="1" t="s">
        <v>2816</v>
      </c>
      <c r="G966" s="5" t="s">
        <v>26</v>
      </c>
      <c r="H966" s="5" t="s">
        <v>27</v>
      </c>
      <c r="I966" s="1" t="s">
        <v>28</v>
      </c>
      <c r="J966" s="1" t="s">
        <v>259</v>
      </c>
      <c r="K966" s="1"/>
      <c r="L966" s="2" t="s">
        <v>2817</v>
      </c>
      <c r="M966" s="1"/>
      <c r="N966" s="1"/>
      <c r="O966" s="1"/>
      <c r="P966" s="1"/>
      <c r="Q966" s="1"/>
      <c r="R966" s="1"/>
      <c r="S966" s="1"/>
      <c r="T966" s="1"/>
      <c r="U966" s="1"/>
      <c r="V966" s="1"/>
      <c r="W966" s="1"/>
      <c r="X966" s="1"/>
      <c r="Y966" s="1"/>
      <c r="Z966" s="1"/>
    </row>
    <row r="967" spans="1:26" ht="33.75" customHeight="1">
      <c r="A967" s="1">
        <v>1012</v>
      </c>
      <c r="B967" s="1" t="s">
        <v>2818</v>
      </c>
      <c r="C967" s="1" t="s">
        <v>2636</v>
      </c>
      <c r="D967" s="4">
        <v>39876.070138888892</v>
      </c>
      <c r="E967" s="1" t="s">
        <v>320</v>
      </c>
      <c r="F967" s="1"/>
      <c r="G967" s="5" t="s">
        <v>64</v>
      </c>
      <c r="H967" s="1"/>
      <c r="I967" s="1" t="s">
        <v>64</v>
      </c>
      <c r="J967" s="1"/>
      <c r="K967" s="1"/>
      <c r="L967" s="2" t="s">
        <v>2819</v>
      </c>
      <c r="M967" s="1"/>
      <c r="N967" s="1"/>
      <c r="O967" s="1"/>
      <c r="P967" s="1"/>
      <c r="Q967" s="1"/>
      <c r="R967" s="1"/>
      <c r="S967" s="1"/>
      <c r="T967" s="1"/>
      <c r="U967" s="1"/>
      <c r="V967" s="1"/>
      <c r="W967" s="1"/>
      <c r="X967" s="1"/>
      <c r="Y967" s="1"/>
      <c r="Z967" s="1"/>
    </row>
    <row r="968" spans="1:26" ht="33.75" customHeight="1">
      <c r="A968" s="1">
        <v>1007</v>
      </c>
      <c r="B968" s="1" t="s">
        <v>2820</v>
      </c>
      <c r="C968" s="1" t="s">
        <v>2636</v>
      </c>
      <c r="D968" s="4">
        <v>39876.092361111114</v>
      </c>
      <c r="E968" s="1" t="s">
        <v>14</v>
      </c>
      <c r="F968" s="1" t="s">
        <v>2811</v>
      </c>
      <c r="G968" s="5" t="s">
        <v>15</v>
      </c>
      <c r="H968" s="5" t="s">
        <v>150</v>
      </c>
      <c r="I968" s="1" t="s">
        <v>2382</v>
      </c>
      <c r="J968" s="1"/>
      <c r="K968" s="1"/>
      <c r="L968" s="2" t="s">
        <v>2821</v>
      </c>
      <c r="M968" s="1"/>
      <c r="N968" s="1"/>
      <c r="O968" s="1"/>
      <c r="P968" s="1"/>
      <c r="Q968" s="1"/>
      <c r="R968" s="1"/>
      <c r="S968" s="1"/>
      <c r="T968" s="1"/>
      <c r="U968" s="1"/>
      <c r="V968" s="1"/>
      <c r="W968" s="1"/>
      <c r="X968" s="1"/>
      <c r="Y968" s="1"/>
      <c r="Z968" s="1"/>
    </row>
    <row r="969" spans="1:26" ht="33.75" customHeight="1">
      <c r="A969" s="1">
        <v>1774</v>
      </c>
      <c r="B969" s="1" t="s">
        <v>2822</v>
      </c>
      <c r="C969" s="1" t="s">
        <v>1814</v>
      </c>
      <c r="D969" s="4">
        <v>39876.144444444442</v>
      </c>
      <c r="E969" s="1" t="s">
        <v>1887</v>
      </c>
      <c r="F969" s="1"/>
      <c r="G969" s="5" t="s">
        <v>64</v>
      </c>
      <c r="H969" s="5" t="s">
        <v>375</v>
      </c>
      <c r="I969" s="1" t="s">
        <v>900</v>
      </c>
      <c r="J969" s="1"/>
      <c r="K969" s="1"/>
      <c r="L969" s="2" t="s">
        <v>2823</v>
      </c>
      <c r="M969" s="1"/>
      <c r="N969" s="1"/>
      <c r="O969" s="1"/>
      <c r="P969" s="1"/>
      <c r="Q969" s="1"/>
      <c r="R969" s="1"/>
      <c r="S969" s="1"/>
      <c r="T969" s="1"/>
      <c r="U969" s="1"/>
      <c r="V969" s="1"/>
      <c r="W969" s="1"/>
      <c r="X969" s="1"/>
      <c r="Y969" s="1"/>
      <c r="Z969" s="1"/>
    </row>
    <row r="970" spans="1:26" ht="33.75" customHeight="1">
      <c r="A970" s="1">
        <v>1775</v>
      </c>
      <c r="B970" s="1" t="s">
        <v>2824</v>
      </c>
      <c r="C970" s="1" t="s">
        <v>1814</v>
      </c>
      <c r="D970" s="4">
        <v>39876.145138888889</v>
      </c>
      <c r="E970" s="1" t="s">
        <v>1887</v>
      </c>
      <c r="F970" s="1"/>
      <c r="G970" s="5" t="s">
        <v>64</v>
      </c>
      <c r="H970" s="5" t="s">
        <v>375</v>
      </c>
      <c r="I970" s="1" t="s">
        <v>900</v>
      </c>
      <c r="J970" s="1"/>
      <c r="K970" s="1"/>
      <c r="L970" s="2" t="s">
        <v>2825</v>
      </c>
      <c r="M970" s="1"/>
      <c r="N970" s="1"/>
      <c r="O970" s="1"/>
      <c r="P970" s="1"/>
      <c r="Q970" s="1"/>
      <c r="R970" s="1"/>
      <c r="S970" s="1"/>
      <c r="T970" s="1"/>
      <c r="U970" s="1"/>
      <c r="V970" s="1"/>
      <c r="W970" s="1"/>
      <c r="X970" s="1"/>
      <c r="Y970" s="1"/>
      <c r="Z970" s="1"/>
    </row>
    <row r="971" spans="1:26" ht="33.75" customHeight="1">
      <c r="A971" s="1">
        <v>1011</v>
      </c>
      <c r="B971" s="1" t="s">
        <v>2826</v>
      </c>
      <c r="C971" s="1" t="s">
        <v>2636</v>
      </c>
      <c r="D971" s="4">
        <v>39876.15</v>
      </c>
      <c r="E971" s="1" t="s">
        <v>1528</v>
      </c>
      <c r="F971" s="1" t="s">
        <v>2780</v>
      </c>
      <c r="G971" s="5" t="s">
        <v>64</v>
      </c>
      <c r="H971" s="5" t="s">
        <v>179</v>
      </c>
      <c r="I971" s="1" t="s">
        <v>2382</v>
      </c>
      <c r="J971" s="1"/>
      <c r="K971" s="1" t="s">
        <v>2827</v>
      </c>
      <c r="L971" s="2" t="s">
        <v>2828</v>
      </c>
      <c r="M971" s="1"/>
      <c r="N971" s="1"/>
      <c r="O971" s="1"/>
      <c r="P971" s="1"/>
      <c r="Q971" s="1"/>
      <c r="R971" s="1"/>
      <c r="S971" s="1"/>
      <c r="T971" s="1"/>
      <c r="U971" s="1"/>
      <c r="V971" s="1"/>
      <c r="W971" s="1"/>
      <c r="X971" s="1"/>
      <c r="Y971" s="1"/>
      <c r="Z971" s="1"/>
    </row>
    <row r="972" spans="1:26" ht="33.75" customHeight="1">
      <c r="A972" s="1">
        <v>1015</v>
      </c>
      <c r="B972" s="1" t="s">
        <v>2829</v>
      </c>
      <c r="C972" s="1" t="s">
        <v>2636</v>
      </c>
      <c r="D972" s="4">
        <v>39876.243055555555</v>
      </c>
      <c r="E972" s="1" t="s">
        <v>1528</v>
      </c>
      <c r="F972" s="1" t="s">
        <v>2818</v>
      </c>
      <c r="G972" s="5" t="s">
        <v>26</v>
      </c>
      <c r="H972" s="5" t="s">
        <v>27</v>
      </c>
      <c r="I972" s="1" t="s">
        <v>2382</v>
      </c>
      <c r="J972" s="1"/>
      <c r="K972" s="1"/>
      <c r="L972" s="2" t="s">
        <v>2830</v>
      </c>
      <c r="M972" s="1"/>
      <c r="N972" s="1"/>
      <c r="O972" s="1"/>
      <c r="P972" s="1"/>
      <c r="Q972" s="1"/>
      <c r="R972" s="1"/>
      <c r="S972" s="1"/>
      <c r="T972" s="1"/>
      <c r="U972" s="1"/>
      <c r="V972" s="1"/>
      <c r="W972" s="1"/>
      <c r="X972" s="1"/>
      <c r="Y972" s="1"/>
      <c r="Z972" s="1"/>
    </row>
    <row r="973" spans="1:26" ht="33.75" customHeight="1">
      <c r="A973" s="1">
        <v>1013</v>
      </c>
      <c r="B973" s="1" t="s">
        <v>2831</v>
      </c>
      <c r="C973" s="1" t="s">
        <v>2636</v>
      </c>
      <c r="D973" s="4">
        <v>39876.197222222225</v>
      </c>
      <c r="E973" s="1" t="s">
        <v>54</v>
      </c>
      <c r="F973" s="1"/>
      <c r="G973" s="5" t="s">
        <v>64</v>
      </c>
      <c r="H973" s="1"/>
      <c r="I973" s="1" t="s">
        <v>64</v>
      </c>
      <c r="J973" s="1"/>
      <c r="K973" s="1"/>
      <c r="L973" s="2" t="s">
        <v>2832</v>
      </c>
      <c r="M973" s="1"/>
      <c r="N973" s="1"/>
      <c r="O973" s="1"/>
      <c r="P973" s="1"/>
      <c r="Q973" s="1"/>
      <c r="R973" s="1"/>
      <c r="S973" s="1"/>
      <c r="T973" s="1"/>
      <c r="U973" s="1"/>
      <c r="V973" s="1"/>
      <c r="W973" s="1"/>
      <c r="X973" s="1"/>
      <c r="Y973" s="1"/>
      <c r="Z973" s="1"/>
    </row>
    <row r="974" spans="1:26" ht="33.75" customHeight="1">
      <c r="A974" s="1">
        <v>1014</v>
      </c>
      <c r="B974" s="1" t="s">
        <v>2833</v>
      </c>
      <c r="C974" s="1" t="s">
        <v>2636</v>
      </c>
      <c r="D974" s="4">
        <v>39876.198611111111</v>
      </c>
      <c r="E974" s="1" t="s">
        <v>54</v>
      </c>
      <c r="F974" s="1" t="s">
        <v>2831</v>
      </c>
      <c r="G974" s="5" t="s">
        <v>64</v>
      </c>
      <c r="H974" s="5" t="s">
        <v>282</v>
      </c>
      <c r="I974" s="1" t="s">
        <v>283</v>
      </c>
      <c r="J974" s="1"/>
      <c r="K974" s="1"/>
      <c r="L974" s="2" t="s">
        <v>2834</v>
      </c>
      <c r="M974" s="1"/>
      <c r="N974" s="1"/>
      <c r="O974" s="1"/>
      <c r="P974" s="1"/>
      <c r="Q974" s="1"/>
      <c r="R974" s="1"/>
      <c r="S974" s="1"/>
      <c r="T974" s="1"/>
      <c r="U974" s="1"/>
      <c r="V974" s="1"/>
      <c r="W974" s="1"/>
      <c r="X974" s="1"/>
      <c r="Y974" s="1"/>
      <c r="Z974" s="1"/>
    </row>
    <row r="975" spans="1:26" ht="33.75" customHeight="1">
      <c r="A975" s="1">
        <v>1016</v>
      </c>
      <c r="B975" s="1" t="s">
        <v>2835</v>
      </c>
      <c r="C975" s="1" t="s">
        <v>2636</v>
      </c>
      <c r="D975" s="4">
        <v>39876.21597222222</v>
      </c>
      <c r="E975" s="1" t="s">
        <v>54</v>
      </c>
      <c r="F975" s="1"/>
      <c r="G975" s="5" t="s">
        <v>64</v>
      </c>
      <c r="H975" s="1"/>
      <c r="I975" s="1" t="s">
        <v>64</v>
      </c>
      <c r="J975" s="1"/>
      <c r="K975" s="1"/>
      <c r="L975" s="2" t="s">
        <v>2836</v>
      </c>
      <c r="M975" s="1"/>
      <c r="N975" s="1"/>
      <c r="O975" s="1"/>
      <c r="P975" s="1"/>
      <c r="Q975" s="1"/>
      <c r="R975" s="1"/>
      <c r="S975" s="1"/>
      <c r="T975" s="1"/>
      <c r="U975" s="1"/>
      <c r="V975" s="1"/>
      <c r="W975" s="1"/>
      <c r="X975" s="1"/>
      <c r="Y975" s="1"/>
      <c r="Z975" s="1"/>
    </row>
    <row r="976" spans="1:26" ht="33.75" customHeight="1">
      <c r="A976" s="1">
        <v>1018</v>
      </c>
      <c r="B976" s="1" t="s">
        <v>2837</v>
      </c>
      <c r="C976" s="1" t="s">
        <v>2636</v>
      </c>
      <c r="D976" s="4">
        <v>39876.818749999999</v>
      </c>
      <c r="E976" s="1" t="s">
        <v>1528</v>
      </c>
      <c r="F976" s="1" t="s">
        <v>2835</v>
      </c>
      <c r="G976" s="5" t="s">
        <v>15</v>
      </c>
      <c r="H976" s="5" t="s">
        <v>150</v>
      </c>
      <c r="I976" s="1" t="s">
        <v>2382</v>
      </c>
      <c r="J976" s="1"/>
      <c r="K976" s="1" t="s">
        <v>2650</v>
      </c>
      <c r="L976" s="2" t="s">
        <v>2838</v>
      </c>
      <c r="M976" s="1"/>
      <c r="N976" s="1"/>
      <c r="O976" s="1"/>
      <c r="P976" s="1"/>
      <c r="Q976" s="1"/>
      <c r="R976" s="1"/>
      <c r="S976" s="1"/>
      <c r="T976" s="1"/>
      <c r="U976" s="1"/>
      <c r="V976" s="1"/>
      <c r="W976" s="1"/>
      <c r="X976" s="1"/>
      <c r="Y976" s="1"/>
      <c r="Z976" s="1"/>
    </row>
    <row r="977" spans="1:26" ht="33.75" customHeight="1">
      <c r="A977" s="1">
        <v>1776</v>
      </c>
      <c r="B977" s="1" t="s">
        <v>2839</v>
      </c>
      <c r="C977" s="1" t="s">
        <v>1814</v>
      </c>
      <c r="D977" s="4">
        <v>39876.279166666667</v>
      </c>
      <c r="E977" s="1" t="s">
        <v>84</v>
      </c>
      <c r="F977" s="1"/>
      <c r="G977" s="1" t="s">
        <v>64</v>
      </c>
      <c r="H977" s="1" t="s">
        <v>263</v>
      </c>
      <c r="I977" s="1" t="s">
        <v>2840</v>
      </c>
      <c r="J977" s="1"/>
      <c r="K977" s="1" t="s">
        <v>2841</v>
      </c>
      <c r="L977" s="2" t="s">
        <v>2842</v>
      </c>
      <c r="M977" s="1"/>
      <c r="N977" s="1"/>
      <c r="O977" s="1"/>
      <c r="P977" s="1"/>
      <c r="Q977" s="1"/>
      <c r="R977" s="1"/>
      <c r="S977" s="1"/>
      <c r="T977" s="1"/>
      <c r="U977" s="1"/>
      <c r="V977" s="1"/>
      <c r="W977" s="1"/>
      <c r="X977" s="1"/>
      <c r="Y977" s="1"/>
      <c r="Z977" s="1"/>
    </row>
    <row r="978" spans="1:26" ht="33.75" customHeight="1">
      <c r="A978" s="1">
        <v>1777</v>
      </c>
      <c r="B978" s="1" t="s">
        <v>2843</v>
      </c>
      <c r="C978" s="1" t="s">
        <v>1814</v>
      </c>
      <c r="D978" s="4">
        <v>39876.35</v>
      </c>
      <c r="E978" s="1" t="s">
        <v>2844</v>
      </c>
      <c r="F978" s="1"/>
      <c r="G978" s="1" t="s">
        <v>64</v>
      </c>
      <c r="H978" s="1" t="s">
        <v>263</v>
      </c>
      <c r="I978" s="1" t="s">
        <v>2840</v>
      </c>
      <c r="J978" s="1"/>
      <c r="K978" s="1" t="s">
        <v>2845</v>
      </c>
      <c r="L978" s="2" t="s">
        <v>2846</v>
      </c>
      <c r="M978" s="1"/>
      <c r="N978" s="1"/>
      <c r="O978" s="1"/>
      <c r="P978" s="1"/>
      <c r="Q978" s="1"/>
      <c r="R978" s="1"/>
      <c r="S978" s="1"/>
      <c r="T978" s="1"/>
      <c r="U978" s="1"/>
      <c r="V978" s="1"/>
      <c r="W978" s="1"/>
      <c r="X978" s="1"/>
      <c r="Y978" s="1"/>
      <c r="Z978" s="1"/>
    </row>
    <row r="979" spans="1:26" ht="33.75" customHeight="1">
      <c r="A979" s="1">
        <v>1778</v>
      </c>
      <c r="B979" s="1" t="s">
        <v>2847</v>
      </c>
      <c r="C979" s="1" t="s">
        <v>1814</v>
      </c>
      <c r="D979" s="4">
        <v>39876.388888888891</v>
      </c>
      <c r="E979" s="1" t="s">
        <v>84</v>
      </c>
      <c r="F979" s="1" t="s">
        <v>2848</v>
      </c>
      <c r="G979" s="5" t="s">
        <v>64</v>
      </c>
      <c r="H979" s="1"/>
      <c r="I979" s="1" t="s">
        <v>64</v>
      </c>
      <c r="J979" s="1"/>
      <c r="K979" s="1"/>
      <c r="L979" s="2" t="s">
        <v>2849</v>
      </c>
      <c r="M979" s="1"/>
      <c r="N979" s="1"/>
      <c r="O979" s="1"/>
      <c r="P979" s="1"/>
      <c r="Q979" s="1"/>
      <c r="R979" s="1"/>
      <c r="S979" s="1"/>
      <c r="T979" s="1"/>
      <c r="U979" s="1"/>
      <c r="V979" s="1"/>
      <c r="W979" s="1"/>
      <c r="X979" s="1"/>
      <c r="Y979" s="1"/>
      <c r="Z979" s="1"/>
    </row>
    <row r="980" spans="1:26" ht="33.75" customHeight="1">
      <c r="A980" s="1">
        <v>1779</v>
      </c>
      <c r="B980" s="1" t="s">
        <v>2850</v>
      </c>
      <c r="C980" s="1" t="s">
        <v>1814</v>
      </c>
      <c r="D980" s="4">
        <v>39876.399305555555</v>
      </c>
      <c r="E980" s="1" t="s">
        <v>54</v>
      </c>
      <c r="F980" s="1" t="s">
        <v>2851</v>
      </c>
      <c r="G980" s="5" t="s">
        <v>64</v>
      </c>
      <c r="H980" s="1"/>
      <c r="I980" s="1" t="s">
        <v>64</v>
      </c>
      <c r="J980" s="1"/>
      <c r="K980" s="1"/>
      <c r="L980" s="2" t="s">
        <v>2852</v>
      </c>
      <c r="M980" s="1"/>
      <c r="N980" s="1"/>
      <c r="O980" s="1"/>
      <c r="P980" s="1"/>
      <c r="Q980" s="1"/>
      <c r="R980" s="1"/>
      <c r="S980" s="1"/>
      <c r="T980" s="1"/>
      <c r="U980" s="1"/>
      <c r="V980" s="1"/>
      <c r="W980" s="1"/>
      <c r="X980" s="1"/>
      <c r="Y980" s="1"/>
      <c r="Z980" s="1"/>
    </row>
    <row r="981" spans="1:26" ht="33.75" customHeight="1">
      <c r="A981" s="1">
        <v>1780</v>
      </c>
      <c r="B981" s="1" t="s">
        <v>2853</v>
      </c>
      <c r="C981" s="1" t="s">
        <v>1814</v>
      </c>
      <c r="D981" s="4">
        <v>39876.406944444447</v>
      </c>
      <c r="E981" s="1" t="s">
        <v>1887</v>
      </c>
      <c r="F981" s="1"/>
      <c r="G981" s="5" t="s">
        <v>64</v>
      </c>
      <c r="H981" s="1"/>
      <c r="I981" s="1" t="s">
        <v>64</v>
      </c>
      <c r="J981" s="1"/>
      <c r="K981" s="1"/>
      <c r="L981" s="2" t="s">
        <v>2854</v>
      </c>
      <c r="M981" s="1"/>
      <c r="N981" s="1"/>
      <c r="O981" s="1"/>
      <c r="P981" s="1"/>
      <c r="Q981" s="1"/>
      <c r="R981" s="1"/>
      <c r="S981" s="1"/>
      <c r="T981" s="1"/>
      <c r="U981" s="1"/>
      <c r="V981" s="1"/>
      <c r="W981" s="1"/>
      <c r="X981" s="1"/>
      <c r="Y981" s="1"/>
      <c r="Z981" s="1"/>
    </row>
    <row r="982" spans="1:26" ht="33.75" customHeight="1">
      <c r="A982" s="1">
        <v>1781</v>
      </c>
      <c r="B982" s="1" t="s">
        <v>2855</v>
      </c>
      <c r="C982" s="1" t="s">
        <v>1814</v>
      </c>
      <c r="D982" s="4">
        <v>39876.40902777778</v>
      </c>
      <c r="E982" s="1" t="s">
        <v>54</v>
      </c>
      <c r="F982" s="1"/>
      <c r="G982" s="5" t="s">
        <v>64</v>
      </c>
      <c r="H982" s="1"/>
      <c r="I982" s="1" t="s">
        <v>64</v>
      </c>
      <c r="J982" s="1"/>
      <c r="K982" s="1" t="s">
        <v>2856</v>
      </c>
      <c r="L982" s="2" t="s">
        <v>2857</v>
      </c>
      <c r="M982" s="1"/>
      <c r="N982" s="1"/>
      <c r="O982" s="1"/>
      <c r="P982" s="1"/>
      <c r="Q982" s="1"/>
      <c r="R982" s="1"/>
      <c r="S982" s="1"/>
      <c r="T982" s="1"/>
      <c r="U982" s="1"/>
      <c r="V982" s="1"/>
      <c r="W982" s="1"/>
      <c r="X982" s="1"/>
      <c r="Y982" s="1"/>
      <c r="Z982" s="1"/>
    </row>
    <row r="983" spans="1:26" ht="33.75" customHeight="1">
      <c r="A983" s="1">
        <v>1017</v>
      </c>
      <c r="B983" s="1" t="s">
        <v>2858</v>
      </c>
      <c r="C983" s="1" t="s">
        <v>2636</v>
      </c>
      <c r="D983" s="4">
        <v>39876.463194444441</v>
      </c>
      <c r="E983" s="1" t="s">
        <v>14</v>
      </c>
      <c r="F983" s="1" t="s">
        <v>2835</v>
      </c>
      <c r="G983" s="5" t="s">
        <v>15</v>
      </c>
      <c r="H983" s="5" t="s">
        <v>150</v>
      </c>
      <c r="I983" s="1" t="s">
        <v>2382</v>
      </c>
      <c r="J983" s="1"/>
      <c r="K983" s="1"/>
      <c r="L983" s="2" t="s">
        <v>2859</v>
      </c>
      <c r="M983" s="1"/>
      <c r="N983" s="1"/>
      <c r="O983" s="1"/>
      <c r="P983" s="1"/>
      <c r="Q983" s="1"/>
      <c r="R983" s="1"/>
      <c r="S983" s="1"/>
      <c r="T983" s="1"/>
      <c r="U983" s="1"/>
      <c r="V983" s="1"/>
      <c r="W983" s="1"/>
      <c r="X983" s="1"/>
      <c r="Y983" s="1"/>
      <c r="Z983" s="1"/>
    </row>
    <row r="984" spans="1:26" ht="33.75" customHeight="1">
      <c r="A984" s="1">
        <v>1019</v>
      </c>
      <c r="B984" s="1" t="s">
        <v>2860</v>
      </c>
      <c r="C984" s="1" t="s">
        <v>2636</v>
      </c>
      <c r="D984" s="4">
        <v>39876.497916666667</v>
      </c>
      <c r="E984" s="1" t="s">
        <v>14</v>
      </c>
      <c r="F984" s="1">
        <v>863</v>
      </c>
      <c r="G984" s="6" t="s">
        <v>78</v>
      </c>
      <c r="H984" s="5" t="s">
        <v>479</v>
      </c>
      <c r="I984" s="1" t="s">
        <v>2861</v>
      </c>
      <c r="J984" s="1"/>
      <c r="K984" s="1"/>
      <c r="L984" s="2" t="s">
        <v>2862</v>
      </c>
      <c r="M984" s="1"/>
      <c r="N984" s="1"/>
      <c r="O984" s="1"/>
      <c r="P984" s="1"/>
      <c r="Q984" s="1"/>
      <c r="R984" s="1"/>
      <c r="S984" s="1"/>
      <c r="T984" s="1"/>
      <c r="U984" s="1"/>
      <c r="V984" s="1"/>
      <c r="W984" s="1"/>
      <c r="X984" s="1"/>
      <c r="Y984" s="1"/>
      <c r="Z984" s="1"/>
    </row>
    <row r="985" spans="1:26" ht="33.75" customHeight="1">
      <c r="A985" s="1">
        <v>1782</v>
      </c>
      <c r="B985" s="1" t="s">
        <v>2863</v>
      </c>
      <c r="C985" s="1" t="s">
        <v>1814</v>
      </c>
      <c r="D985" s="4">
        <v>39876.503472222219</v>
      </c>
      <c r="E985" s="1" t="s">
        <v>772</v>
      </c>
      <c r="F985" s="1"/>
      <c r="G985" s="5" t="s">
        <v>64</v>
      </c>
      <c r="H985" s="1"/>
      <c r="I985" s="1" t="s">
        <v>64</v>
      </c>
      <c r="J985" s="1"/>
      <c r="K985" s="1"/>
      <c r="L985" s="2" t="s">
        <v>2864</v>
      </c>
      <c r="M985" s="1"/>
      <c r="N985" s="1"/>
      <c r="O985" s="1"/>
      <c r="P985" s="1"/>
      <c r="Q985" s="1"/>
      <c r="R985" s="1"/>
      <c r="S985" s="1"/>
      <c r="T985" s="1"/>
      <c r="U985" s="1"/>
      <c r="V985" s="1"/>
      <c r="W985" s="1"/>
      <c r="X985" s="1"/>
      <c r="Y985" s="1"/>
      <c r="Z985" s="1"/>
    </row>
    <row r="986" spans="1:26" ht="33.75" customHeight="1">
      <c r="A986" s="1">
        <v>1732</v>
      </c>
      <c r="B986" s="1" t="s">
        <v>2865</v>
      </c>
      <c r="C986" s="1" t="s">
        <v>1814</v>
      </c>
      <c r="D986" s="4">
        <v>39876.564583333333</v>
      </c>
      <c r="E986" s="1" t="s">
        <v>54</v>
      </c>
      <c r="F986" s="1" t="s">
        <v>2866</v>
      </c>
      <c r="G986" s="5" t="s">
        <v>64</v>
      </c>
      <c r="H986" s="5" t="s">
        <v>65</v>
      </c>
      <c r="I986" s="1" t="s">
        <v>886</v>
      </c>
      <c r="J986" s="1"/>
      <c r="K986" s="1" t="s">
        <v>2867</v>
      </c>
      <c r="L986" s="2" t="s">
        <v>2868</v>
      </c>
      <c r="M986" s="1"/>
      <c r="N986" s="1"/>
      <c r="O986" s="1"/>
      <c r="P986" s="1"/>
      <c r="Q986" s="1"/>
      <c r="R986" s="1"/>
      <c r="S986" s="1"/>
      <c r="T986" s="1"/>
      <c r="U986" s="1"/>
      <c r="V986" s="1"/>
      <c r="W986" s="1"/>
      <c r="X986" s="1"/>
      <c r="Y986" s="1"/>
      <c r="Z986" s="1"/>
    </row>
    <row r="987" spans="1:26" ht="33.75" customHeight="1">
      <c r="A987" s="1">
        <v>1893</v>
      </c>
      <c r="B987" s="1" t="s">
        <v>2869</v>
      </c>
      <c r="C987" s="1" t="s">
        <v>2870</v>
      </c>
      <c r="D987" s="4">
        <v>39876.568055555559</v>
      </c>
      <c r="E987" s="1" t="s">
        <v>772</v>
      </c>
      <c r="F987" s="1"/>
      <c r="G987" s="5" t="s">
        <v>64</v>
      </c>
      <c r="H987" s="5" t="s">
        <v>263</v>
      </c>
      <c r="I987" s="1" t="s">
        <v>2871</v>
      </c>
      <c r="J987" s="1" t="s">
        <v>2872</v>
      </c>
      <c r="K987" s="1" t="s">
        <v>2873</v>
      </c>
      <c r="L987" s="2" t="s">
        <v>2874</v>
      </c>
      <c r="M987" s="1"/>
      <c r="N987" s="1"/>
      <c r="O987" s="1"/>
      <c r="P987" s="1"/>
      <c r="Q987" s="1"/>
      <c r="R987" s="1"/>
      <c r="S987" s="1"/>
      <c r="T987" s="1"/>
      <c r="U987" s="1"/>
      <c r="V987" s="1"/>
      <c r="W987" s="1"/>
      <c r="X987" s="1"/>
      <c r="Y987" s="1"/>
      <c r="Z987" s="1"/>
    </row>
    <row r="988" spans="1:26" ht="33.75" customHeight="1">
      <c r="A988" s="1">
        <v>1020</v>
      </c>
      <c r="B988" s="1" t="s">
        <v>2875</v>
      </c>
      <c r="C988" s="1" t="s">
        <v>2636</v>
      </c>
      <c r="D988" s="4">
        <v>39876.57708333333</v>
      </c>
      <c r="E988" s="1" t="s">
        <v>14</v>
      </c>
      <c r="F988" s="1"/>
      <c r="G988" s="5" t="s">
        <v>64</v>
      </c>
      <c r="H988" s="1"/>
      <c r="I988" s="1" t="s">
        <v>64</v>
      </c>
      <c r="J988" s="1"/>
      <c r="K988" s="1" t="s">
        <v>2876</v>
      </c>
      <c r="L988" s="2" t="s">
        <v>2877</v>
      </c>
      <c r="M988" s="1"/>
      <c r="N988" s="1"/>
      <c r="O988" s="1"/>
      <c r="P988" s="1"/>
      <c r="Q988" s="1"/>
      <c r="R988" s="1"/>
      <c r="S988" s="1"/>
      <c r="T988" s="1"/>
      <c r="U988" s="1"/>
      <c r="V988" s="1"/>
      <c r="W988" s="1"/>
      <c r="X988" s="1"/>
      <c r="Y988" s="1"/>
      <c r="Z988" s="1"/>
    </row>
    <row r="989" spans="1:26" ht="33.75" customHeight="1">
      <c r="A989" s="1">
        <v>1022</v>
      </c>
      <c r="B989" s="1" t="s">
        <v>2878</v>
      </c>
      <c r="C989" s="1" t="s">
        <v>2636</v>
      </c>
      <c r="D989" s="4">
        <v>39876.675000000003</v>
      </c>
      <c r="E989" s="1" t="s">
        <v>314</v>
      </c>
      <c r="F989" s="1"/>
      <c r="G989" s="5" t="s">
        <v>15</v>
      </c>
      <c r="H989" s="5" t="s">
        <v>150</v>
      </c>
      <c r="I989" s="1" t="s">
        <v>2879</v>
      </c>
      <c r="J989" s="1"/>
      <c r="K989" s="1"/>
      <c r="L989" s="2" t="s">
        <v>2880</v>
      </c>
      <c r="M989" s="1"/>
      <c r="N989" s="1"/>
      <c r="O989" s="1"/>
      <c r="P989" s="1"/>
      <c r="Q989" s="1"/>
      <c r="R989" s="1"/>
      <c r="S989" s="1"/>
      <c r="T989" s="1"/>
      <c r="U989" s="1"/>
      <c r="V989" s="1"/>
      <c r="W989" s="1"/>
      <c r="X989" s="1"/>
      <c r="Y989" s="1"/>
      <c r="Z989" s="1"/>
    </row>
    <row r="990" spans="1:26" ht="33.75" customHeight="1">
      <c r="A990" s="1">
        <v>1894</v>
      </c>
      <c r="B990" s="1" t="s">
        <v>2881</v>
      </c>
      <c r="C990" s="1" t="s">
        <v>2870</v>
      </c>
      <c r="D990" s="4">
        <v>39876.758333333331</v>
      </c>
      <c r="E990" s="1" t="s">
        <v>54</v>
      </c>
      <c r="F990" s="1" t="s">
        <v>2882</v>
      </c>
      <c r="G990" s="5" t="s">
        <v>64</v>
      </c>
      <c r="H990" s="1"/>
      <c r="I990" s="1" t="s">
        <v>64</v>
      </c>
      <c r="J990" s="1"/>
      <c r="K990" s="1"/>
      <c r="L990" s="2" t="s">
        <v>2883</v>
      </c>
      <c r="M990" s="1"/>
      <c r="N990" s="1"/>
      <c r="O990" s="1"/>
      <c r="P990" s="1"/>
      <c r="Q990" s="1"/>
      <c r="R990" s="1"/>
      <c r="S990" s="1"/>
      <c r="T990" s="1"/>
      <c r="U990" s="1"/>
      <c r="V990" s="1"/>
      <c r="W990" s="1"/>
      <c r="X990" s="1"/>
      <c r="Y990" s="1"/>
      <c r="Z990" s="1"/>
    </row>
    <row r="991" spans="1:26" ht="33.75" customHeight="1">
      <c r="A991" s="1">
        <v>1895</v>
      </c>
      <c r="B991" s="1" t="s">
        <v>2884</v>
      </c>
      <c r="C991" s="1" t="s">
        <v>2870</v>
      </c>
      <c r="D991" s="4">
        <v>39876.765277777777</v>
      </c>
      <c r="E991" s="1" t="s">
        <v>54</v>
      </c>
      <c r="F991" s="1"/>
      <c r="G991" s="5" t="s">
        <v>64</v>
      </c>
      <c r="H991" s="1"/>
      <c r="I991" s="1" t="s">
        <v>64</v>
      </c>
      <c r="J991" s="1"/>
      <c r="K991" s="1" t="s">
        <v>2885</v>
      </c>
      <c r="L991" s="2" t="s">
        <v>2886</v>
      </c>
      <c r="M991" s="1"/>
      <c r="N991" s="1"/>
      <c r="O991" s="1"/>
      <c r="P991" s="1"/>
      <c r="Q991" s="1"/>
      <c r="R991" s="1"/>
      <c r="S991" s="1"/>
      <c r="T991" s="1"/>
      <c r="U991" s="1"/>
      <c r="V991" s="1"/>
      <c r="W991" s="1"/>
      <c r="X991" s="1"/>
      <c r="Y991" s="1"/>
      <c r="Z991" s="1"/>
    </row>
    <row r="992" spans="1:26" ht="33.75" customHeight="1">
      <c r="A992" s="1">
        <v>1896</v>
      </c>
      <c r="B992" s="1" t="s">
        <v>2887</v>
      </c>
      <c r="C992" s="1" t="s">
        <v>2870</v>
      </c>
      <c r="D992" s="4">
        <v>39876.813888888886</v>
      </c>
      <c r="E992" s="1" t="s">
        <v>84</v>
      </c>
      <c r="F992" s="1"/>
      <c r="G992" s="5" t="s">
        <v>64</v>
      </c>
      <c r="H992" s="1"/>
      <c r="I992" s="1" t="s">
        <v>64</v>
      </c>
      <c r="J992" s="1"/>
      <c r="K992" s="1"/>
      <c r="L992" s="2" t="s">
        <v>2888</v>
      </c>
      <c r="M992" s="1"/>
      <c r="N992" s="1"/>
      <c r="O992" s="1"/>
      <c r="P992" s="1"/>
      <c r="Q992" s="1"/>
      <c r="R992" s="1"/>
      <c r="S992" s="1"/>
      <c r="T992" s="1"/>
      <c r="U992" s="1"/>
      <c r="V992" s="1"/>
      <c r="W992" s="1"/>
      <c r="X992" s="1"/>
      <c r="Y992" s="1"/>
      <c r="Z992" s="1"/>
    </row>
    <row r="993" spans="1:26" ht="33.75" customHeight="1">
      <c r="A993" s="1">
        <v>1035</v>
      </c>
      <c r="B993" s="1" t="s">
        <v>2889</v>
      </c>
      <c r="C993" s="1" t="s">
        <v>2636</v>
      </c>
      <c r="D993" s="4">
        <v>39879.769444444442</v>
      </c>
      <c r="E993" s="1" t="s">
        <v>1528</v>
      </c>
      <c r="F993" s="1"/>
      <c r="G993" s="5" t="s">
        <v>15</v>
      </c>
      <c r="H993" s="5" t="s">
        <v>150</v>
      </c>
      <c r="I993" s="1" t="s">
        <v>295</v>
      </c>
      <c r="J993" s="1"/>
      <c r="K993" s="1"/>
      <c r="L993" s="2" t="s">
        <v>2890</v>
      </c>
      <c r="M993" s="1"/>
      <c r="N993" s="1"/>
      <c r="O993" s="1"/>
      <c r="P993" s="1"/>
      <c r="Q993" s="1"/>
      <c r="R993" s="1"/>
      <c r="S993" s="1"/>
      <c r="T993" s="1"/>
      <c r="U993" s="1"/>
      <c r="V993" s="1"/>
      <c r="W993" s="1"/>
      <c r="X993" s="1"/>
      <c r="Y993" s="1"/>
      <c r="Z993" s="1"/>
    </row>
    <row r="994" spans="1:26" ht="33.75" customHeight="1">
      <c r="A994" s="1">
        <v>1570</v>
      </c>
      <c r="B994" s="1" t="s">
        <v>12</v>
      </c>
      <c r="C994" s="1" t="s">
        <v>2870</v>
      </c>
      <c r="D994" s="4">
        <v>39876.893900462965</v>
      </c>
      <c r="E994" s="1" t="s">
        <v>175</v>
      </c>
      <c r="F994" s="1"/>
      <c r="G994" s="5" t="s">
        <v>64</v>
      </c>
      <c r="H994" s="5" t="s">
        <v>65</v>
      </c>
      <c r="I994" s="1" t="s">
        <v>886</v>
      </c>
      <c r="J994" s="1"/>
      <c r="K994" s="1"/>
      <c r="L994" s="2" t="s">
        <v>2891</v>
      </c>
      <c r="M994" s="1"/>
      <c r="N994" s="1"/>
      <c r="O994" s="1"/>
      <c r="P994" s="1"/>
      <c r="Q994" s="1"/>
      <c r="R994" s="1"/>
      <c r="S994" s="1"/>
      <c r="T994" s="1"/>
      <c r="U994" s="1"/>
      <c r="V994" s="1"/>
      <c r="W994" s="1"/>
      <c r="X994" s="1"/>
      <c r="Y994" s="1"/>
      <c r="Z994" s="1"/>
    </row>
    <row r="995" spans="1:26" ht="33.75" customHeight="1">
      <c r="A995" s="1">
        <v>1897</v>
      </c>
      <c r="B995" s="1" t="s">
        <v>2892</v>
      </c>
      <c r="C995" s="1" t="s">
        <v>2870</v>
      </c>
      <c r="D995" s="4">
        <v>39876.904861111114</v>
      </c>
      <c r="E995" s="1" t="s">
        <v>2893</v>
      </c>
      <c r="F995" s="1"/>
      <c r="G995" s="5" t="s">
        <v>64</v>
      </c>
      <c r="H995" s="1"/>
      <c r="I995" s="1" t="s">
        <v>64</v>
      </c>
      <c r="J995" s="1"/>
      <c r="K995" s="1"/>
      <c r="L995" s="2" t="s">
        <v>2894</v>
      </c>
      <c r="M995" s="1"/>
      <c r="N995" s="1"/>
      <c r="O995" s="1"/>
      <c r="P995" s="1"/>
      <c r="Q995" s="1"/>
      <c r="R995" s="1"/>
      <c r="S995" s="1"/>
      <c r="T995" s="1"/>
      <c r="U995" s="1"/>
      <c r="V995" s="1"/>
      <c r="W995" s="1"/>
      <c r="X995" s="1"/>
      <c r="Y995" s="1"/>
      <c r="Z995" s="1"/>
    </row>
    <row r="996" spans="1:26" ht="33.75" customHeight="1">
      <c r="A996" s="1">
        <v>1898</v>
      </c>
      <c r="B996" s="1" t="s">
        <v>2895</v>
      </c>
      <c r="C996" s="1" t="s">
        <v>2870</v>
      </c>
      <c r="D996" s="4">
        <v>39876.95416666667</v>
      </c>
      <c r="E996" s="1" t="s">
        <v>54</v>
      </c>
      <c r="F996" s="1" t="s">
        <v>2892</v>
      </c>
      <c r="G996" s="5" t="s">
        <v>64</v>
      </c>
      <c r="H996" s="1"/>
      <c r="I996" s="1" t="s">
        <v>64</v>
      </c>
      <c r="J996" s="1"/>
      <c r="K996" s="1"/>
      <c r="L996" s="2" t="s">
        <v>2896</v>
      </c>
      <c r="M996" s="1"/>
      <c r="N996" s="1"/>
      <c r="O996" s="1"/>
      <c r="P996" s="1"/>
      <c r="Q996" s="1"/>
      <c r="R996" s="1"/>
      <c r="S996" s="1"/>
      <c r="T996" s="1"/>
      <c r="U996" s="1"/>
      <c r="V996" s="1"/>
      <c r="W996" s="1"/>
      <c r="X996" s="1"/>
      <c r="Y996" s="1"/>
      <c r="Z996" s="1"/>
    </row>
    <row r="997" spans="1:26" ht="33.75" customHeight="1">
      <c r="A997" s="1">
        <v>1899</v>
      </c>
      <c r="B997" s="1" t="s">
        <v>2897</v>
      </c>
      <c r="C997" s="1" t="s">
        <v>2870</v>
      </c>
      <c r="D997" s="4">
        <v>39877.317361111112</v>
      </c>
      <c r="E997" s="1" t="s">
        <v>84</v>
      </c>
      <c r="F997" s="1"/>
      <c r="G997" s="5" t="s">
        <v>15</v>
      </c>
      <c r="H997" s="5" t="s">
        <v>22</v>
      </c>
      <c r="I997" s="1" t="s">
        <v>23</v>
      </c>
      <c r="J997" s="1"/>
      <c r="K997" s="1" t="s">
        <v>2898</v>
      </c>
      <c r="L997" s="2" t="s">
        <v>2899</v>
      </c>
      <c r="M997" s="1"/>
      <c r="N997" s="1"/>
      <c r="O997" s="1"/>
      <c r="P997" s="1"/>
      <c r="Q997" s="1"/>
      <c r="R997" s="1"/>
      <c r="S997" s="1"/>
      <c r="T997" s="1"/>
      <c r="U997" s="1"/>
      <c r="V997" s="1"/>
      <c r="W997" s="1"/>
      <c r="X997" s="1"/>
      <c r="Y997" s="1"/>
      <c r="Z997" s="1"/>
    </row>
    <row r="998" spans="1:26" ht="33.75" customHeight="1">
      <c r="A998" s="1">
        <v>1900</v>
      </c>
      <c r="B998" s="1" t="s">
        <v>2900</v>
      </c>
      <c r="C998" s="1" t="s">
        <v>2870</v>
      </c>
      <c r="D998" s="4">
        <v>39877.34652777778</v>
      </c>
      <c r="E998" s="1" t="s">
        <v>1089</v>
      </c>
      <c r="F998" s="1"/>
      <c r="G998" s="5" t="s">
        <v>64</v>
      </c>
      <c r="H998" s="1"/>
      <c r="I998" s="1" t="s">
        <v>64</v>
      </c>
      <c r="J998" s="1"/>
      <c r="K998" s="1"/>
      <c r="L998" s="2" t="s">
        <v>2901</v>
      </c>
      <c r="M998" s="1"/>
      <c r="N998" s="1"/>
      <c r="O998" s="1"/>
      <c r="P998" s="1"/>
      <c r="Q998" s="1"/>
      <c r="R998" s="1"/>
      <c r="S998" s="1"/>
      <c r="T998" s="1"/>
      <c r="U998" s="1"/>
      <c r="V998" s="1"/>
      <c r="W998" s="1"/>
      <c r="X998" s="1"/>
      <c r="Y998" s="1"/>
      <c r="Z998" s="1"/>
    </row>
    <row r="999" spans="1:26" ht="33.75" customHeight="1">
      <c r="A999" s="1">
        <v>1901</v>
      </c>
      <c r="B999" s="1" t="s">
        <v>2902</v>
      </c>
      <c r="C999" s="1" t="s">
        <v>2870</v>
      </c>
      <c r="D999" s="4">
        <v>39877.352083333331</v>
      </c>
      <c r="E999" s="1" t="s">
        <v>2893</v>
      </c>
      <c r="F999" s="1"/>
      <c r="G999" s="5" t="s">
        <v>64</v>
      </c>
      <c r="H999" s="5" t="s">
        <v>375</v>
      </c>
      <c r="I999" s="1" t="s">
        <v>2903</v>
      </c>
      <c r="J999" s="1"/>
      <c r="K999" s="1"/>
      <c r="L999" s="2" t="s">
        <v>2904</v>
      </c>
      <c r="M999" s="1"/>
      <c r="N999" s="1"/>
      <c r="O999" s="1"/>
      <c r="P999" s="1"/>
      <c r="Q999" s="1"/>
      <c r="R999" s="1"/>
      <c r="S999" s="1"/>
      <c r="T999" s="1"/>
      <c r="U999" s="1"/>
      <c r="V999" s="1"/>
      <c r="W999" s="1"/>
      <c r="X999" s="1"/>
      <c r="Y999" s="1"/>
      <c r="Z999" s="1"/>
    </row>
    <row r="1000" spans="1:26" ht="33.75" customHeight="1">
      <c r="A1000" s="1">
        <v>1902</v>
      </c>
      <c r="B1000" s="1" t="s">
        <v>2905</v>
      </c>
      <c r="C1000" s="1" t="s">
        <v>2870</v>
      </c>
      <c r="D1000" s="4">
        <v>39877.365277777775</v>
      </c>
      <c r="E1000" s="1" t="s">
        <v>2893</v>
      </c>
      <c r="F1000" s="1"/>
      <c r="G1000" s="5" t="s">
        <v>64</v>
      </c>
      <c r="H1000" s="5" t="s">
        <v>375</v>
      </c>
      <c r="I1000" s="1" t="s">
        <v>213</v>
      </c>
      <c r="J1000" s="1" t="s">
        <v>2493</v>
      </c>
      <c r="K1000" s="1"/>
      <c r="L1000" s="2" t="s">
        <v>2906</v>
      </c>
      <c r="M1000" s="1"/>
      <c r="N1000" s="1"/>
      <c r="O1000" s="1"/>
      <c r="P1000" s="1"/>
      <c r="Q1000" s="1"/>
      <c r="R1000" s="1"/>
      <c r="S1000" s="1"/>
      <c r="T1000" s="1"/>
      <c r="U1000" s="1"/>
      <c r="V1000" s="1"/>
      <c r="W1000" s="1"/>
      <c r="X1000" s="1"/>
      <c r="Y1000" s="1"/>
      <c r="Z1000" s="1"/>
    </row>
    <row r="1001" spans="1:26" ht="33.75" customHeight="1">
      <c r="A1001" s="1">
        <v>1903</v>
      </c>
      <c r="B1001" s="1" t="s">
        <v>2907</v>
      </c>
      <c r="C1001" s="1" t="s">
        <v>2870</v>
      </c>
      <c r="D1001" s="4">
        <v>39877.371527777781</v>
      </c>
      <c r="E1001" s="1" t="s">
        <v>54</v>
      </c>
      <c r="F1001" s="1" t="s">
        <v>2900</v>
      </c>
      <c r="G1001" s="5" t="s">
        <v>64</v>
      </c>
      <c r="H1001" s="1"/>
      <c r="I1001" s="1" t="s">
        <v>64</v>
      </c>
      <c r="J1001" s="1"/>
      <c r="K1001" s="1"/>
      <c r="L1001" s="2" t="s">
        <v>2908</v>
      </c>
      <c r="M1001" s="1"/>
      <c r="N1001" s="1"/>
      <c r="O1001" s="1"/>
      <c r="P1001" s="1"/>
      <c r="Q1001" s="1"/>
      <c r="R1001" s="1"/>
      <c r="S1001" s="1"/>
      <c r="T1001" s="1"/>
      <c r="U1001" s="1"/>
      <c r="V1001" s="1"/>
      <c r="W1001" s="1"/>
      <c r="X1001" s="1"/>
      <c r="Y1001" s="1"/>
      <c r="Z1001" s="1"/>
    </row>
    <row r="1002" spans="1:26" ht="33.75" customHeight="1">
      <c r="A1002" s="1">
        <v>1904</v>
      </c>
      <c r="B1002" s="1" t="s">
        <v>2909</v>
      </c>
      <c r="C1002" s="1" t="s">
        <v>2870</v>
      </c>
      <c r="D1002" s="4">
        <v>39877.382638888892</v>
      </c>
      <c r="E1002" s="1" t="s">
        <v>2893</v>
      </c>
      <c r="F1002" s="1"/>
      <c r="G1002" s="5" t="s">
        <v>64</v>
      </c>
      <c r="H1002" s="5" t="s">
        <v>263</v>
      </c>
      <c r="I1002" s="1" t="s">
        <v>274</v>
      </c>
      <c r="J1002" s="1"/>
      <c r="K1002" s="1"/>
      <c r="L1002" s="2" t="s">
        <v>2910</v>
      </c>
      <c r="M1002" s="1"/>
      <c r="N1002" s="1"/>
      <c r="O1002" s="1"/>
      <c r="P1002" s="1"/>
      <c r="Q1002" s="1"/>
      <c r="R1002" s="1"/>
      <c r="S1002" s="1"/>
      <c r="T1002" s="1"/>
      <c r="U1002" s="1"/>
      <c r="V1002" s="1"/>
      <c r="W1002" s="1"/>
      <c r="X1002" s="1"/>
      <c r="Y1002" s="1"/>
      <c r="Z1002" s="1"/>
    </row>
    <row r="1003" spans="1:26" ht="33.75" customHeight="1">
      <c r="A1003" s="1">
        <v>1905</v>
      </c>
      <c r="B1003" s="1" t="s">
        <v>2911</v>
      </c>
      <c r="C1003" s="1" t="s">
        <v>2870</v>
      </c>
      <c r="D1003" s="4">
        <v>39877.385416666664</v>
      </c>
      <c r="E1003" s="1" t="s">
        <v>54</v>
      </c>
      <c r="F1003" s="1"/>
      <c r="G1003" s="5" t="s">
        <v>33</v>
      </c>
      <c r="H1003" s="5" t="s">
        <v>34</v>
      </c>
      <c r="I1003" s="1" t="s">
        <v>1605</v>
      </c>
      <c r="J1003" s="1"/>
      <c r="K1003" s="1"/>
      <c r="L1003" s="2" t="s">
        <v>2912</v>
      </c>
      <c r="M1003" s="1"/>
      <c r="N1003" s="1"/>
      <c r="O1003" s="1"/>
      <c r="P1003" s="1"/>
      <c r="Q1003" s="1"/>
      <c r="R1003" s="1"/>
      <c r="S1003" s="1"/>
      <c r="T1003" s="1"/>
      <c r="U1003" s="1"/>
      <c r="V1003" s="1"/>
      <c r="W1003" s="1"/>
      <c r="X1003" s="1"/>
      <c r="Y1003" s="1"/>
      <c r="Z1003" s="1"/>
    </row>
    <row r="1004" spans="1:26" ht="33.75" customHeight="1">
      <c r="A1004" s="1">
        <v>1906</v>
      </c>
      <c r="B1004" s="1" t="s">
        <v>2913</v>
      </c>
      <c r="C1004" s="1" t="s">
        <v>2870</v>
      </c>
      <c r="D1004" s="4">
        <v>39877.387499999997</v>
      </c>
      <c r="E1004" s="1" t="s">
        <v>84</v>
      </c>
      <c r="F1004" s="1" t="s">
        <v>2914</v>
      </c>
      <c r="G1004" s="6" t="s">
        <v>78</v>
      </c>
      <c r="H1004" s="5" t="s">
        <v>870</v>
      </c>
      <c r="I1004" s="1" t="s">
        <v>480</v>
      </c>
      <c r="J1004" s="1" t="s">
        <v>481</v>
      </c>
      <c r="K1004" s="1" t="s">
        <v>1064</v>
      </c>
      <c r="L1004" s="2" t="s">
        <v>2915</v>
      </c>
      <c r="M1004" s="1"/>
      <c r="N1004" s="1"/>
      <c r="O1004" s="1"/>
      <c r="P1004" s="1"/>
      <c r="Q1004" s="1"/>
      <c r="R1004" s="1"/>
      <c r="S1004" s="1"/>
      <c r="T1004" s="1"/>
      <c r="U1004" s="1"/>
      <c r="V1004" s="1"/>
      <c r="W1004" s="1"/>
      <c r="X1004" s="1"/>
      <c r="Y1004" s="1"/>
      <c r="Z1004" s="1"/>
    </row>
    <row r="1005" spans="1:26" ht="33.75" customHeight="1">
      <c r="A1005" s="1">
        <v>1907</v>
      </c>
      <c r="B1005" s="1" t="s">
        <v>2916</v>
      </c>
      <c r="C1005" s="1" t="s">
        <v>2870</v>
      </c>
      <c r="D1005" s="4">
        <v>39877.390277777777</v>
      </c>
      <c r="E1005" s="1" t="s">
        <v>54</v>
      </c>
      <c r="F1005" s="1"/>
      <c r="G1005" s="6" t="s">
        <v>78</v>
      </c>
      <c r="H1005" s="5" t="s">
        <v>223</v>
      </c>
      <c r="I1005" s="1" t="s">
        <v>64</v>
      </c>
      <c r="J1005" s="1" t="s">
        <v>224</v>
      </c>
      <c r="K1005" s="1"/>
      <c r="L1005" s="2" t="s">
        <v>2917</v>
      </c>
      <c r="M1005" s="1"/>
      <c r="N1005" s="1"/>
      <c r="O1005" s="1"/>
      <c r="P1005" s="1"/>
      <c r="Q1005" s="1"/>
      <c r="R1005" s="1"/>
      <c r="S1005" s="1"/>
      <c r="T1005" s="1"/>
      <c r="U1005" s="1"/>
      <c r="V1005" s="1"/>
      <c r="W1005" s="1"/>
      <c r="X1005" s="1"/>
      <c r="Y1005" s="1"/>
      <c r="Z1005" s="1"/>
    </row>
    <row r="1006" spans="1:26" ht="33.75" customHeight="1">
      <c r="A1006" s="1">
        <v>1908</v>
      </c>
      <c r="B1006" s="1" t="s">
        <v>2918</v>
      </c>
      <c r="C1006" s="1" t="s">
        <v>2870</v>
      </c>
      <c r="D1006" s="4">
        <v>39877.486111111109</v>
      </c>
      <c r="E1006" s="1" t="s">
        <v>772</v>
      </c>
      <c r="F1006" s="1"/>
      <c r="G1006" s="5" t="s">
        <v>64</v>
      </c>
      <c r="H1006" s="1"/>
      <c r="I1006" s="1" t="s">
        <v>64</v>
      </c>
      <c r="J1006" s="1"/>
      <c r="K1006" s="1"/>
      <c r="L1006" s="2" t="s">
        <v>2919</v>
      </c>
      <c r="M1006" s="1"/>
      <c r="N1006" s="1"/>
      <c r="O1006" s="1"/>
      <c r="P1006" s="1"/>
      <c r="Q1006" s="1"/>
      <c r="R1006" s="1"/>
      <c r="S1006" s="1"/>
      <c r="T1006" s="1"/>
      <c r="U1006" s="1"/>
      <c r="V1006" s="1"/>
      <c r="W1006" s="1"/>
      <c r="X1006" s="1"/>
      <c r="Y1006" s="1"/>
      <c r="Z1006" s="1"/>
    </row>
    <row r="1007" spans="1:26" ht="33.75" customHeight="1">
      <c r="A1007" s="1">
        <v>1909</v>
      </c>
      <c r="B1007" s="1" t="s">
        <v>2920</v>
      </c>
      <c r="C1007" s="1" t="s">
        <v>2870</v>
      </c>
      <c r="D1007" s="4">
        <v>39877.513888888891</v>
      </c>
      <c r="E1007" s="1" t="s">
        <v>772</v>
      </c>
      <c r="F1007" s="1"/>
      <c r="G1007" s="5" t="s">
        <v>64</v>
      </c>
      <c r="H1007" s="1"/>
      <c r="I1007" s="1" t="s">
        <v>64</v>
      </c>
      <c r="J1007" s="1"/>
      <c r="K1007" s="1"/>
      <c r="L1007" s="2" t="s">
        <v>2921</v>
      </c>
      <c r="M1007" s="1"/>
      <c r="N1007" s="1"/>
      <c r="O1007" s="1"/>
      <c r="P1007" s="1"/>
      <c r="Q1007" s="1"/>
      <c r="R1007" s="1"/>
      <c r="S1007" s="1"/>
      <c r="T1007" s="1"/>
      <c r="U1007" s="1"/>
      <c r="V1007" s="1"/>
      <c r="W1007" s="1"/>
      <c r="X1007" s="1"/>
      <c r="Y1007" s="1"/>
      <c r="Z1007" s="1"/>
    </row>
    <row r="1008" spans="1:26" ht="33.75" customHeight="1">
      <c r="A1008" s="1">
        <v>1910</v>
      </c>
      <c r="B1008" s="1" t="s">
        <v>2922</v>
      </c>
      <c r="C1008" s="1" t="s">
        <v>2870</v>
      </c>
      <c r="D1008" s="4">
        <v>39877.525694444441</v>
      </c>
      <c r="E1008" s="1" t="s">
        <v>772</v>
      </c>
      <c r="F1008" s="1"/>
      <c r="G1008" s="5" t="s">
        <v>64</v>
      </c>
      <c r="H1008" s="1"/>
      <c r="I1008" s="1" t="s">
        <v>64</v>
      </c>
      <c r="J1008" s="1"/>
      <c r="K1008" s="1"/>
      <c r="L1008" s="2" t="s">
        <v>2923</v>
      </c>
      <c r="M1008" s="1"/>
      <c r="N1008" s="1"/>
      <c r="O1008" s="1"/>
      <c r="P1008" s="1"/>
      <c r="Q1008" s="1"/>
      <c r="R1008" s="1"/>
      <c r="S1008" s="1"/>
      <c r="T1008" s="1"/>
      <c r="U1008" s="1"/>
      <c r="V1008" s="1"/>
      <c r="W1008" s="1"/>
      <c r="X1008" s="1"/>
      <c r="Y1008" s="1"/>
      <c r="Z1008" s="1"/>
    </row>
    <row r="1009" spans="1:26" ht="33.75" customHeight="1">
      <c r="A1009" s="1">
        <v>1021</v>
      </c>
      <c r="B1009" s="1" t="s">
        <v>2924</v>
      </c>
      <c r="C1009" s="1" t="s">
        <v>2636</v>
      </c>
      <c r="D1009" s="4">
        <v>39877.625</v>
      </c>
      <c r="E1009" s="1" t="s">
        <v>2925</v>
      </c>
      <c r="F1009" s="1" t="s">
        <v>2875</v>
      </c>
      <c r="G1009" s="5" t="s">
        <v>33</v>
      </c>
      <c r="H1009" s="5" t="s">
        <v>34</v>
      </c>
      <c r="I1009" s="1" t="s">
        <v>2382</v>
      </c>
      <c r="J1009" s="1"/>
      <c r="K1009" s="1" t="s">
        <v>2650</v>
      </c>
      <c r="L1009" s="2" t="s">
        <v>2926</v>
      </c>
      <c r="M1009" s="1"/>
      <c r="N1009" s="1"/>
      <c r="O1009" s="1"/>
      <c r="P1009" s="1"/>
      <c r="Q1009" s="1"/>
      <c r="R1009" s="1"/>
      <c r="S1009" s="1"/>
      <c r="T1009" s="1"/>
      <c r="U1009" s="1"/>
      <c r="V1009" s="1"/>
      <c r="W1009" s="1"/>
      <c r="X1009" s="1"/>
      <c r="Y1009" s="1"/>
      <c r="Z1009" s="1"/>
    </row>
    <row r="1010" spans="1:26" ht="33.75" customHeight="1">
      <c r="A1010" s="1">
        <v>1023</v>
      </c>
      <c r="B1010" s="1" t="s">
        <v>2927</v>
      </c>
      <c r="C1010" s="1" t="s">
        <v>2636</v>
      </c>
      <c r="D1010" s="4">
        <v>39877.852777777778</v>
      </c>
      <c r="E1010" s="1" t="s">
        <v>14</v>
      </c>
      <c r="F1010" s="1"/>
      <c r="G1010" s="5" t="s">
        <v>64</v>
      </c>
      <c r="H1010" s="5" t="s">
        <v>1053</v>
      </c>
      <c r="I1010" s="1" t="s">
        <v>2928</v>
      </c>
      <c r="J1010" s="1"/>
      <c r="K1010" s="1" t="s">
        <v>2929</v>
      </c>
      <c r="L1010" s="2" t="s">
        <v>2930</v>
      </c>
      <c r="M1010" s="1"/>
      <c r="N1010" s="1"/>
      <c r="O1010" s="1"/>
      <c r="P1010" s="1"/>
      <c r="Q1010" s="1"/>
      <c r="R1010" s="1"/>
      <c r="S1010" s="1"/>
      <c r="T1010" s="1"/>
      <c r="U1010" s="1"/>
      <c r="V1010" s="1"/>
      <c r="W1010" s="1"/>
      <c r="X1010" s="1"/>
      <c r="Y1010" s="1"/>
      <c r="Z1010" s="1"/>
    </row>
    <row r="1011" spans="1:26" ht="33.75" customHeight="1">
      <c r="A1011" s="1">
        <v>1911</v>
      </c>
      <c r="B1011" s="1" t="s">
        <v>2931</v>
      </c>
      <c r="C1011" s="1" t="s">
        <v>2870</v>
      </c>
      <c r="D1011" s="4">
        <v>39877.92083333333</v>
      </c>
      <c r="E1011" s="1" t="s">
        <v>1089</v>
      </c>
      <c r="F1011" s="1"/>
      <c r="G1011" s="5" t="s">
        <v>64</v>
      </c>
      <c r="H1011" s="1"/>
      <c r="I1011" s="1" t="s">
        <v>64</v>
      </c>
      <c r="J1011" s="1"/>
      <c r="K1011" s="1"/>
      <c r="L1011" s="2" t="s">
        <v>2932</v>
      </c>
      <c r="M1011" s="1"/>
      <c r="N1011" s="1"/>
      <c r="O1011" s="1"/>
      <c r="P1011" s="1"/>
      <c r="Q1011" s="1"/>
      <c r="R1011" s="1"/>
      <c r="S1011" s="1"/>
      <c r="T1011" s="1"/>
      <c r="U1011" s="1"/>
      <c r="V1011" s="1"/>
      <c r="W1011" s="1"/>
      <c r="X1011" s="1"/>
      <c r="Y1011" s="1"/>
      <c r="Z1011" s="1"/>
    </row>
    <row r="1012" spans="1:26" ht="33.75" customHeight="1">
      <c r="A1012" s="1">
        <v>1913</v>
      </c>
      <c r="B1012" s="1" t="s">
        <v>2933</v>
      </c>
      <c r="C1012" s="1" t="s">
        <v>2870</v>
      </c>
      <c r="D1012" s="4">
        <v>39878.293749999997</v>
      </c>
      <c r="E1012" s="1" t="s">
        <v>2893</v>
      </c>
      <c r="F1012" s="1"/>
      <c r="G1012" s="5" t="s">
        <v>64</v>
      </c>
      <c r="H1012" s="5" t="s">
        <v>375</v>
      </c>
      <c r="I1012" s="1" t="s">
        <v>900</v>
      </c>
      <c r="J1012" s="1"/>
      <c r="K1012" s="1"/>
      <c r="L1012" s="2" t="s">
        <v>2934</v>
      </c>
      <c r="M1012" s="1"/>
      <c r="N1012" s="1"/>
      <c r="O1012" s="1"/>
      <c r="P1012" s="1"/>
      <c r="Q1012" s="1"/>
      <c r="R1012" s="1"/>
      <c r="S1012" s="1"/>
      <c r="T1012" s="1"/>
      <c r="U1012" s="1"/>
      <c r="V1012" s="1"/>
      <c r="W1012" s="1"/>
      <c r="X1012" s="1"/>
      <c r="Y1012" s="1"/>
      <c r="Z1012" s="1"/>
    </row>
    <row r="1013" spans="1:26" ht="33.75" customHeight="1">
      <c r="A1013" s="1">
        <v>1914</v>
      </c>
      <c r="B1013" s="1" t="s">
        <v>2935</v>
      </c>
      <c r="C1013" s="1" t="s">
        <v>2870</v>
      </c>
      <c r="D1013" s="4">
        <v>39878.306944444441</v>
      </c>
      <c r="E1013" s="1" t="s">
        <v>2893</v>
      </c>
      <c r="F1013" s="1"/>
      <c r="G1013" s="5" t="s">
        <v>64</v>
      </c>
      <c r="H1013" s="5" t="s">
        <v>431</v>
      </c>
      <c r="I1013" s="1" t="s">
        <v>2936</v>
      </c>
      <c r="J1013" s="1"/>
      <c r="K1013" s="1"/>
      <c r="L1013" s="2" t="s">
        <v>2937</v>
      </c>
      <c r="M1013" s="1"/>
      <c r="N1013" s="1"/>
      <c r="O1013" s="1"/>
      <c r="P1013" s="1"/>
      <c r="Q1013" s="1"/>
      <c r="R1013" s="1"/>
      <c r="S1013" s="1"/>
      <c r="T1013" s="1"/>
      <c r="U1013" s="1"/>
      <c r="V1013" s="1"/>
      <c r="W1013" s="1"/>
      <c r="X1013" s="1"/>
      <c r="Y1013" s="1"/>
      <c r="Z1013" s="1"/>
    </row>
    <row r="1014" spans="1:26" ht="33.75" customHeight="1">
      <c r="A1014" s="1">
        <v>1915</v>
      </c>
      <c r="B1014" s="1" t="s">
        <v>2938</v>
      </c>
      <c r="C1014" s="1" t="s">
        <v>2870</v>
      </c>
      <c r="D1014" s="4">
        <v>39878.325694444444</v>
      </c>
      <c r="E1014" s="1" t="s">
        <v>54</v>
      </c>
      <c r="F1014" s="1" t="s">
        <v>2939</v>
      </c>
      <c r="G1014" s="5" t="s">
        <v>26</v>
      </c>
      <c r="H1014" s="5" t="s">
        <v>27</v>
      </c>
      <c r="I1014" s="1" t="s">
        <v>28</v>
      </c>
      <c r="J1014" s="1" t="s">
        <v>259</v>
      </c>
      <c r="K1014" s="1"/>
      <c r="L1014" s="2" t="s">
        <v>2940</v>
      </c>
      <c r="M1014" s="1"/>
      <c r="N1014" s="1"/>
      <c r="O1014" s="1"/>
      <c r="P1014" s="1"/>
      <c r="Q1014" s="1"/>
      <c r="R1014" s="1"/>
      <c r="S1014" s="1"/>
      <c r="T1014" s="1"/>
      <c r="U1014" s="1"/>
      <c r="V1014" s="1"/>
      <c r="W1014" s="1"/>
      <c r="X1014" s="1"/>
      <c r="Y1014" s="1"/>
      <c r="Z1014" s="1"/>
    </row>
    <row r="1015" spans="1:26" ht="33.75" customHeight="1">
      <c r="A1015" s="1">
        <v>1916</v>
      </c>
      <c r="B1015" s="1" t="s">
        <v>2941</v>
      </c>
      <c r="C1015" s="1" t="s">
        <v>2870</v>
      </c>
      <c r="D1015" s="4">
        <v>39878.409722222219</v>
      </c>
      <c r="E1015" s="1" t="s">
        <v>84</v>
      </c>
      <c r="F1015" s="1"/>
      <c r="G1015" s="5" t="s">
        <v>64</v>
      </c>
      <c r="H1015" s="1"/>
      <c r="I1015" s="1" t="s">
        <v>64</v>
      </c>
      <c r="J1015" s="1"/>
      <c r="K1015" s="1"/>
      <c r="L1015" s="2" t="s">
        <v>2942</v>
      </c>
      <c r="M1015" s="1"/>
      <c r="N1015" s="1"/>
      <c r="O1015" s="1"/>
      <c r="P1015" s="1"/>
      <c r="Q1015" s="1"/>
      <c r="R1015" s="1"/>
      <c r="S1015" s="1"/>
      <c r="T1015" s="1"/>
      <c r="U1015" s="1"/>
      <c r="V1015" s="1"/>
      <c r="W1015" s="1"/>
      <c r="X1015" s="1"/>
      <c r="Y1015" s="1"/>
      <c r="Z1015" s="1"/>
    </row>
    <row r="1016" spans="1:26" ht="33.75" customHeight="1">
      <c r="A1016" s="1">
        <v>1917</v>
      </c>
      <c r="B1016" s="1" t="s">
        <v>2943</v>
      </c>
      <c r="C1016" s="1" t="s">
        <v>2870</v>
      </c>
      <c r="D1016" s="4">
        <v>39878.42291666667</v>
      </c>
      <c r="E1016" s="1" t="s">
        <v>84</v>
      </c>
      <c r="F1016" s="1" t="s">
        <v>2941</v>
      </c>
      <c r="G1016" s="5" t="s">
        <v>64</v>
      </c>
      <c r="H1016" s="1"/>
      <c r="I1016" s="1" t="s">
        <v>64</v>
      </c>
      <c r="J1016" s="1"/>
      <c r="K1016" s="1"/>
      <c r="L1016" s="2" t="s">
        <v>2944</v>
      </c>
      <c r="M1016" s="1"/>
      <c r="N1016" s="1"/>
      <c r="O1016" s="1"/>
      <c r="P1016" s="1"/>
      <c r="Q1016" s="1"/>
      <c r="R1016" s="1"/>
      <c r="S1016" s="1"/>
      <c r="T1016" s="1"/>
      <c r="U1016" s="1"/>
      <c r="V1016" s="1"/>
      <c r="W1016" s="1"/>
      <c r="X1016" s="1"/>
      <c r="Y1016" s="1"/>
      <c r="Z1016" s="1"/>
    </row>
    <row r="1017" spans="1:26" ht="33.75" customHeight="1">
      <c r="A1017" s="1">
        <v>1918</v>
      </c>
      <c r="B1017" s="1" t="s">
        <v>2945</v>
      </c>
      <c r="C1017" s="1" t="s">
        <v>2870</v>
      </c>
      <c r="D1017" s="4">
        <v>39878.47152777778</v>
      </c>
      <c r="E1017" s="1" t="s">
        <v>772</v>
      </c>
      <c r="F1017" s="1"/>
      <c r="G1017" s="5" t="s">
        <v>64</v>
      </c>
      <c r="H1017" s="1"/>
      <c r="I1017" s="1" t="s">
        <v>64</v>
      </c>
      <c r="J1017" s="1"/>
      <c r="K1017" s="1"/>
      <c r="L1017" s="2" t="s">
        <v>2946</v>
      </c>
      <c r="M1017" s="1"/>
      <c r="N1017" s="1"/>
      <c r="O1017" s="1"/>
      <c r="P1017" s="1"/>
      <c r="Q1017" s="1"/>
      <c r="R1017" s="1"/>
      <c r="S1017" s="1"/>
      <c r="T1017" s="1"/>
      <c r="U1017" s="1"/>
      <c r="V1017" s="1"/>
      <c r="W1017" s="1"/>
      <c r="X1017" s="1"/>
      <c r="Y1017" s="1"/>
      <c r="Z1017" s="1"/>
    </row>
    <row r="1018" spans="1:26" ht="33.75" customHeight="1">
      <c r="A1018" s="1">
        <v>1919</v>
      </c>
      <c r="B1018" s="1" t="s">
        <v>2947</v>
      </c>
      <c r="C1018" s="1" t="s">
        <v>2870</v>
      </c>
      <c r="D1018" s="4">
        <v>39878.518055555556</v>
      </c>
      <c r="E1018" s="1" t="s">
        <v>772</v>
      </c>
      <c r="F1018" s="1"/>
      <c r="G1018" s="5" t="s">
        <v>64</v>
      </c>
      <c r="H1018" s="1"/>
      <c r="I1018" s="1" t="s">
        <v>64</v>
      </c>
      <c r="J1018" s="1"/>
      <c r="K1018" s="1"/>
      <c r="L1018" s="2" t="s">
        <v>2948</v>
      </c>
      <c r="M1018" s="1"/>
      <c r="N1018" s="1"/>
      <c r="O1018" s="1"/>
      <c r="P1018" s="1"/>
      <c r="Q1018" s="1"/>
      <c r="R1018" s="1"/>
      <c r="S1018" s="1"/>
      <c r="T1018" s="1"/>
      <c r="U1018" s="1"/>
      <c r="V1018" s="1"/>
      <c r="W1018" s="1"/>
      <c r="X1018" s="1"/>
      <c r="Y1018" s="1"/>
      <c r="Z1018" s="1"/>
    </row>
    <row r="1019" spans="1:26" ht="33.75" customHeight="1">
      <c r="A1019" s="1">
        <v>1920</v>
      </c>
      <c r="B1019" s="1" t="s">
        <v>2949</v>
      </c>
      <c r="C1019" s="1" t="s">
        <v>2870</v>
      </c>
      <c r="D1019" s="4">
        <v>39878.54583333333</v>
      </c>
      <c r="E1019" s="1" t="s">
        <v>772</v>
      </c>
      <c r="F1019" s="1">
        <v>912</v>
      </c>
      <c r="G1019" s="5" t="s">
        <v>64</v>
      </c>
      <c r="H1019" s="1"/>
      <c r="I1019" s="1" t="s">
        <v>64</v>
      </c>
      <c r="J1019" s="1"/>
      <c r="K1019" s="1"/>
      <c r="L1019" s="2" t="s">
        <v>2950</v>
      </c>
      <c r="M1019" s="1"/>
      <c r="N1019" s="1"/>
      <c r="O1019" s="1"/>
      <c r="P1019" s="1"/>
      <c r="Q1019" s="1"/>
      <c r="R1019" s="1"/>
      <c r="S1019" s="1"/>
      <c r="T1019" s="1"/>
      <c r="U1019" s="1"/>
      <c r="V1019" s="1"/>
      <c r="W1019" s="1"/>
      <c r="X1019" s="1"/>
      <c r="Y1019" s="1"/>
      <c r="Z1019" s="1"/>
    </row>
    <row r="1020" spans="1:26" ht="33.75" customHeight="1">
      <c r="A1020" s="1">
        <v>1921</v>
      </c>
      <c r="B1020" s="1" t="s">
        <v>2951</v>
      </c>
      <c r="C1020" s="1" t="s">
        <v>2870</v>
      </c>
      <c r="D1020" s="4">
        <v>39878.586111111108</v>
      </c>
      <c r="E1020" s="1" t="s">
        <v>1887</v>
      </c>
      <c r="F1020" s="1"/>
      <c r="G1020" s="5" t="s">
        <v>64</v>
      </c>
      <c r="H1020" s="5" t="s">
        <v>375</v>
      </c>
      <c r="I1020" s="1" t="s">
        <v>900</v>
      </c>
      <c r="J1020" s="1"/>
      <c r="K1020" s="1"/>
      <c r="L1020" s="2" t="s">
        <v>2952</v>
      </c>
      <c r="M1020" s="1"/>
      <c r="N1020" s="1"/>
      <c r="O1020" s="1"/>
      <c r="P1020" s="1"/>
      <c r="Q1020" s="1"/>
      <c r="R1020" s="1"/>
      <c r="S1020" s="1"/>
      <c r="T1020" s="1"/>
      <c r="U1020" s="1"/>
      <c r="V1020" s="1"/>
      <c r="W1020" s="1"/>
      <c r="X1020" s="1"/>
      <c r="Y1020" s="1"/>
      <c r="Z1020" s="1"/>
    </row>
    <row r="1021" spans="1:26" ht="33.75" customHeight="1">
      <c r="A1021" s="1">
        <v>1922</v>
      </c>
      <c r="B1021" s="1" t="s">
        <v>2953</v>
      </c>
      <c r="C1021" s="1" t="s">
        <v>2870</v>
      </c>
      <c r="D1021" s="4">
        <v>39878.586111111108</v>
      </c>
      <c r="E1021" s="1" t="s">
        <v>1887</v>
      </c>
      <c r="F1021" s="1"/>
      <c r="G1021" s="5" t="s">
        <v>64</v>
      </c>
      <c r="H1021" s="5" t="s">
        <v>375</v>
      </c>
      <c r="I1021" s="1" t="s">
        <v>900</v>
      </c>
      <c r="J1021" s="1"/>
      <c r="K1021" s="1"/>
      <c r="L1021" s="2" t="s">
        <v>2954</v>
      </c>
      <c r="M1021" s="1"/>
      <c r="N1021" s="1"/>
      <c r="O1021" s="1"/>
      <c r="P1021" s="1"/>
      <c r="Q1021" s="1"/>
      <c r="R1021" s="1"/>
      <c r="S1021" s="1"/>
      <c r="T1021" s="1"/>
      <c r="U1021" s="1"/>
      <c r="V1021" s="1"/>
      <c r="W1021" s="1"/>
      <c r="X1021" s="1"/>
      <c r="Y1021" s="1"/>
      <c r="Z1021" s="1"/>
    </row>
    <row r="1022" spans="1:26" ht="33.75" customHeight="1">
      <c r="A1022" s="1">
        <v>1923</v>
      </c>
      <c r="B1022" s="1" t="s">
        <v>2955</v>
      </c>
      <c r="C1022" s="1" t="s">
        <v>2870</v>
      </c>
      <c r="D1022" s="4">
        <v>39878.586805555555</v>
      </c>
      <c r="E1022" s="1" t="s">
        <v>1887</v>
      </c>
      <c r="F1022" s="1"/>
      <c r="G1022" s="5" t="s">
        <v>64</v>
      </c>
      <c r="H1022" s="5" t="s">
        <v>375</v>
      </c>
      <c r="I1022" s="1" t="s">
        <v>900</v>
      </c>
      <c r="J1022" s="1"/>
      <c r="K1022" s="1"/>
      <c r="L1022" s="2" t="s">
        <v>2956</v>
      </c>
      <c r="M1022" s="1"/>
      <c r="N1022" s="1"/>
      <c r="O1022" s="1"/>
      <c r="P1022" s="1"/>
      <c r="Q1022" s="1"/>
      <c r="R1022" s="1"/>
      <c r="S1022" s="1"/>
      <c r="T1022" s="1"/>
      <c r="U1022" s="1"/>
      <c r="V1022" s="1"/>
      <c r="W1022" s="1"/>
      <c r="X1022" s="1"/>
      <c r="Y1022" s="1"/>
      <c r="Z1022" s="1"/>
    </row>
    <row r="1023" spans="1:26" ht="33.75" customHeight="1">
      <c r="A1023" s="1">
        <v>1924</v>
      </c>
      <c r="B1023" s="1" t="s">
        <v>2957</v>
      </c>
      <c r="C1023" s="1" t="s">
        <v>2870</v>
      </c>
      <c r="D1023" s="4">
        <v>39878.586805555555</v>
      </c>
      <c r="E1023" s="1" t="s">
        <v>1887</v>
      </c>
      <c r="F1023" s="1"/>
      <c r="G1023" s="5" t="s">
        <v>64</v>
      </c>
      <c r="H1023" s="5" t="s">
        <v>375</v>
      </c>
      <c r="I1023" s="1" t="s">
        <v>900</v>
      </c>
      <c r="J1023" s="1"/>
      <c r="K1023" s="1"/>
      <c r="L1023" s="2" t="s">
        <v>2958</v>
      </c>
      <c r="M1023" s="1"/>
      <c r="N1023" s="1"/>
      <c r="O1023" s="1"/>
      <c r="P1023" s="1"/>
      <c r="Q1023" s="1"/>
      <c r="R1023" s="1"/>
      <c r="S1023" s="1"/>
      <c r="T1023" s="1"/>
      <c r="U1023" s="1"/>
      <c r="V1023" s="1"/>
      <c r="W1023" s="1"/>
      <c r="X1023" s="1"/>
      <c r="Y1023" s="1"/>
      <c r="Z1023" s="1"/>
    </row>
    <row r="1024" spans="1:26" ht="33.75" customHeight="1">
      <c r="A1024" s="1">
        <v>1925</v>
      </c>
      <c r="B1024" s="1" t="s">
        <v>2959</v>
      </c>
      <c r="C1024" s="1" t="s">
        <v>2870</v>
      </c>
      <c r="D1024" s="4">
        <v>39878.587500000001</v>
      </c>
      <c r="E1024" s="1" t="s">
        <v>1887</v>
      </c>
      <c r="F1024" s="1"/>
      <c r="G1024" s="5" t="s">
        <v>64</v>
      </c>
      <c r="H1024" s="5" t="s">
        <v>375</v>
      </c>
      <c r="I1024" s="1" t="s">
        <v>900</v>
      </c>
      <c r="J1024" s="1"/>
      <c r="K1024" s="1"/>
      <c r="L1024" s="2" t="s">
        <v>2960</v>
      </c>
      <c r="M1024" s="1"/>
      <c r="N1024" s="1"/>
      <c r="O1024" s="1"/>
      <c r="P1024" s="1"/>
      <c r="Q1024" s="1"/>
      <c r="R1024" s="1"/>
      <c r="S1024" s="1"/>
      <c r="T1024" s="1"/>
      <c r="U1024" s="1"/>
      <c r="V1024" s="1"/>
      <c r="W1024" s="1"/>
      <c r="X1024" s="1"/>
      <c r="Y1024" s="1"/>
      <c r="Z1024" s="1"/>
    </row>
    <row r="1025" spans="1:26" ht="33.75" customHeight="1">
      <c r="A1025" s="1">
        <v>1926</v>
      </c>
      <c r="B1025" s="1" t="s">
        <v>2961</v>
      </c>
      <c r="C1025" s="1" t="s">
        <v>2870</v>
      </c>
      <c r="D1025" s="4">
        <v>39878.665277777778</v>
      </c>
      <c r="E1025" s="1" t="s">
        <v>2893</v>
      </c>
      <c r="F1025" s="1"/>
      <c r="G1025" s="5" t="s">
        <v>64</v>
      </c>
      <c r="H1025" s="1"/>
      <c r="I1025" s="1" t="s">
        <v>64</v>
      </c>
      <c r="J1025" s="1"/>
      <c r="K1025" s="1"/>
      <c r="L1025" s="2" t="s">
        <v>2962</v>
      </c>
      <c r="M1025" s="1"/>
      <c r="N1025" s="1"/>
      <c r="O1025" s="1"/>
      <c r="P1025" s="1"/>
      <c r="Q1025" s="1"/>
      <c r="R1025" s="1"/>
      <c r="S1025" s="1"/>
      <c r="T1025" s="1"/>
      <c r="U1025" s="1"/>
      <c r="V1025" s="1"/>
      <c r="W1025" s="1"/>
      <c r="X1025" s="1"/>
      <c r="Y1025" s="1"/>
      <c r="Z1025" s="1"/>
    </row>
    <row r="1026" spans="1:26" ht="33.75" customHeight="1">
      <c r="A1026" s="1">
        <v>1927</v>
      </c>
      <c r="B1026" s="1" t="s">
        <v>2963</v>
      </c>
      <c r="C1026" s="1" t="s">
        <v>2870</v>
      </c>
      <c r="D1026" s="4">
        <v>39878.668055555558</v>
      </c>
      <c r="E1026" s="1" t="s">
        <v>54</v>
      </c>
      <c r="F1026" s="1"/>
      <c r="G1026" s="5" t="s">
        <v>64</v>
      </c>
      <c r="H1026" s="5" t="s">
        <v>179</v>
      </c>
      <c r="I1026" s="1" t="s">
        <v>179</v>
      </c>
      <c r="J1026" s="1"/>
      <c r="K1026" s="1"/>
      <c r="L1026" s="2" t="s">
        <v>2964</v>
      </c>
      <c r="M1026" s="1"/>
      <c r="N1026" s="1"/>
      <c r="O1026" s="1"/>
      <c r="P1026" s="1"/>
      <c r="Q1026" s="1"/>
      <c r="R1026" s="1"/>
      <c r="S1026" s="1"/>
      <c r="T1026" s="1"/>
      <c r="U1026" s="1"/>
      <c r="V1026" s="1"/>
      <c r="W1026" s="1"/>
      <c r="X1026" s="1"/>
      <c r="Y1026" s="1"/>
      <c r="Z1026" s="1"/>
    </row>
    <row r="1027" spans="1:26" ht="33.75" customHeight="1">
      <c r="A1027" s="1">
        <v>1928</v>
      </c>
      <c r="B1027" s="1" t="s">
        <v>2965</v>
      </c>
      <c r="C1027" s="1" t="s">
        <v>2870</v>
      </c>
      <c r="D1027" s="4">
        <v>39878.774305555555</v>
      </c>
      <c r="E1027" s="1" t="s">
        <v>2966</v>
      </c>
      <c r="F1027" s="1" t="s">
        <v>2967</v>
      </c>
      <c r="G1027" s="5" t="s">
        <v>26</v>
      </c>
      <c r="H1027" s="5" t="s">
        <v>133</v>
      </c>
      <c r="I1027" s="1" t="s">
        <v>2968</v>
      </c>
      <c r="J1027" s="1"/>
      <c r="K1027" s="1"/>
      <c r="L1027" s="2" t="s">
        <v>2969</v>
      </c>
      <c r="M1027" s="1"/>
      <c r="N1027" s="1"/>
      <c r="O1027" s="1"/>
      <c r="P1027" s="1"/>
      <c r="Q1027" s="1"/>
      <c r="R1027" s="1"/>
      <c r="S1027" s="1"/>
      <c r="T1027" s="1"/>
      <c r="U1027" s="1"/>
      <c r="V1027" s="1"/>
      <c r="W1027" s="1"/>
      <c r="X1027" s="1"/>
      <c r="Y1027" s="1"/>
      <c r="Z1027" s="1"/>
    </row>
    <row r="1028" spans="1:26" ht="33.75" customHeight="1">
      <c r="A1028" s="1">
        <v>1024</v>
      </c>
      <c r="B1028" s="1" t="s">
        <v>2970</v>
      </c>
      <c r="C1028" s="1" t="s">
        <v>2636</v>
      </c>
      <c r="D1028" s="4">
        <v>39878.902083333334</v>
      </c>
      <c r="E1028" s="1" t="s">
        <v>320</v>
      </c>
      <c r="F1028" s="1" t="s">
        <v>2927</v>
      </c>
      <c r="G1028" s="5" t="s">
        <v>64</v>
      </c>
      <c r="H1028" s="1"/>
      <c r="I1028" s="1" t="s">
        <v>64</v>
      </c>
      <c r="J1028" s="1"/>
      <c r="K1028" s="1"/>
      <c r="L1028" s="2" t="s">
        <v>2971</v>
      </c>
      <c r="M1028" s="1"/>
      <c r="N1028" s="1"/>
      <c r="O1028" s="1"/>
      <c r="P1028" s="1"/>
      <c r="Q1028" s="1"/>
      <c r="R1028" s="1"/>
      <c r="S1028" s="1"/>
      <c r="T1028" s="1"/>
      <c r="U1028" s="1"/>
      <c r="V1028" s="1"/>
      <c r="W1028" s="1"/>
      <c r="X1028" s="1"/>
      <c r="Y1028" s="1"/>
      <c r="Z1028" s="1"/>
    </row>
    <row r="1029" spans="1:26" ht="33.75" customHeight="1">
      <c r="A1029" s="1">
        <v>1025</v>
      </c>
      <c r="B1029" s="1" t="s">
        <v>2972</v>
      </c>
      <c r="C1029" s="1" t="s">
        <v>2636</v>
      </c>
      <c r="D1029" s="4">
        <v>39878.904166666667</v>
      </c>
      <c r="E1029" s="1" t="s">
        <v>320</v>
      </c>
      <c r="F1029" s="1" t="s">
        <v>2970</v>
      </c>
      <c r="G1029" s="5" t="s">
        <v>64</v>
      </c>
      <c r="H1029" s="5" t="s">
        <v>179</v>
      </c>
      <c r="I1029" s="1" t="s">
        <v>2382</v>
      </c>
      <c r="J1029" s="1"/>
      <c r="K1029" s="1"/>
      <c r="L1029" s="2" t="s">
        <v>2973</v>
      </c>
      <c r="M1029" s="1"/>
      <c r="N1029" s="1"/>
      <c r="O1029" s="1"/>
      <c r="P1029" s="1"/>
      <c r="Q1029" s="1"/>
      <c r="R1029" s="1"/>
      <c r="S1029" s="1"/>
      <c r="T1029" s="1"/>
      <c r="U1029" s="1"/>
      <c r="V1029" s="1"/>
      <c r="W1029" s="1"/>
      <c r="X1029" s="1"/>
      <c r="Y1029" s="1"/>
      <c r="Z1029" s="1"/>
    </row>
    <row r="1030" spans="1:26" ht="33.75" customHeight="1">
      <c r="A1030" s="1">
        <v>1026</v>
      </c>
      <c r="B1030" s="1" t="s">
        <v>2974</v>
      </c>
      <c r="C1030" s="1" t="s">
        <v>2636</v>
      </c>
      <c r="D1030" s="4">
        <v>39878.951388888891</v>
      </c>
      <c r="E1030" s="1" t="s">
        <v>314</v>
      </c>
      <c r="F1030" s="1" t="s">
        <v>2970</v>
      </c>
      <c r="G1030" s="5" t="s">
        <v>26</v>
      </c>
      <c r="H1030" s="5" t="s">
        <v>133</v>
      </c>
      <c r="I1030" s="1" t="s">
        <v>2382</v>
      </c>
      <c r="J1030" s="1"/>
      <c r="K1030" s="1"/>
      <c r="L1030" s="2" t="s">
        <v>2975</v>
      </c>
      <c r="M1030" s="1"/>
      <c r="N1030" s="1"/>
      <c r="O1030" s="1"/>
      <c r="P1030" s="1"/>
      <c r="Q1030" s="1"/>
      <c r="R1030" s="1"/>
      <c r="S1030" s="1"/>
      <c r="T1030" s="1"/>
      <c r="U1030" s="1"/>
      <c r="V1030" s="1"/>
      <c r="W1030" s="1"/>
      <c r="X1030" s="1"/>
      <c r="Y1030" s="1"/>
      <c r="Z1030" s="1"/>
    </row>
    <row r="1031" spans="1:26" ht="33.75" customHeight="1">
      <c r="A1031" s="1">
        <v>1027</v>
      </c>
      <c r="B1031" s="1" t="s">
        <v>2976</v>
      </c>
      <c r="C1031" s="1" t="s">
        <v>2636</v>
      </c>
      <c r="D1031" s="4">
        <v>39878.963194444441</v>
      </c>
      <c r="E1031" s="1" t="s">
        <v>14</v>
      </c>
      <c r="F1031" s="1" t="s">
        <v>2974</v>
      </c>
      <c r="G1031" s="5" t="s">
        <v>26</v>
      </c>
      <c r="H1031" s="5" t="s">
        <v>133</v>
      </c>
      <c r="I1031" s="1" t="s">
        <v>28</v>
      </c>
      <c r="J1031" s="1" t="s">
        <v>134</v>
      </c>
      <c r="K1031" s="1"/>
      <c r="L1031" s="2" t="s">
        <v>2977</v>
      </c>
      <c r="M1031" s="1"/>
      <c r="N1031" s="1"/>
      <c r="O1031" s="1"/>
      <c r="P1031" s="1"/>
      <c r="Q1031" s="1"/>
      <c r="R1031" s="1"/>
      <c r="S1031" s="1"/>
      <c r="T1031" s="1"/>
      <c r="U1031" s="1"/>
      <c r="V1031" s="1"/>
      <c r="W1031" s="1"/>
      <c r="X1031" s="1"/>
      <c r="Y1031" s="1"/>
      <c r="Z1031" s="1"/>
    </row>
    <row r="1032" spans="1:26" ht="33.75" customHeight="1">
      <c r="A1032" s="1">
        <v>1029</v>
      </c>
      <c r="B1032" s="1" t="s">
        <v>2978</v>
      </c>
      <c r="C1032" s="1" t="s">
        <v>2636</v>
      </c>
      <c r="D1032" s="4">
        <v>39878.982638888891</v>
      </c>
      <c r="E1032" s="1" t="s">
        <v>14</v>
      </c>
      <c r="F1032" s="1" t="s">
        <v>2979</v>
      </c>
      <c r="G1032" s="5" t="s">
        <v>64</v>
      </c>
      <c r="H1032" s="1"/>
      <c r="I1032" s="1" t="s">
        <v>64</v>
      </c>
      <c r="J1032" s="1"/>
      <c r="K1032" s="1"/>
      <c r="L1032" s="2" t="s">
        <v>2980</v>
      </c>
      <c r="M1032" s="1"/>
      <c r="N1032" s="1"/>
      <c r="O1032" s="1"/>
      <c r="P1032" s="1"/>
      <c r="Q1032" s="1"/>
      <c r="R1032" s="1"/>
      <c r="S1032" s="1"/>
      <c r="T1032" s="1"/>
      <c r="U1032" s="1"/>
      <c r="V1032" s="1"/>
      <c r="W1032" s="1"/>
      <c r="X1032" s="1"/>
      <c r="Y1032" s="1"/>
      <c r="Z1032" s="1"/>
    </row>
    <row r="1033" spans="1:26" ht="33.75" customHeight="1">
      <c r="A1033" s="1">
        <v>1030</v>
      </c>
      <c r="B1033" s="1" t="s">
        <v>2981</v>
      </c>
      <c r="C1033" s="1" t="s">
        <v>2636</v>
      </c>
      <c r="D1033" s="4">
        <v>39879.005555555559</v>
      </c>
      <c r="E1033" s="1" t="s">
        <v>14</v>
      </c>
      <c r="F1033" s="1" t="s">
        <v>2978</v>
      </c>
      <c r="G1033" s="6" t="s">
        <v>78</v>
      </c>
      <c r="H1033" s="5" t="s">
        <v>479</v>
      </c>
      <c r="I1033" s="1" t="s">
        <v>2382</v>
      </c>
      <c r="J1033" s="1"/>
      <c r="K1033" s="1"/>
      <c r="L1033" s="2" t="s">
        <v>2982</v>
      </c>
      <c r="M1033" s="1"/>
      <c r="N1033" s="1"/>
      <c r="O1033" s="1"/>
      <c r="P1033" s="1"/>
      <c r="Q1033" s="1"/>
      <c r="R1033" s="1"/>
      <c r="S1033" s="1"/>
      <c r="T1033" s="1"/>
      <c r="U1033" s="1"/>
      <c r="V1033" s="1"/>
      <c r="W1033" s="1"/>
      <c r="X1033" s="1"/>
      <c r="Y1033" s="1"/>
      <c r="Z1033" s="1"/>
    </row>
    <row r="1034" spans="1:26" ht="33.75" customHeight="1">
      <c r="A1034" s="1">
        <v>1031</v>
      </c>
      <c r="B1034" s="1" t="s">
        <v>2983</v>
      </c>
      <c r="C1034" s="1" t="s">
        <v>2636</v>
      </c>
      <c r="D1034" s="4">
        <v>39879.063888888886</v>
      </c>
      <c r="E1034" s="1" t="s">
        <v>54</v>
      </c>
      <c r="F1034" s="1"/>
      <c r="G1034" s="1" t="s">
        <v>64</v>
      </c>
      <c r="H1034" s="5" t="s">
        <v>218</v>
      </c>
      <c r="I1034" s="1" t="s">
        <v>840</v>
      </c>
      <c r="J1034" s="1" t="s">
        <v>450</v>
      </c>
      <c r="K1034" s="1"/>
      <c r="L1034" s="2" t="s">
        <v>2984</v>
      </c>
      <c r="M1034" s="1"/>
      <c r="N1034" s="1"/>
      <c r="O1034" s="1"/>
      <c r="P1034" s="1"/>
      <c r="Q1034" s="1"/>
      <c r="R1034" s="1"/>
      <c r="S1034" s="1"/>
      <c r="T1034" s="1"/>
      <c r="U1034" s="1"/>
      <c r="V1034" s="1"/>
      <c r="W1034" s="1"/>
      <c r="X1034" s="1"/>
      <c r="Y1034" s="1"/>
      <c r="Z1034" s="1"/>
    </row>
    <row r="1035" spans="1:26" ht="33.75" customHeight="1">
      <c r="A1035" s="1">
        <v>1929</v>
      </c>
      <c r="B1035" s="1" t="s">
        <v>2985</v>
      </c>
      <c r="C1035" s="1" t="s">
        <v>2870</v>
      </c>
      <c r="D1035" s="4">
        <v>39879.173611111109</v>
      </c>
      <c r="E1035" s="1" t="s">
        <v>1089</v>
      </c>
      <c r="F1035" s="1"/>
      <c r="G1035" s="5" t="s">
        <v>64</v>
      </c>
      <c r="H1035" s="1"/>
      <c r="I1035" s="1" t="s">
        <v>64</v>
      </c>
      <c r="J1035" s="1"/>
      <c r="K1035" s="1"/>
      <c r="L1035" s="2" t="s">
        <v>2986</v>
      </c>
      <c r="M1035" s="1"/>
      <c r="N1035" s="1"/>
      <c r="O1035" s="1"/>
      <c r="P1035" s="1"/>
      <c r="Q1035" s="1"/>
      <c r="R1035" s="1"/>
      <c r="S1035" s="1"/>
      <c r="T1035" s="1"/>
      <c r="U1035" s="1"/>
      <c r="V1035" s="1"/>
      <c r="W1035" s="1"/>
      <c r="X1035" s="1"/>
      <c r="Y1035" s="1"/>
      <c r="Z1035" s="1"/>
    </row>
    <row r="1036" spans="1:26" ht="33.75" customHeight="1">
      <c r="A1036" s="1">
        <v>1033</v>
      </c>
      <c r="B1036" s="1" t="s">
        <v>2987</v>
      </c>
      <c r="C1036" s="1" t="s">
        <v>2636</v>
      </c>
      <c r="D1036" s="4">
        <v>39879.461805555555</v>
      </c>
      <c r="E1036" s="1" t="s">
        <v>14</v>
      </c>
      <c r="F1036" s="1"/>
      <c r="G1036" s="6" t="s">
        <v>78</v>
      </c>
      <c r="H1036" s="5" t="s">
        <v>197</v>
      </c>
      <c r="I1036" s="1" t="s">
        <v>840</v>
      </c>
      <c r="J1036" s="1" t="s">
        <v>450</v>
      </c>
      <c r="K1036" s="1"/>
      <c r="L1036" s="2" t="s">
        <v>2988</v>
      </c>
      <c r="M1036" s="1"/>
      <c r="N1036" s="1"/>
      <c r="O1036" s="1"/>
      <c r="P1036" s="1"/>
      <c r="Q1036" s="1"/>
      <c r="R1036" s="1"/>
      <c r="S1036" s="1"/>
      <c r="T1036" s="1"/>
      <c r="U1036" s="1"/>
      <c r="V1036" s="1"/>
      <c r="W1036" s="1"/>
      <c r="X1036" s="1"/>
      <c r="Y1036" s="1"/>
      <c r="Z1036" s="1"/>
    </row>
    <row r="1037" spans="1:26" ht="33.75" customHeight="1">
      <c r="A1037" s="1">
        <v>1032</v>
      </c>
      <c r="B1037" s="1" t="s">
        <v>2989</v>
      </c>
      <c r="C1037" s="1" t="s">
        <v>2636</v>
      </c>
      <c r="D1037" s="4">
        <v>39879.470833333333</v>
      </c>
      <c r="E1037" s="1" t="s">
        <v>14</v>
      </c>
      <c r="F1037" s="1" t="s">
        <v>2983</v>
      </c>
      <c r="G1037" s="5" t="s">
        <v>26</v>
      </c>
      <c r="H1037" s="5" t="s">
        <v>133</v>
      </c>
      <c r="I1037" s="1" t="s">
        <v>2382</v>
      </c>
      <c r="J1037" s="1"/>
      <c r="K1037" s="1"/>
      <c r="L1037" s="2" t="s">
        <v>2990</v>
      </c>
      <c r="M1037" s="1"/>
      <c r="N1037" s="1"/>
      <c r="O1037" s="1"/>
      <c r="P1037" s="1"/>
      <c r="Q1037" s="1"/>
      <c r="R1037" s="1"/>
      <c r="S1037" s="1"/>
      <c r="T1037" s="1"/>
      <c r="U1037" s="1"/>
      <c r="V1037" s="1"/>
      <c r="W1037" s="1"/>
      <c r="X1037" s="1"/>
      <c r="Y1037" s="1"/>
      <c r="Z1037" s="1"/>
    </row>
    <row r="1038" spans="1:26" ht="33.75" customHeight="1">
      <c r="A1038" s="1">
        <v>1930</v>
      </c>
      <c r="B1038" s="1" t="s">
        <v>2991</v>
      </c>
      <c r="C1038" s="1" t="s">
        <v>2870</v>
      </c>
      <c r="D1038" s="4">
        <v>39879.51458333333</v>
      </c>
      <c r="E1038" s="1" t="s">
        <v>772</v>
      </c>
      <c r="F1038" s="1"/>
      <c r="G1038" s="5" t="s">
        <v>64</v>
      </c>
      <c r="H1038" s="1"/>
      <c r="I1038" s="1" t="s">
        <v>64</v>
      </c>
      <c r="J1038" s="1"/>
      <c r="K1038" s="1"/>
      <c r="L1038" s="2" t="s">
        <v>2992</v>
      </c>
      <c r="M1038" s="1"/>
      <c r="N1038" s="1"/>
      <c r="O1038" s="1"/>
      <c r="P1038" s="1"/>
      <c r="Q1038" s="1"/>
      <c r="R1038" s="1"/>
      <c r="S1038" s="1"/>
      <c r="T1038" s="1"/>
      <c r="U1038" s="1"/>
      <c r="V1038" s="1"/>
      <c r="W1038" s="1"/>
      <c r="X1038" s="1"/>
      <c r="Y1038" s="1"/>
      <c r="Z1038" s="1"/>
    </row>
    <row r="1039" spans="1:26" ht="33.75" customHeight="1">
      <c r="A1039" s="1">
        <v>1931</v>
      </c>
      <c r="B1039" s="1" t="s">
        <v>2993</v>
      </c>
      <c r="C1039" s="1" t="s">
        <v>2870</v>
      </c>
      <c r="D1039" s="4">
        <v>39879.536805555559</v>
      </c>
      <c r="E1039" s="1" t="s">
        <v>772</v>
      </c>
      <c r="F1039" s="1"/>
      <c r="G1039" s="5" t="s">
        <v>64</v>
      </c>
      <c r="H1039" s="1"/>
      <c r="I1039" s="1" t="s">
        <v>64</v>
      </c>
      <c r="J1039" s="1"/>
      <c r="K1039" s="1"/>
      <c r="L1039" s="2" t="s">
        <v>2994</v>
      </c>
      <c r="M1039" s="1"/>
      <c r="N1039" s="1"/>
      <c r="O1039" s="1"/>
      <c r="P1039" s="1"/>
      <c r="Q1039" s="1"/>
      <c r="R1039" s="1"/>
      <c r="S1039" s="1"/>
      <c r="T1039" s="1"/>
      <c r="U1039" s="1"/>
      <c r="V1039" s="1"/>
      <c r="W1039" s="1"/>
      <c r="X1039" s="1"/>
      <c r="Y1039" s="1"/>
      <c r="Z1039" s="1"/>
    </row>
    <row r="1040" spans="1:26" ht="33.75" customHeight="1">
      <c r="A1040" s="1">
        <v>1932</v>
      </c>
      <c r="B1040" s="1" t="s">
        <v>2995</v>
      </c>
      <c r="C1040" s="1" t="s">
        <v>2870</v>
      </c>
      <c r="D1040" s="4">
        <v>39879.597222222219</v>
      </c>
      <c r="E1040" s="1" t="s">
        <v>772</v>
      </c>
      <c r="F1040" s="1"/>
      <c r="G1040" s="5" t="s">
        <v>64</v>
      </c>
      <c r="H1040" s="1"/>
      <c r="I1040" s="1" t="s">
        <v>64</v>
      </c>
      <c r="J1040" s="1"/>
      <c r="K1040" s="1"/>
      <c r="L1040" s="2" t="s">
        <v>2996</v>
      </c>
      <c r="M1040" s="1"/>
      <c r="N1040" s="1"/>
      <c r="O1040" s="1"/>
      <c r="P1040" s="1"/>
      <c r="Q1040" s="1"/>
      <c r="R1040" s="1"/>
      <c r="S1040" s="1"/>
      <c r="T1040" s="1"/>
      <c r="U1040" s="1"/>
      <c r="V1040" s="1"/>
      <c r="W1040" s="1"/>
      <c r="X1040" s="1"/>
      <c r="Y1040" s="1"/>
      <c r="Z1040" s="1"/>
    </row>
    <row r="1041" spans="1:26" ht="33.75" customHeight="1">
      <c r="A1041" s="1">
        <v>1933</v>
      </c>
      <c r="B1041" s="1" t="s">
        <v>2997</v>
      </c>
      <c r="C1041" s="1" t="s">
        <v>2870</v>
      </c>
      <c r="D1041" s="4">
        <v>39879.657638888886</v>
      </c>
      <c r="E1041" s="1" t="s">
        <v>54</v>
      </c>
      <c r="F1041" s="1"/>
      <c r="G1041" s="5" t="s">
        <v>64</v>
      </c>
      <c r="H1041" s="1"/>
      <c r="I1041" s="1" t="s">
        <v>64</v>
      </c>
      <c r="J1041" s="1"/>
      <c r="K1041" s="1"/>
      <c r="L1041" s="2" t="s">
        <v>2998</v>
      </c>
      <c r="M1041" s="1"/>
      <c r="N1041" s="1"/>
      <c r="O1041" s="1"/>
      <c r="P1041" s="1"/>
      <c r="Q1041" s="1"/>
      <c r="R1041" s="1"/>
      <c r="S1041" s="1"/>
      <c r="T1041" s="1"/>
      <c r="U1041" s="1"/>
      <c r="V1041" s="1"/>
      <c r="W1041" s="1"/>
      <c r="X1041" s="1"/>
      <c r="Y1041" s="1"/>
      <c r="Z1041" s="1"/>
    </row>
    <row r="1042" spans="1:26" ht="33.75" customHeight="1">
      <c r="A1042" s="1">
        <v>1934</v>
      </c>
      <c r="B1042" s="1" t="s">
        <v>2999</v>
      </c>
      <c r="C1042" s="1" t="s">
        <v>2870</v>
      </c>
      <c r="D1042" s="4">
        <v>39879.669444444444</v>
      </c>
      <c r="E1042" s="1" t="s">
        <v>2893</v>
      </c>
      <c r="F1042" s="1"/>
      <c r="G1042" s="5" t="s">
        <v>26</v>
      </c>
      <c r="H1042" s="5" t="s">
        <v>133</v>
      </c>
      <c r="I1042" s="1" t="s">
        <v>28</v>
      </c>
      <c r="J1042" s="1" t="s">
        <v>134</v>
      </c>
      <c r="K1042" s="1" t="s">
        <v>3000</v>
      </c>
      <c r="L1042" s="2" t="s">
        <v>3001</v>
      </c>
      <c r="M1042" s="1"/>
      <c r="N1042" s="1"/>
      <c r="O1042" s="1"/>
      <c r="P1042" s="1"/>
      <c r="Q1042" s="1"/>
      <c r="R1042" s="1"/>
      <c r="S1042" s="1"/>
      <c r="T1042" s="1"/>
      <c r="U1042" s="1"/>
      <c r="V1042" s="1"/>
      <c r="W1042" s="1"/>
      <c r="X1042" s="1"/>
      <c r="Y1042" s="1"/>
      <c r="Z1042" s="1"/>
    </row>
    <row r="1043" spans="1:26" ht="33.75" customHeight="1">
      <c r="A1043" s="1">
        <v>1034</v>
      </c>
      <c r="B1043" s="1" t="s">
        <v>3002</v>
      </c>
      <c r="C1043" s="1" t="s">
        <v>2636</v>
      </c>
      <c r="D1043" s="4">
        <v>39879.724999999999</v>
      </c>
      <c r="E1043" s="1" t="s">
        <v>14</v>
      </c>
      <c r="F1043" s="1"/>
      <c r="G1043" s="5" t="s">
        <v>15</v>
      </c>
      <c r="H1043" s="5" t="s">
        <v>150</v>
      </c>
      <c r="I1043" s="1" t="s">
        <v>295</v>
      </c>
      <c r="J1043" s="1"/>
      <c r="K1043" s="1"/>
      <c r="L1043" s="2" t="s">
        <v>3003</v>
      </c>
      <c r="M1043" s="1"/>
      <c r="N1043" s="1"/>
      <c r="O1043" s="1"/>
      <c r="P1043" s="1"/>
      <c r="Q1043" s="1"/>
      <c r="R1043" s="1"/>
      <c r="S1043" s="1"/>
      <c r="T1043" s="1"/>
      <c r="U1043" s="1"/>
      <c r="V1043" s="1"/>
      <c r="W1043" s="1"/>
      <c r="X1043" s="1"/>
      <c r="Y1043" s="1"/>
      <c r="Z1043" s="1"/>
    </row>
    <row r="1044" spans="1:26" ht="33.75" customHeight="1">
      <c r="A1044" s="1">
        <v>1037</v>
      </c>
      <c r="B1044" s="1" t="s">
        <v>3004</v>
      </c>
      <c r="C1044" s="1" t="s">
        <v>2636</v>
      </c>
      <c r="D1044" s="4">
        <v>39880.113888888889</v>
      </c>
      <c r="E1044" s="1" t="s">
        <v>1528</v>
      </c>
      <c r="F1044" s="1" t="s">
        <v>2889</v>
      </c>
      <c r="G1044" s="5" t="s">
        <v>15</v>
      </c>
      <c r="H1044" s="5" t="s">
        <v>150</v>
      </c>
      <c r="I1044" s="1" t="s">
        <v>2382</v>
      </c>
      <c r="J1044" s="1"/>
      <c r="K1044" s="1"/>
      <c r="L1044" s="2" t="s">
        <v>3005</v>
      </c>
      <c r="M1044" s="1"/>
      <c r="N1044" s="1"/>
      <c r="O1044" s="1"/>
      <c r="P1044" s="1"/>
      <c r="Q1044" s="1"/>
      <c r="R1044" s="1"/>
      <c r="S1044" s="1"/>
      <c r="T1044" s="1"/>
      <c r="U1044" s="1"/>
      <c r="V1044" s="1"/>
      <c r="W1044" s="1"/>
      <c r="X1044" s="1"/>
      <c r="Y1044" s="1"/>
      <c r="Z1044" s="1"/>
    </row>
    <row r="1045" spans="1:26" ht="33.75" customHeight="1">
      <c r="A1045" s="1">
        <v>1038</v>
      </c>
      <c r="B1045" s="1" t="s">
        <v>3006</v>
      </c>
      <c r="C1045" s="1" t="s">
        <v>2636</v>
      </c>
      <c r="D1045" s="4">
        <v>39879.779166666667</v>
      </c>
      <c r="E1045" s="1" t="s">
        <v>14</v>
      </c>
      <c r="F1045" s="1"/>
      <c r="G1045" s="5" t="s">
        <v>15</v>
      </c>
      <c r="H1045" s="5" t="s">
        <v>150</v>
      </c>
      <c r="I1045" s="1" t="s">
        <v>295</v>
      </c>
      <c r="J1045" s="1"/>
      <c r="K1045" s="1"/>
      <c r="L1045" s="2" t="s">
        <v>3007</v>
      </c>
      <c r="M1045" s="1"/>
      <c r="N1045" s="1"/>
      <c r="O1045" s="1"/>
      <c r="P1045" s="1"/>
      <c r="Q1045" s="1"/>
      <c r="R1045" s="1"/>
      <c r="S1045" s="1"/>
      <c r="T1045" s="1"/>
      <c r="U1045" s="1"/>
      <c r="V1045" s="1"/>
      <c r="W1045" s="1"/>
      <c r="X1045" s="1"/>
      <c r="Y1045" s="1"/>
      <c r="Z1045" s="1"/>
    </row>
    <row r="1046" spans="1:26" ht="33.75" customHeight="1">
      <c r="A1046" s="1">
        <v>1036</v>
      </c>
      <c r="B1046" s="1" t="s">
        <v>3008</v>
      </c>
      <c r="C1046" s="1" t="s">
        <v>2636</v>
      </c>
      <c r="D1046" s="4">
        <v>39879.781944444447</v>
      </c>
      <c r="E1046" s="1" t="s">
        <v>14</v>
      </c>
      <c r="F1046" s="1" t="s">
        <v>2889</v>
      </c>
      <c r="G1046" s="5" t="s">
        <v>15</v>
      </c>
      <c r="H1046" s="5" t="s">
        <v>150</v>
      </c>
      <c r="I1046" s="1" t="s">
        <v>2382</v>
      </c>
      <c r="J1046" s="1"/>
      <c r="K1046" s="1"/>
      <c r="L1046" s="2" t="s">
        <v>3009</v>
      </c>
      <c r="M1046" s="1"/>
      <c r="N1046" s="1"/>
      <c r="O1046" s="1"/>
      <c r="P1046" s="1"/>
      <c r="Q1046" s="1"/>
      <c r="R1046" s="1"/>
      <c r="S1046" s="1"/>
      <c r="T1046" s="1"/>
      <c r="U1046" s="1"/>
      <c r="V1046" s="1"/>
      <c r="W1046" s="1"/>
      <c r="X1046" s="1"/>
      <c r="Y1046" s="1"/>
      <c r="Z1046" s="1"/>
    </row>
    <row r="1047" spans="1:26" ht="33.75" customHeight="1">
      <c r="A1047" s="1">
        <v>1935</v>
      </c>
      <c r="B1047" s="1" t="s">
        <v>3010</v>
      </c>
      <c r="C1047" s="1" t="s">
        <v>2870</v>
      </c>
      <c r="D1047" s="4">
        <v>39879.837500000001</v>
      </c>
      <c r="E1047" s="1" t="s">
        <v>84</v>
      </c>
      <c r="F1047" s="1"/>
      <c r="G1047" s="5" t="s">
        <v>26</v>
      </c>
      <c r="H1047" s="5" t="s">
        <v>133</v>
      </c>
      <c r="I1047" s="1" t="s">
        <v>3011</v>
      </c>
      <c r="J1047" s="1"/>
      <c r="K1047" s="1" t="s">
        <v>3012</v>
      </c>
      <c r="L1047" s="2" t="s">
        <v>3013</v>
      </c>
      <c r="M1047" s="1"/>
      <c r="N1047" s="1"/>
      <c r="O1047" s="1"/>
      <c r="P1047" s="1"/>
      <c r="Q1047" s="1"/>
      <c r="R1047" s="1"/>
      <c r="S1047" s="1"/>
      <c r="T1047" s="1"/>
      <c r="U1047" s="1"/>
      <c r="V1047" s="1"/>
      <c r="W1047" s="1"/>
      <c r="X1047" s="1"/>
      <c r="Y1047" s="1"/>
      <c r="Z1047" s="1"/>
    </row>
    <row r="1048" spans="1:26" ht="33.75" customHeight="1">
      <c r="A1048" s="1">
        <v>1039</v>
      </c>
      <c r="B1048" s="1" t="s">
        <v>3014</v>
      </c>
      <c r="C1048" s="1" t="s">
        <v>2636</v>
      </c>
      <c r="D1048" s="4">
        <v>39879.905555555553</v>
      </c>
      <c r="E1048" s="1" t="s">
        <v>14</v>
      </c>
      <c r="F1048" s="1"/>
      <c r="G1048" s="5" t="s">
        <v>15</v>
      </c>
      <c r="H1048" s="5" t="s">
        <v>150</v>
      </c>
      <c r="I1048" s="1" t="s">
        <v>295</v>
      </c>
      <c r="J1048" s="1"/>
      <c r="K1048" s="1"/>
      <c r="L1048" s="2" t="s">
        <v>3015</v>
      </c>
      <c r="M1048" s="1"/>
      <c r="N1048" s="1"/>
      <c r="O1048" s="1"/>
      <c r="P1048" s="1"/>
      <c r="Q1048" s="1"/>
      <c r="R1048" s="1"/>
      <c r="S1048" s="1"/>
      <c r="T1048" s="1"/>
      <c r="U1048" s="1"/>
      <c r="V1048" s="1"/>
      <c r="W1048" s="1"/>
      <c r="X1048" s="1"/>
      <c r="Y1048" s="1"/>
      <c r="Z1048" s="1"/>
    </row>
    <row r="1049" spans="1:26" ht="33.75" customHeight="1">
      <c r="A1049" s="1">
        <v>1936</v>
      </c>
      <c r="B1049" s="1" t="s">
        <v>3016</v>
      </c>
      <c r="C1049" s="1" t="s">
        <v>2870</v>
      </c>
      <c r="D1049" s="4">
        <v>39879.915277777778</v>
      </c>
      <c r="E1049" s="1" t="s">
        <v>2893</v>
      </c>
      <c r="F1049" s="1" t="s">
        <v>3010</v>
      </c>
      <c r="G1049" s="5" t="s">
        <v>64</v>
      </c>
      <c r="H1049" s="1"/>
      <c r="I1049" s="1" t="s">
        <v>64</v>
      </c>
      <c r="J1049" s="1"/>
      <c r="K1049" s="1" t="s">
        <v>3017</v>
      </c>
      <c r="L1049" s="2" t="s">
        <v>3018</v>
      </c>
      <c r="M1049" s="1"/>
      <c r="N1049" s="1"/>
      <c r="O1049" s="1"/>
      <c r="P1049" s="1"/>
      <c r="Q1049" s="1"/>
      <c r="R1049" s="1"/>
      <c r="S1049" s="1"/>
      <c r="T1049" s="1"/>
      <c r="U1049" s="1"/>
      <c r="V1049" s="1"/>
      <c r="W1049" s="1"/>
      <c r="X1049" s="1"/>
      <c r="Y1049" s="1"/>
      <c r="Z1049" s="1"/>
    </row>
    <row r="1050" spans="1:26" ht="33.75" customHeight="1">
      <c r="A1050" s="1">
        <v>1040</v>
      </c>
      <c r="B1050" s="1" t="s">
        <v>3019</v>
      </c>
      <c r="C1050" s="1" t="s">
        <v>2636</v>
      </c>
      <c r="D1050" s="4">
        <v>39879.996527777781</v>
      </c>
      <c r="E1050" s="1" t="s">
        <v>196</v>
      </c>
      <c r="F1050" s="1"/>
      <c r="G1050" s="5" t="s">
        <v>15</v>
      </c>
      <c r="H1050" s="5" t="s">
        <v>150</v>
      </c>
      <c r="I1050" s="1" t="s">
        <v>295</v>
      </c>
      <c r="J1050" s="1"/>
      <c r="K1050" s="1"/>
      <c r="L1050" s="2" t="s">
        <v>3020</v>
      </c>
      <c r="M1050" s="1"/>
      <c r="N1050" s="1"/>
      <c r="O1050" s="1"/>
      <c r="P1050" s="1"/>
      <c r="Q1050" s="1"/>
      <c r="R1050" s="1"/>
      <c r="S1050" s="1"/>
      <c r="T1050" s="1"/>
      <c r="U1050" s="1"/>
      <c r="V1050" s="1"/>
      <c r="W1050" s="1"/>
      <c r="X1050" s="1"/>
      <c r="Y1050" s="1"/>
      <c r="Z1050" s="1"/>
    </row>
    <row r="1051" spans="1:26" ht="33.75" customHeight="1">
      <c r="A1051" s="1">
        <v>1041</v>
      </c>
      <c r="B1051" s="1" t="s">
        <v>3021</v>
      </c>
      <c r="C1051" s="1" t="s">
        <v>2636</v>
      </c>
      <c r="D1051" s="4">
        <v>39880.037499999999</v>
      </c>
      <c r="E1051" s="1" t="s">
        <v>14</v>
      </c>
      <c r="F1051" s="1" t="s">
        <v>3019</v>
      </c>
      <c r="G1051" s="5" t="s">
        <v>26</v>
      </c>
      <c r="H1051" s="5" t="s">
        <v>133</v>
      </c>
      <c r="I1051" s="1" t="s">
        <v>2382</v>
      </c>
      <c r="J1051" s="1"/>
      <c r="K1051" s="1"/>
      <c r="L1051" s="2" t="s">
        <v>3022</v>
      </c>
      <c r="M1051" s="1"/>
      <c r="N1051" s="1"/>
      <c r="O1051" s="1"/>
      <c r="P1051" s="1"/>
      <c r="Q1051" s="1"/>
      <c r="R1051" s="1"/>
      <c r="S1051" s="1"/>
      <c r="T1051" s="1"/>
      <c r="U1051" s="1"/>
      <c r="V1051" s="1"/>
      <c r="W1051" s="1"/>
      <c r="X1051" s="1"/>
      <c r="Y1051" s="1"/>
      <c r="Z1051" s="1"/>
    </row>
    <row r="1052" spans="1:26" ht="33.75" customHeight="1">
      <c r="A1052" s="1">
        <v>1042</v>
      </c>
      <c r="B1052" s="1" t="s">
        <v>3023</v>
      </c>
      <c r="C1052" s="1" t="s">
        <v>2636</v>
      </c>
      <c r="D1052" s="4">
        <v>39880.054861111108</v>
      </c>
      <c r="E1052" s="1" t="s">
        <v>196</v>
      </c>
      <c r="F1052" s="1"/>
      <c r="G1052" s="5" t="s">
        <v>26</v>
      </c>
      <c r="H1052" s="5" t="s">
        <v>27</v>
      </c>
      <c r="I1052" s="1" t="s">
        <v>28</v>
      </c>
      <c r="J1052" s="1" t="s">
        <v>29</v>
      </c>
      <c r="K1052" s="1"/>
      <c r="L1052" s="2" t="s">
        <v>3024</v>
      </c>
      <c r="M1052" s="1"/>
      <c r="N1052" s="1"/>
      <c r="O1052" s="1"/>
      <c r="P1052" s="1"/>
      <c r="Q1052" s="1"/>
      <c r="R1052" s="1"/>
      <c r="S1052" s="1"/>
      <c r="T1052" s="1"/>
      <c r="U1052" s="1"/>
      <c r="V1052" s="1"/>
      <c r="W1052" s="1"/>
      <c r="X1052" s="1"/>
      <c r="Y1052" s="1"/>
      <c r="Z1052" s="1"/>
    </row>
    <row r="1053" spans="1:26" ht="33.75" customHeight="1">
      <c r="A1053" s="1">
        <v>1043</v>
      </c>
      <c r="B1053" s="1" t="s">
        <v>3025</v>
      </c>
      <c r="C1053" s="1" t="s">
        <v>2636</v>
      </c>
      <c r="D1053" s="4">
        <v>39880.068749999999</v>
      </c>
      <c r="E1053" s="1" t="s">
        <v>196</v>
      </c>
      <c r="F1053" s="1" t="s">
        <v>3019</v>
      </c>
      <c r="G1053" s="5" t="s">
        <v>15</v>
      </c>
      <c r="H1053" s="5" t="s">
        <v>402</v>
      </c>
      <c r="I1053" s="1" t="s">
        <v>576</v>
      </c>
      <c r="J1053" s="1"/>
      <c r="K1053" s="1"/>
      <c r="L1053" s="2" t="s">
        <v>3026</v>
      </c>
      <c r="M1053" s="1"/>
      <c r="N1053" s="1"/>
      <c r="O1053" s="1"/>
      <c r="P1053" s="1"/>
      <c r="Q1053" s="1"/>
      <c r="R1053" s="1"/>
      <c r="S1053" s="1"/>
      <c r="T1053" s="1"/>
      <c r="U1053" s="1"/>
      <c r="V1053" s="1"/>
      <c r="W1053" s="1"/>
      <c r="X1053" s="1"/>
      <c r="Y1053" s="1"/>
      <c r="Z1053" s="1"/>
    </row>
    <row r="1054" spans="1:26" ht="33.75" customHeight="1">
      <c r="A1054" s="1">
        <v>1048</v>
      </c>
      <c r="B1054" s="1" t="s">
        <v>3027</v>
      </c>
      <c r="C1054" s="1" t="s">
        <v>2636</v>
      </c>
      <c r="D1054" s="4">
        <v>39880.07708333333</v>
      </c>
      <c r="E1054" s="1" t="s">
        <v>14</v>
      </c>
      <c r="F1054" s="1"/>
      <c r="G1054" s="5" t="s">
        <v>15</v>
      </c>
      <c r="H1054" s="5" t="s">
        <v>150</v>
      </c>
      <c r="I1054" s="1" t="s">
        <v>3028</v>
      </c>
      <c r="J1054" s="1"/>
      <c r="K1054" s="1"/>
      <c r="L1054" s="2" t="s">
        <v>3029</v>
      </c>
      <c r="M1054" s="1"/>
      <c r="N1054" s="1"/>
      <c r="O1054" s="1"/>
      <c r="P1054" s="1"/>
      <c r="Q1054" s="1"/>
      <c r="R1054" s="1"/>
      <c r="S1054" s="1"/>
      <c r="T1054" s="1"/>
      <c r="U1054" s="1"/>
      <c r="V1054" s="1"/>
      <c r="W1054" s="1"/>
      <c r="X1054" s="1"/>
      <c r="Y1054" s="1"/>
      <c r="Z1054" s="1"/>
    </row>
    <row r="1055" spans="1:26" ht="33.75" customHeight="1">
      <c r="A1055" s="1">
        <v>1044</v>
      </c>
      <c r="B1055" s="1" t="s">
        <v>3030</v>
      </c>
      <c r="C1055" s="1" t="s">
        <v>2636</v>
      </c>
      <c r="D1055" s="4">
        <v>39880.081944444442</v>
      </c>
      <c r="E1055" s="1" t="s">
        <v>196</v>
      </c>
      <c r="F1055" s="1" t="s">
        <v>3019</v>
      </c>
      <c r="G1055" s="6" t="s">
        <v>78</v>
      </c>
      <c r="H1055" s="5" t="s">
        <v>79</v>
      </c>
      <c r="I1055" s="1" t="s">
        <v>2382</v>
      </c>
      <c r="J1055" s="1"/>
      <c r="K1055" s="1" t="s">
        <v>3031</v>
      </c>
      <c r="L1055" s="2" t="s">
        <v>3032</v>
      </c>
      <c r="M1055" s="1"/>
      <c r="N1055" s="1"/>
      <c r="O1055" s="1"/>
      <c r="P1055" s="1"/>
      <c r="Q1055" s="1"/>
      <c r="R1055" s="1"/>
      <c r="S1055" s="1"/>
      <c r="T1055" s="1"/>
      <c r="U1055" s="1"/>
      <c r="V1055" s="1"/>
      <c r="W1055" s="1"/>
      <c r="X1055" s="1"/>
      <c r="Y1055" s="1"/>
      <c r="Z1055" s="1"/>
    </row>
    <row r="1056" spans="1:26" ht="33.75" customHeight="1">
      <c r="A1056" s="1">
        <v>1052</v>
      </c>
      <c r="B1056" s="1" t="s">
        <v>3033</v>
      </c>
      <c r="C1056" s="1" t="s">
        <v>2636</v>
      </c>
      <c r="D1056" s="4">
        <v>39880.693055555559</v>
      </c>
      <c r="E1056" s="1" t="s">
        <v>1528</v>
      </c>
      <c r="F1056" s="1" t="s">
        <v>3034</v>
      </c>
      <c r="G1056" s="5" t="s">
        <v>15</v>
      </c>
      <c r="H1056" s="5" t="s">
        <v>55</v>
      </c>
      <c r="I1056" s="1" t="s">
        <v>2382</v>
      </c>
      <c r="J1056" s="1"/>
      <c r="K1056" s="1" t="s">
        <v>3035</v>
      </c>
      <c r="L1056" s="2" t="s">
        <v>3036</v>
      </c>
      <c r="M1056" s="1"/>
      <c r="N1056" s="1"/>
      <c r="O1056" s="1"/>
      <c r="P1056" s="1"/>
      <c r="Q1056" s="1"/>
      <c r="R1056" s="1"/>
      <c r="S1056" s="1"/>
      <c r="T1056" s="1"/>
      <c r="U1056" s="1"/>
      <c r="V1056" s="1"/>
      <c r="W1056" s="1"/>
      <c r="X1056" s="1"/>
      <c r="Y1056" s="1"/>
      <c r="Z1056" s="1"/>
    </row>
    <row r="1057" spans="1:26" ht="33.75" customHeight="1">
      <c r="A1057" s="1">
        <v>1049</v>
      </c>
      <c r="B1057" s="1" t="s">
        <v>3037</v>
      </c>
      <c r="C1057" s="1" t="s">
        <v>2636</v>
      </c>
      <c r="D1057" s="4">
        <v>39880.160416666666</v>
      </c>
      <c r="E1057" s="1" t="s">
        <v>54</v>
      </c>
      <c r="F1057" s="1" t="s">
        <v>3027</v>
      </c>
      <c r="G1057" s="5" t="s">
        <v>15</v>
      </c>
      <c r="H1057" s="5" t="s">
        <v>150</v>
      </c>
      <c r="I1057" s="1" t="s">
        <v>2382</v>
      </c>
      <c r="J1057" s="1"/>
      <c r="K1057" s="1"/>
      <c r="L1057" s="2" t="s">
        <v>3038</v>
      </c>
      <c r="M1057" s="1"/>
      <c r="N1057" s="1"/>
      <c r="O1057" s="1"/>
      <c r="P1057" s="1"/>
      <c r="Q1057" s="1"/>
      <c r="R1057" s="1"/>
      <c r="S1057" s="1"/>
      <c r="T1057" s="1"/>
      <c r="U1057" s="1"/>
      <c r="V1057" s="1"/>
      <c r="W1057" s="1"/>
      <c r="X1057" s="1"/>
      <c r="Y1057" s="1"/>
      <c r="Z1057" s="1"/>
    </row>
    <row r="1058" spans="1:26" ht="33.75" customHeight="1">
      <c r="A1058" s="1">
        <v>1045</v>
      </c>
      <c r="B1058" s="1" t="s">
        <v>3039</v>
      </c>
      <c r="C1058" s="1" t="s">
        <v>2636</v>
      </c>
      <c r="D1058" s="4">
        <v>39880.20416666667</v>
      </c>
      <c r="E1058" s="1" t="s">
        <v>196</v>
      </c>
      <c r="F1058" s="1"/>
      <c r="G1058" s="5" t="s">
        <v>15</v>
      </c>
      <c r="H1058" s="5" t="s">
        <v>55</v>
      </c>
      <c r="I1058" s="1" t="s">
        <v>213</v>
      </c>
      <c r="J1058" s="1" t="s">
        <v>3040</v>
      </c>
      <c r="K1058" s="1"/>
      <c r="L1058" s="2" t="s">
        <v>3041</v>
      </c>
      <c r="M1058" s="1"/>
      <c r="N1058" s="1"/>
      <c r="O1058" s="1"/>
      <c r="P1058" s="1"/>
      <c r="Q1058" s="1"/>
      <c r="R1058" s="1"/>
      <c r="S1058" s="1"/>
      <c r="T1058" s="1"/>
      <c r="U1058" s="1"/>
      <c r="V1058" s="1"/>
      <c r="W1058" s="1"/>
      <c r="X1058" s="1"/>
      <c r="Y1058" s="1"/>
      <c r="Z1058" s="1"/>
    </row>
    <row r="1059" spans="1:26" ht="33.75" customHeight="1">
      <c r="A1059" s="1">
        <v>1937</v>
      </c>
      <c r="B1059" s="1" t="s">
        <v>3042</v>
      </c>
      <c r="C1059" s="1" t="s">
        <v>2870</v>
      </c>
      <c r="D1059" s="4">
        <v>39880.229166666664</v>
      </c>
      <c r="E1059" s="1" t="s">
        <v>1089</v>
      </c>
      <c r="F1059" s="1"/>
      <c r="G1059" s="5" t="s">
        <v>64</v>
      </c>
      <c r="H1059" s="1"/>
      <c r="I1059" s="1" t="s">
        <v>64</v>
      </c>
      <c r="J1059" s="1"/>
      <c r="K1059" s="1"/>
      <c r="L1059" s="2" t="s">
        <v>3043</v>
      </c>
      <c r="M1059" s="1"/>
      <c r="N1059" s="1"/>
      <c r="O1059" s="1"/>
      <c r="P1059" s="1"/>
      <c r="Q1059" s="1"/>
      <c r="R1059" s="1"/>
      <c r="S1059" s="1"/>
      <c r="T1059" s="1"/>
      <c r="U1059" s="1"/>
      <c r="V1059" s="1"/>
      <c r="W1059" s="1"/>
      <c r="X1059" s="1"/>
      <c r="Y1059" s="1"/>
      <c r="Z1059" s="1"/>
    </row>
    <row r="1060" spans="1:26" ht="33.75" customHeight="1">
      <c r="A1060" s="1">
        <v>1046</v>
      </c>
      <c r="B1060" s="1" t="s">
        <v>3044</v>
      </c>
      <c r="C1060" s="1" t="s">
        <v>2636</v>
      </c>
      <c r="D1060" s="4">
        <v>39880.240277777775</v>
      </c>
      <c r="E1060" s="1" t="s">
        <v>196</v>
      </c>
      <c r="F1060" s="1"/>
      <c r="G1060" s="5" t="s">
        <v>15</v>
      </c>
      <c r="H1060" s="5" t="s">
        <v>55</v>
      </c>
      <c r="I1060" s="1" t="s">
        <v>213</v>
      </c>
      <c r="J1060" s="1" t="s">
        <v>3040</v>
      </c>
      <c r="K1060" s="1" t="s">
        <v>3045</v>
      </c>
      <c r="L1060" s="2" t="s">
        <v>3046</v>
      </c>
      <c r="M1060" s="1"/>
      <c r="N1060" s="1"/>
      <c r="O1060" s="1"/>
      <c r="P1060" s="1"/>
      <c r="Q1060" s="1"/>
      <c r="R1060" s="1"/>
      <c r="S1060" s="1"/>
      <c r="T1060" s="1"/>
      <c r="U1060" s="1"/>
      <c r="V1060" s="1"/>
      <c r="W1060" s="1"/>
      <c r="X1060" s="1"/>
      <c r="Y1060" s="1"/>
      <c r="Z1060" s="1"/>
    </row>
    <row r="1061" spans="1:26" ht="33.75" customHeight="1">
      <c r="A1061" s="1">
        <v>1047</v>
      </c>
      <c r="B1061" s="1" t="s">
        <v>3047</v>
      </c>
      <c r="C1061" s="1" t="s">
        <v>2636</v>
      </c>
      <c r="D1061" s="4">
        <v>39880.320138888892</v>
      </c>
      <c r="E1061" s="1" t="s">
        <v>196</v>
      </c>
      <c r="F1061" s="1"/>
      <c r="G1061" s="5" t="s">
        <v>15</v>
      </c>
      <c r="H1061" s="5" t="s">
        <v>55</v>
      </c>
      <c r="I1061" s="1" t="s">
        <v>213</v>
      </c>
      <c r="J1061" s="1" t="s">
        <v>3040</v>
      </c>
      <c r="K1061" s="1"/>
      <c r="L1061" s="2" t="s">
        <v>3048</v>
      </c>
      <c r="M1061" s="1"/>
      <c r="N1061" s="1"/>
      <c r="O1061" s="1"/>
      <c r="P1061" s="1"/>
      <c r="Q1061" s="1"/>
      <c r="R1061" s="1"/>
      <c r="S1061" s="1"/>
      <c r="T1061" s="1"/>
      <c r="U1061" s="1"/>
      <c r="V1061" s="1"/>
      <c r="W1061" s="1"/>
      <c r="X1061" s="1"/>
      <c r="Y1061" s="1"/>
      <c r="Z1061" s="1"/>
    </row>
    <row r="1062" spans="1:26" ht="33.75" customHeight="1">
      <c r="A1062" s="1">
        <v>1050</v>
      </c>
      <c r="B1062" s="1" t="s">
        <v>3049</v>
      </c>
      <c r="C1062" s="1" t="s">
        <v>2636</v>
      </c>
      <c r="D1062" s="4">
        <v>39880.352083333331</v>
      </c>
      <c r="E1062" s="1" t="s">
        <v>14</v>
      </c>
      <c r="F1062" s="1" t="s">
        <v>3027</v>
      </c>
      <c r="G1062" s="5" t="s">
        <v>64</v>
      </c>
      <c r="H1062" s="5" t="s">
        <v>1053</v>
      </c>
      <c r="I1062" s="1" t="s">
        <v>2382</v>
      </c>
      <c r="J1062" s="1"/>
      <c r="K1062" s="1" t="s">
        <v>3050</v>
      </c>
      <c r="L1062" s="2" t="s">
        <v>3051</v>
      </c>
      <c r="M1062" s="1"/>
      <c r="N1062" s="1"/>
      <c r="O1062" s="1"/>
      <c r="P1062" s="1"/>
      <c r="Q1062" s="1"/>
      <c r="R1062" s="1"/>
      <c r="S1062" s="1"/>
      <c r="T1062" s="1"/>
      <c r="U1062" s="1"/>
      <c r="V1062" s="1"/>
      <c r="W1062" s="1"/>
      <c r="X1062" s="1"/>
      <c r="Y1062" s="1"/>
      <c r="Z1062" s="1"/>
    </row>
    <row r="1063" spans="1:26" ht="33.75" customHeight="1">
      <c r="A1063" s="1">
        <v>1938</v>
      </c>
      <c r="B1063" s="1" t="s">
        <v>3052</v>
      </c>
      <c r="C1063" s="1" t="s">
        <v>2870</v>
      </c>
      <c r="D1063" s="4">
        <v>39880.37222222222</v>
      </c>
      <c r="E1063" s="1" t="s">
        <v>2893</v>
      </c>
      <c r="F1063" s="1"/>
      <c r="G1063" s="5" t="s">
        <v>64</v>
      </c>
      <c r="H1063" s="1"/>
      <c r="I1063" s="1" t="s">
        <v>64</v>
      </c>
      <c r="J1063" s="1"/>
      <c r="K1063" s="1"/>
      <c r="L1063" s="2" t="s">
        <v>3053</v>
      </c>
      <c r="M1063" s="1"/>
      <c r="N1063" s="1"/>
      <c r="O1063" s="1"/>
      <c r="P1063" s="1"/>
      <c r="Q1063" s="1"/>
      <c r="R1063" s="1"/>
      <c r="S1063" s="1"/>
      <c r="T1063" s="1"/>
      <c r="U1063" s="1"/>
      <c r="V1063" s="1"/>
      <c r="W1063" s="1"/>
      <c r="X1063" s="1"/>
      <c r="Y1063" s="1"/>
      <c r="Z1063" s="1"/>
    </row>
    <row r="1064" spans="1:26" ht="33.75" customHeight="1">
      <c r="A1064" s="1">
        <v>1939</v>
      </c>
      <c r="B1064" s="1" t="s">
        <v>3054</v>
      </c>
      <c r="C1064" s="1" t="s">
        <v>2870</v>
      </c>
      <c r="D1064" s="4">
        <v>39880.412499999999</v>
      </c>
      <c r="E1064" s="1" t="s">
        <v>54</v>
      </c>
      <c r="F1064" s="1" t="s">
        <v>3055</v>
      </c>
      <c r="G1064" s="5" t="s">
        <v>64</v>
      </c>
      <c r="H1064" s="5" t="s">
        <v>263</v>
      </c>
      <c r="I1064" s="1" t="s">
        <v>315</v>
      </c>
      <c r="J1064" s="1" t="s">
        <v>3056</v>
      </c>
      <c r="K1064" s="1"/>
      <c r="L1064" s="2" t="s">
        <v>3057</v>
      </c>
      <c r="M1064" s="1"/>
      <c r="N1064" s="1"/>
      <c r="O1064" s="1"/>
      <c r="P1064" s="1"/>
      <c r="Q1064" s="1"/>
      <c r="R1064" s="1"/>
      <c r="S1064" s="1"/>
      <c r="T1064" s="1"/>
      <c r="U1064" s="1"/>
      <c r="V1064" s="1"/>
      <c r="W1064" s="1"/>
      <c r="X1064" s="1"/>
      <c r="Y1064" s="1"/>
      <c r="Z1064" s="1"/>
    </row>
    <row r="1065" spans="1:26" ht="33.75" customHeight="1">
      <c r="A1065" s="1">
        <v>1051</v>
      </c>
      <c r="B1065" s="1" t="s">
        <v>3034</v>
      </c>
      <c r="C1065" s="1" t="s">
        <v>2636</v>
      </c>
      <c r="D1065" s="4">
        <v>39880.465277777781</v>
      </c>
      <c r="E1065" s="1" t="s">
        <v>14</v>
      </c>
      <c r="F1065" s="1"/>
      <c r="G1065" s="5" t="s">
        <v>64</v>
      </c>
      <c r="H1065" s="5" t="s">
        <v>1053</v>
      </c>
      <c r="I1065" s="1" t="s">
        <v>2928</v>
      </c>
      <c r="J1065" s="1"/>
      <c r="K1065" s="1"/>
      <c r="L1065" s="2" t="s">
        <v>3058</v>
      </c>
      <c r="M1065" s="1"/>
      <c r="N1065" s="1"/>
      <c r="O1065" s="1"/>
      <c r="P1065" s="1"/>
      <c r="Q1065" s="1"/>
      <c r="R1065" s="1"/>
      <c r="S1065" s="1"/>
      <c r="T1065" s="1"/>
      <c r="U1065" s="1"/>
      <c r="V1065" s="1"/>
      <c r="W1065" s="1"/>
      <c r="X1065" s="1"/>
      <c r="Y1065" s="1"/>
      <c r="Z1065" s="1"/>
    </row>
    <row r="1066" spans="1:26" ht="33.75" customHeight="1">
      <c r="A1066" s="1">
        <v>1940</v>
      </c>
      <c r="B1066" s="1" t="s">
        <v>3059</v>
      </c>
      <c r="C1066" s="1" t="s">
        <v>2870</v>
      </c>
      <c r="D1066" s="4">
        <v>39880.509722222225</v>
      </c>
      <c r="E1066" s="1" t="s">
        <v>772</v>
      </c>
      <c r="F1066" s="1"/>
      <c r="G1066" s="5" t="s">
        <v>64</v>
      </c>
      <c r="H1066" s="1"/>
      <c r="I1066" s="1" t="s">
        <v>64</v>
      </c>
      <c r="J1066" s="1"/>
      <c r="K1066" s="1"/>
      <c r="L1066" s="2" t="s">
        <v>3060</v>
      </c>
      <c r="M1066" s="1"/>
      <c r="N1066" s="1"/>
      <c r="O1066" s="1"/>
      <c r="P1066" s="1"/>
      <c r="Q1066" s="1"/>
      <c r="R1066" s="1"/>
      <c r="S1066" s="1"/>
      <c r="T1066" s="1"/>
      <c r="U1066" s="1"/>
      <c r="V1066" s="1"/>
      <c r="W1066" s="1"/>
      <c r="X1066" s="1"/>
      <c r="Y1066" s="1"/>
      <c r="Z1066" s="1"/>
    </row>
    <row r="1067" spans="1:26" ht="33.75" customHeight="1">
      <c r="A1067" s="1">
        <v>1941</v>
      </c>
      <c r="B1067" s="1" t="s">
        <v>3061</v>
      </c>
      <c r="C1067" s="1" t="s">
        <v>2870</v>
      </c>
      <c r="D1067" s="4">
        <v>39880.645138888889</v>
      </c>
      <c r="E1067" s="1" t="s">
        <v>54</v>
      </c>
      <c r="F1067" s="1"/>
      <c r="G1067" s="5" t="s">
        <v>64</v>
      </c>
      <c r="H1067" s="5" t="s">
        <v>684</v>
      </c>
      <c r="I1067" s="1" t="s">
        <v>3062</v>
      </c>
      <c r="J1067" s="1"/>
      <c r="K1067" s="1"/>
      <c r="L1067" s="2" t="s">
        <v>3063</v>
      </c>
      <c r="M1067" s="1"/>
      <c r="N1067" s="1"/>
      <c r="O1067" s="1"/>
      <c r="P1067" s="1"/>
      <c r="Q1067" s="1"/>
      <c r="R1067" s="1"/>
      <c r="S1067" s="1"/>
      <c r="T1067" s="1"/>
      <c r="U1067" s="1"/>
      <c r="V1067" s="1"/>
      <c r="W1067" s="1"/>
      <c r="X1067" s="1"/>
      <c r="Y1067" s="1"/>
      <c r="Z1067" s="1"/>
    </row>
    <row r="1068" spans="1:26" ht="33.75" customHeight="1">
      <c r="A1068" s="1">
        <v>1065</v>
      </c>
      <c r="B1068" s="1" t="s">
        <v>3064</v>
      </c>
      <c r="C1068" s="1" t="s">
        <v>2636</v>
      </c>
      <c r="D1068" s="4">
        <v>39881.261805555558</v>
      </c>
      <c r="E1068" s="1" t="s">
        <v>1528</v>
      </c>
      <c r="F1068" s="1" t="s">
        <v>3065</v>
      </c>
      <c r="G1068" s="5" t="s">
        <v>15</v>
      </c>
      <c r="H1068" s="5" t="s">
        <v>55</v>
      </c>
      <c r="I1068" s="1" t="s">
        <v>2382</v>
      </c>
      <c r="J1068" s="1"/>
      <c r="K1068" s="1"/>
      <c r="L1068" s="2" t="s">
        <v>3066</v>
      </c>
      <c r="M1068" s="1"/>
      <c r="N1068" s="1"/>
      <c r="O1068" s="1"/>
      <c r="P1068" s="1"/>
      <c r="Q1068" s="1"/>
      <c r="R1068" s="1"/>
      <c r="S1068" s="1"/>
      <c r="T1068" s="1"/>
      <c r="U1068" s="1"/>
      <c r="V1068" s="1"/>
      <c r="W1068" s="1"/>
      <c r="X1068" s="1"/>
      <c r="Y1068" s="1"/>
      <c r="Z1068" s="1"/>
    </row>
    <row r="1069" spans="1:26" ht="33.75" customHeight="1">
      <c r="A1069" s="1">
        <v>1942</v>
      </c>
      <c r="B1069" s="1" t="s">
        <v>3067</v>
      </c>
      <c r="C1069" s="1" t="s">
        <v>2870</v>
      </c>
      <c r="D1069" s="4">
        <v>39880.730555555558</v>
      </c>
      <c r="E1069" s="1" t="s">
        <v>54</v>
      </c>
      <c r="F1069" s="1">
        <v>939</v>
      </c>
      <c r="G1069" s="5" t="s">
        <v>64</v>
      </c>
      <c r="H1069" s="1"/>
      <c r="I1069" s="1" t="s">
        <v>64</v>
      </c>
      <c r="J1069" s="1"/>
      <c r="K1069" s="1"/>
      <c r="L1069" s="2" t="s">
        <v>3068</v>
      </c>
      <c r="M1069" s="1"/>
      <c r="N1069" s="1"/>
      <c r="O1069" s="1"/>
      <c r="P1069" s="1"/>
      <c r="Q1069" s="1"/>
      <c r="R1069" s="1"/>
      <c r="S1069" s="1"/>
      <c r="T1069" s="1"/>
      <c r="U1069" s="1"/>
      <c r="V1069" s="1"/>
      <c r="W1069" s="1"/>
      <c r="X1069" s="1"/>
      <c r="Y1069" s="1"/>
      <c r="Z1069" s="1"/>
    </row>
    <row r="1070" spans="1:26" ht="33.75" customHeight="1">
      <c r="A1070" s="1">
        <v>1053</v>
      </c>
      <c r="B1070" s="1" t="s">
        <v>3069</v>
      </c>
      <c r="C1070" s="1" t="s">
        <v>2636</v>
      </c>
      <c r="D1070" s="4">
        <v>39880.864583333336</v>
      </c>
      <c r="E1070" s="1" t="s">
        <v>196</v>
      </c>
      <c r="F1070" s="1"/>
      <c r="G1070" s="5" t="s">
        <v>15</v>
      </c>
      <c r="H1070" s="5" t="s">
        <v>150</v>
      </c>
      <c r="I1070" s="1" t="s">
        <v>1803</v>
      </c>
      <c r="J1070" s="1"/>
      <c r="K1070" s="1" t="s">
        <v>3070</v>
      </c>
      <c r="L1070" s="2" t="s">
        <v>3071</v>
      </c>
      <c r="M1070" s="1"/>
      <c r="N1070" s="1"/>
      <c r="O1070" s="1"/>
      <c r="P1070" s="1"/>
      <c r="Q1070" s="1"/>
      <c r="R1070" s="1"/>
      <c r="S1070" s="1"/>
      <c r="T1070" s="1"/>
      <c r="U1070" s="1"/>
      <c r="V1070" s="1"/>
      <c r="W1070" s="1"/>
      <c r="X1070" s="1"/>
      <c r="Y1070" s="1"/>
      <c r="Z1070" s="1"/>
    </row>
    <row r="1071" spans="1:26" ht="33.75" customHeight="1">
      <c r="A1071" s="1">
        <v>1055</v>
      </c>
      <c r="B1071" s="1" t="s">
        <v>3072</v>
      </c>
      <c r="C1071" s="1" t="s">
        <v>2636</v>
      </c>
      <c r="D1071" s="4">
        <v>39880.878472222219</v>
      </c>
      <c r="E1071" s="1" t="s">
        <v>320</v>
      </c>
      <c r="F1071" s="1"/>
      <c r="G1071" s="6" t="s">
        <v>78</v>
      </c>
      <c r="H1071" s="5" t="s">
        <v>88</v>
      </c>
      <c r="I1071" s="1" t="s">
        <v>493</v>
      </c>
      <c r="J1071" s="1"/>
      <c r="K1071" s="1" t="s">
        <v>3073</v>
      </c>
      <c r="L1071" s="2" t="s">
        <v>3074</v>
      </c>
      <c r="M1071" s="1"/>
      <c r="N1071" s="1"/>
      <c r="O1071" s="1"/>
      <c r="P1071" s="1"/>
      <c r="Q1071" s="1"/>
      <c r="R1071" s="1"/>
      <c r="S1071" s="1"/>
      <c r="T1071" s="1"/>
      <c r="U1071" s="1"/>
      <c r="V1071" s="1"/>
      <c r="W1071" s="1"/>
      <c r="X1071" s="1"/>
      <c r="Y1071" s="1"/>
      <c r="Z1071" s="1"/>
    </row>
    <row r="1072" spans="1:26" ht="33.75" customHeight="1">
      <c r="A1072" s="1">
        <v>1054</v>
      </c>
      <c r="B1072" s="1" t="s">
        <v>3075</v>
      </c>
      <c r="C1072" s="1" t="s">
        <v>2636</v>
      </c>
      <c r="D1072" s="4">
        <v>39880.879166666666</v>
      </c>
      <c r="E1072" s="1" t="s">
        <v>14</v>
      </c>
      <c r="F1072" s="1"/>
      <c r="G1072" s="5" t="s">
        <v>15</v>
      </c>
      <c r="H1072" s="5" t="s">
        <v>50</v>
      </c>
      <c r="I1072" s="1" t="s">
        <v>166</v>
      </c>
      <c r="J1072" s="1"/>
      <c r="K1072" s="1" t="s">
        <v>3076</v>
      </c>
      <c r="L1072" s="2" t="s">
        <v>3077</v>
      </c>
      <c r="M1072" s="1"/>
      <c r="N1072" s="1"/>
      <c r="O1072" s="1"/>
      <c r="P1072" s="1"/>
      <c r="Q1072" s="1"/>
      <c r="R1072" s="1"/>
      <c r="S1072" s="1"/>
      <c r="T1072" s="1"/>
      <c r="U1072" s="1"/>
      <c r="V1072" s="1"/>
      <c r="W1072" s="1"/>
      <c r="X1072" s="1"/>
      <c r="Y1072" s="1"/>
      <c r="Z1072" s="1"/>
    </row>
    <row r="1073" spans="1:26" ht="33.75" customHeight="1">
      <c r="A1073" s="1">
        <v>1056</v>
      </c>
      <c r="B1073" s="1" t="s">
        <v>3078</v>
      </c>
      <c r="C1073" s="1" t="s">
        <v>2636</v>
      </c>
      <c r="D1073" s="4">
        <v>39880.890972222223</v>
      </c>
      <c r="E1073" s="1" t="s">
        <v>196</v>
      </c>
      <c r="F1073" s="1" t="s">
        <v>3072</v>
      </c>
      <c r="G1073" s="5" t="s">
        <v>26</v>
      </c>
      <c r="H1073" s="5" t="s">
        <v>133</v>
      </c>
      <c r="I1073" s="1" t="s">
        <v>2382</v>
      </c>
      <c r="J1073" s="1"/>
      <c r="K1073" s="1"/>
      <c r="L1073" s="2" t="s">
        <v>3079</v>
      </c>
      <c r="M1073" s="1"/>
      <c r="N1073" s="1"/>
      <c r="O1073" s="1"/>
      <c r="P1073" s="1"/>
      <c r="Q1073" s="1"/>
      <c r="R1073" s="1"/>
      <c r="S1073" s="1"/>
      <c r="T1073" s="1"/>
      <c r="U1073" s="1"/>
      <c r="V1073" s="1"/>
      <c r="W1073" s="1"/>
      <c r="X1073" s="1"/>
      <c r="Y1073" s="1"/>
      <c r="Z1073" s="1"/>
    </row>
    <row r="1074" spans="1:26" ht="33.75" customHeight="1">
      <c r="A1074" s="1">
        <v>1057</v>
      </c>
      <c r="B1074" s="1" t="s">
        <v>3080</v>
      </c>
      <c r="C1074" s="1" t="s">
        <v>2636</v>
      </c>
      <c r="D1074" s="4">
        <v>39880.901388888888</v>
      </c>
      <c r="E1074" s="1" t="s">
        <v>320</v>
      </c>
      <c r="F1074" s="1" t="s">
        <v>3072</v>
      </c>
      <c r="G1074" s="5" t="s">
        <v>64</v>
      </c>
      <c r="H1074" s="5" t="s">
        <v>1053</v>
      </c>
      <c r="I1074" s="1" t="s">
        <v>2382</v>
      </c>
      <c r="J1074" s="1"/>
      <c r="K1074" s="1"/>
      <c r="L1074" s="2" t="s">
        <v>3081</v>
      </c>
      <c r="M1074" s="1"/>
      <c r="N1074" s="1"/>
      <c r="O1074" s="1"/>
      <c r="P1074" s="1"/>
      <c r="Q1074" s="1"/>
      <c r="R1074" s="1"/>
      <c r="S1074" s="1"/>
      <c r="T1074" s="1"/>
      <c r="U1074" s="1"/>
      <c r="V1074" s="1"/>
      <c r="W1074" s="1"/>
      <c r="X1074" s="1"/>
      <c r="Y1074" s="1"/>
      <c r="Z1074" s="1"/>
    </row>
    <row r="1075" spans="1:26" ht="33.75" customHeight="1">
      <c r="A1075" s="1">
        <v>1058</v>
      </c>
      <c r="B1075" s="1" t="s">
        <v>3082</v>
      </c>
      <c r="C1075" s="1" t="s">
        <v>2636</v>
      </c>
      <c r="D1075" s="4">
        <v>39880.919444444444</v>
      </c>
      <c r="E1075" s="1" t="s">
        <v>14</v>
      </c>
      <c r="F1075" s="1" t="s">
        <v>3072</v>
      </c>
      <c r="G1075" s="5" t="s">
        <v>64</v>
      </c>
      <c r="H1075" s="5" t="s">
        <v>1053</v>
      </c>
      <c r="I1075" s="1" t="s">
        <v>2382</v>
      </c>
      <c r="J1075" s="1"/>
      <c r="K1075" s="1"/>
      <c r="L1075" s="2" t="s">
        <v>3083</v>
      </c>
      <c r="M1075" s="1"/>
      <c r="N1075" s="1"/>
      <c r="O1075" s="1"/>
      <c r="P1075" s="1"/>
      <c r="Q1075" s="1"/>
      <c r="R1075" s="1"/>
      <c r="S1075" s="1"/>
      <c r="T1075" s="1"/>
      <c r="U1075" s="1"/>
      <c r="V1075" s="1"/>
      <c r="W1075" s="1"/>
      <c r="X1075" s="1"/>
      <c r="Y1075" s="1"/>
      <c r="Z1075" s="1"/>
    </row>
    <row r="1076" spans="1:26" ht="33.75" customHeight="1">
      <c r="A1076" s="1">
        <v>1059</v>
      </c>
      <c r="B1076" s="1" t="s">
        <v>3084</v>
      </c>
      <c r="C1076" s="1" t="s">
        <v>2636</v>
      </c>
      <c r="D1076" s="4">
        <v>39880.92083333333</v>
      </c>
      <c r="E1076" s="1" t="s">
        <v>320</v>
      </c>
      <c r="F1076" s="1" t="s">
        <v>3072</v>
      </c>
      <c r="G1076" s="5" t="s">
        <v>26</v>
      </c>
      <c r="H1076" s="5" t="s">
        <v>27</v>
      </c>
      <c r="I1076" s="1" t="s">
        <v>2382</v>
      </c>
      <c r="J1076" s="1"/>
      <c r="K1076" s="1"/>
      <c r="L1076" s="2" t="s">
        <v>3085</v>
      </c>
      <c r="M1076" s="1"/>
      <c r="N1076" s="1"/>
      <c r="O1076" s="1"/>
      <c r="P1076" s="1"/>
      <c r="Q1076" s="1"/>
      <c r="R1076" s="1"/>
      <c r="S1076" s="1"/>
      <c r="T1076" s="1"/>
      <c r="U1076" s="1"/>
      <c r="V1076" s="1"/>
      <c r="W1076" s="1"/>
      <c r="X1076" s="1"/>
      <c r="Y1076" s="1"/>
      <c r="Z1076" s="1"/>
    </row>
    <row r="1077" spans="1:26" ht="33.75" customHeight="1">
      <c r="A1077" s="1">
        <v>1060</v>
      </c>
      <c r="B1077" s="1" t="s">
        <v>3086</v>
      </c>
      <c r="C1077" s="1" t="s">
        <v>2636</v>
      </c>
      <c r="D1077" s="4">
        <v>39881.037499999999</v>
      </c>
      <c r="E1077" s="1" t="s">
        <v>14</v>
      </c>
      <c r="F1077" s="1"/>
      <c r="G1077" s="5" t="s">
        <v>64</v>
      </c>
      <c r="H1077" s="5" t="s">
        <v>1053</v>
      </c>
      <c r="I1077" s="1" t="s">
        <v>3087</v>
      </c>
      <c r="J1077" s="1"/>
      <c r="K1077" s="1"/>
      <c r="L1077" s="2" t="s">
        <v>3088</v>
      </c>
      <c r="M1077" s="1"/>
      <c r="N1077" s="1"/>
      <c r="O1077" s="1"/>
      <c r="P1077" s="1"/>
      <c r="Q1077" s="1"/>
      <c r="R1077" s="1"/>
      <c r="S1077" s="1"/>
      <c r="T1077" s="1"/>
      <c r="U1077" s="1"/>
      <c r="V1077" s="1"/>
      <c r="W1077" s="1"/>
      <c r="X1077" s="1"/>
      <c r="Y1077" s="1"/>
      <c r="Z1077" s="1"/>
    </row>
    <row r="1078" spans="1:26" ht="33.75" customHeight="1">
      <c r="A1078" s="1">
        <v>1061</v>
      </c>
      <c r="B1078" s="1" t="s">
        <v>3089</v>
      </c>
      <c r="C1078" s="1" t="s">
        <v>2636</v>
      </c>
      <c r="D1078" s="4">
        <v>39881.043055555558</v>
      </c>
      <c r="E1078" s="1" t="s">
        <v>320</v>
      </c>
      <c r="F1078" s="1" t="s">
        <v>3086</v>
      </c>
      <c r="G1078" s="5" t="s">
        <v>15</v>
      </c>
      <c r="H1078" s="5" t="s">
        <v>55</v>
      </c>
      <c r="I1078" s="1" t="s">
        <v>2382</v>
      </c>
      <c r="J1078" s="1"/>
      <c r="K1078" s="1"/>
      <c r="L1078" s="2" t="s">
        <v>3090</v>
      </c>
      <c r="M1078" s="1"/>
      <c r="N1078" s="1"/>
      <c r="O1078" s="1"/>
      <c r="P1078" s="1"/>
      <c r="Q1078" s="1"/>
      <c r="R1078" s="1"/>
      <c r="S1078" s="1"/>
      <c r="T1078" s="1"/>
      <c r="U1078" s="1"/>
      <c r="V1078" s="1"/>
      <c r="W1078" s="1"/>
      <c r="X1078" s="1"/>
      <c r="Y1078" s="1"/>
      <c r="Z1078" s="1"/>
    </row>
    <row r="1079" spans="1:26" ht="33.75" customHeight="1">
      <c r="A1079" s="1">
        <v>1063</v>
      </c>
      <c r="B1079" s="1" t="s">
        <v>3065</v>
      </c>
      <c r="C1079" s="1" t="s">
        <v>2636</v>
      </c>
      <c r="D1079" s="4">
        <v>39881.063888888886</v>
      </c>
      <c r="E1079" s="1" t="s">
        <v>14</v>
      </c>
      <c r="F1079" s="1"/>
      <c r="G1079" s="5" t="s">
        <v>64</v>
      </c>
      <c r="H1079" s="5" t="s">
        <v>263</v>
      </c>
      <c r="I1079" s="1" t="s">
        <v>315</v>
      </c>
      <c r="J1079" s="1"/>
      <c r="K1079" s="1" t="s">
        <v>3091</v>
      </c>
      <c r="L1079" s="2" t="s">
        <v>3092</v>
      </c>
      <c r="M1079" s="1"/>
      <c r="N1079" s="1"/>
      <c r="O1079" s="1"/>
      <c r="P1079" s="1"/>
      <c r="Q1079" s="1"/>
      <c r="R1079" s="1"/>
      <c r="S1079" s="1"/>
      <c r="T1079" s="1"/>
      <c r="U1079" s="1"/>
      <c r="V1079" s="1"/>
      <c r="W1079" s="1"/>
      <c r="X1079" s="1"/>
      <c r="Y1079" s="1"/>
      <c r="Z1079" s="1"/>
    </row>
    <row r="1080" spans="1:26" ht="33.75" customHeight="1">
      <c r="A1080" s="1">
        <v>1062</v>
      </c>
      <c r="B1080" s="1" t="s">
        <v>3093</v>
      </c>
      <c r="C1080" s="1" t="s">
        <v>2636</v>
      </c>
      <c r="D1080" s="4">
        <v>39881.066666666666</v>
      </c>
      <c r="E1080" s="1" t="s">
        <v>14</v>
      </c>
      <c r="F1080" s="1" t="s">
        <v>3086</v>
      </c>
      <c r="G1080" s="5" t="s">
        <v>15</v>
      </c>
      <c r="H1080" s="5" t="s">
        <v>55</v>
      </c>
      <c r="I1080" s="1" t="s">
        <v>2382</v>
      </c>
      <c r="J1080" s="1"/>
      <c r="K1080" s="1"/>
      <c r="L1080" s="2" t="s">
        <v>3094</v>
      </c>
      <c r="M1080" s="1"/>
      <c r="N1080" s="1"/>
      <c r="O1080" s="1"/>
      <c r="P1080" s="1"/>
      <c r="Q1080" s="1"/>
      <c r="R1080" s="1"/>
      <c r="S1080" s="1"/>
      <c r="T1080" s="1"/>
      <c r="U1080" s="1"/>
      <c r="V1080" s="1"/>
      <c r="W1080" s="1"/>
      <c r="X1080" s="1"/>
      <c r="Y1080" s="1"/>
      <c r="Z1080" s="1"/>
    </row>
    <row r="1081" spans="1:26" ht="33.75" customHeight="1">
      <c r="A1081" s="1">
        <v>1064</v>
      </c>
      <c r="B1081" s="1" t="s">
        <v>3095</v>
      </c>
      <c r="C1081" s="1" t="s">
        <v>2636</v>
      </c>
      <c r="D1081" s="4">
        <v>39881.086111111108</v>
      </c>
      <c r="E1081" s="1" t="s">
        <v>14</v>
      </c>
      <c r="F1081" s="1" t="s">
        <v>3065</v>
      </c>
      <c r="G1081" s="5" t="s">
        <v>15</v>
      </c>
      <c r="H1081" s="5" t="s">
        <v>150</v>
      </c>
      <c r="I1081" s="1" t="s">
        <v>2382</v>
      </c>
      <c r="J1081" s="1"/>
      <c r="K1081" s="1" t="s">
        <v>3096</v>
      </c>
      <c r="L1081" s="2" t="s">
        <v>3097</v>
      </c>
      <c r="M1081" s="1"/>
      <c r="N1081" s="1"/>
      <c r="O1081" s="1"/>
      <c r="P1081" s="1"/>
      <c r="Q1081" s="1"/>
      <c r="R1081" s="1"/>
      <c r="S1081" s="1"/>
      <c r="T1081" s="1"/>
      <c r="U1081" s="1"/>
      <c r="V1081" s="1"/>
      <c r="W1081" s="1"/>
      <c r="X1081" s="1"/>
      <c r="Y1081" s="1"/>
      <c r="Z1081" s="1"/>
    </row>
    <row r="1082" spans="1:26" ht="33.75" customHeight="1">
      <c r="A1082" s="1">
        <v>1066</v>
      </c>
      <c r="B1082" s="1" t="s">
        <v>3098</v>
      </c>
      <c r="C1082" s="1" t="s">
        <v>2636</v>
      </c>
      <c r="D1082" s="4">
        <v>39881.237500000003</v>
      </c>
      <c r="E1082" s="1" t="s">
        <v>320</v>
      </c>
      <c r="F1082" s="1"/>
      <c r="G1082" s="5" t="s">
        <v>33</v>
      </c>
      <c r="H1082" s="5" t="s">
        <v>34</v>
      </c>
      <c r="I1082" s="1" t="s">
        <v>1605</v>
      </c>
      <c r="J1082" s="1"/>
      <c r="K1082" s="1"/>
      <c r="L1082" s="2" t="s">
        <v>3099</v>
      </c>
      <c r="M1082" s="1"/>
      <c r="N1082" s="1"/>
      <c r="O1082" s="1"/>
      <c r="P1082" s="1"/>
      <c r="Q1082" s="1"/>
      <c r="R1082" s="1"/>
      <c r="S1082" s="1"/>
      <c r="T1082" s="1"/>
      <c r="U1082" s="1"/>
      <c r="V1082" s="1"/>
      <c r="W1082" s="1"/>
      <c r="X1082" s="1"/>
      <c r="Y1082" s="1"/>
      <c r="Z1082" s="1"/>
    </row>
    <row r="1083" spans="1:26" ht="33.75" customHeight="1">
      <c r="A1083" s="1">
        <v>1082</v>
      </c>
      <c r="B1083" s="1" t="s">
        <v>3100</v>
      </c>
      <c r="C1083" s="1" t="s">
        <v>2636</v>
      </c>
      <c r="D1083" s="4">
        <v>39881.896527777775</v>
      </c>
      <c r="E1083" s="1" t="s">
        <v>1528</v>
      </c>
      <c r="F1083" s="1" t="s">
        <v>3101</v>
      </c>
      <c r="G1083" s="5" t="s">
        <v>15</v>
      </c>
      <c r="H1083" s="5" t="s">
        <v>150</v>
      </c>
      <c r="I1083" s="1" t="s">
        <v>2052</v>
      </c>
      <c r="J1083" s="1"/>
      <c r="K1083" s="1"/>
      <c r="L1083" s="2" t="s">
        <v>3102</v>
      </c>
      <c r="M1083" s="1"/>
      <c r="N1083" s="1"/>
      <c r="O1083" s="1"/>
      <c r="P1083" s="1"/>
      <c r="Q1083" s="1"/>
      <c r="R1083" s="1"/>
      <c r="S1083" s="1"/>
      <c r="T1083" s="1"/>
      <c r="U1083" s="1"/>
      <c r="V1083" s="1"/>
      <c r="W1083" s="1"/>
      <c r="X1083" s="1"/>
      <c r="Y1083" s="1"/>
      <c r="Z1083" s="1"/>
    </row>
    <row r="1084" spans="1:26" ht="33.75" customHeight="1">
      <c r="A1084" s="1">
        <v>1067</v>
      </c>
      <c r="B1084" s="1" t="s">
        <v>3103</v>
      </c>
      <c r="C1084" s="1" t="s">
        <v>2636</v>
      </c>
      <c r="D1084" s="4">
        <v>39881.306250000001</v>
      </c>
      <c r="E1084" s="1" t="s">
        <v>320</v>
      </c>
      <c r="F1084" s="1"/>
      <c r="G1084" s="5" t="s">
        <v>33</v>
      </c>
      <c r="H1084" s="5" t="s">
        <v>34</v>
      </c>
      <c r="I1084" s="1" t="s">
        <v>1605</v>
      </c>
      <c r="J1084" s="1"/>
      <c r="K1084" s="1"/>
      <c r="L1084" s="2" t="s">
        <v>3104</v>
      </c>
      <c r="M1084" s="1"/>
      <c r="N1084" s="1"/>
      <c r="O1084" s="1"/>
      <c r="P1084" s="1"/>
      <c r="Q1084" s="1"/>
      <c r="R1084" s="1"/>
      <c r="S1084" s="1"/>
      <c r="T1084" s="1"/>
      <c r="U1084" s="1"/>
      <c r="V1084" s="1"/>
      <c r="W1084" s="1"/>
      <c r="X1084" s="1"/>
      <c r="Y1084" s="1"/>
      <c r="Z1084" s="1"/>
    </row>
    <row r="1085" spans="1:26" ht="33.75" customHeight="1">
      <c r="A1085" s="1">
        <v>1068</v>
      </c>
      <c r="B1085" s="1" t="s">
        <v>3105</v>
      </c>
      <c r="C1085" s="1" t="s">
        <v>2636</v>
      </c>
      <c r="D1085" s="4">
        <v>39881.354166666664</v>
      </c>
      <c r="E1085" s="1" t="s">
        <v>320</v>
      </c>
      <c r="F1085" s="1"/>
      <c r="G1085" s="5" t="s">
        <v>33</v>
      </c>
      <c r="H1085" s="5" t="s">
        <v>34</v>
      </c>
      <c r="I1085" s="1" t="s">
        <v>1605</v>
      </c>
      <c r="J1085" s="1"/>
      <c r="K1085" s="1"/>
      <c r="L1085" s="2" t="s">
        <v>3106</v>
      </c>
      <c r="M1085" s="1"/>
      <c r="N1085" s="1"/>
      <c r="O1085" s="1"/>
      <c r="P1085" s="1"/>
      <c r="Q1085" s="1"/>
      <c r="R1085" s="1"/>
      <c r="S1085" s="1"/>
      <c r="T1085" s="1"/>
      <c r="U1085" s="1"/>
      <c r="V1085" s="1"/>
      <c r="W1085" s="1"/>
      <c r="X1085" s="1"/>
      <c r="Y1085" s="1"/>
      <c r="Z1085" s="1"/>
    </row>
    <row r="1086" spans="1:26" ht="33.75" customHeight="1">
      <c r="A1086" s="1">
        <v>1069</v>
      </c>
      <c r="B1086" s="1" t="s">
        <v>3107</v>
      </c>
      <c r="C1086" s="1" t="s">
        <v>2636</v>
      </c>
      <c r="D1086" s="4">
        <v>39881.425000000003</v>
      </c>
      <c r="E1086" s="1" t="s">
        <v>14</v>
      </c>
      <c r="F1086" s="1"/>
      <c r="G1086" s="5" t="s">
        <v>15</v>
      </c>
      <c r="H1086" s="5" t="s">
        <v>150</v>
      </c>
      <c r="I1086" s="1" t="s">
        <v>1803</v>
      </c>
      <c r="J1086" s="1"/>
      <c r="K1086" s="1"/>
      <c r="L1086" s="2" t="s">
        <v>3108</v>
      </c>
      <c r="M1086" s="1"/>
      <c r="N1086" s="1"/>
      <c r="O1086" s="1"/>
      <c r="P1086" s="1"/>
      <c r="Q1086" s="1"/>
      <c r="R1086" s="1"/>
      <c r="S1086" s="1"/>
      <c r="T1086" s="1"/>
      <c r="U1086" s="1"/>
      <c r="V1086" s="1"/>
      <c r="W1086" s="1"/>
      <c r="X1086" s="1"/>
      <c r="Y1086" s="1"/>
      <c r="Z1086" s="1"/>
    </row>
    <row r="1087" spans="1:26" ht="33.75" customHeight="1">
      <c r="A1087" s="1">
        <v>1070</v>
      </c>
      <c r="B1087" s="1" t="s">
        <v>3109</v>
      </c>
      <c r="C1087" s="1" t="s">
        <v>2636</v>
      </c>
      <c r="D1087" s="4">
        <v>39881.436111111114</v>
      </c>
      <c r="E1087" s="1" t="s">
        <v>14</v>
      </c>
      <c r="F1087" s="1"/>
      <c r="G1087" s="5" t="s">
        <v>33</v>
      </c>
      <c r="H1087" s="5" t="s">
        <v>34</v>
      </c>
      <c r="I1087" s="1" t="s">
        <v>1605</v>
      </c>
      <c r="J1087" s="1"/>
      <c r="K1087" s="1"/>
      <c r="L1087" s="2" t="s">
        <v>3110</v>
      </c>
      <c r="M1087" s="1"/>
      <c r="N1087" s="1"/>
      <c r="O1087" s="1"/>
      <c r="P1087" s="1"/>
      <c r="Q1087" s="1"/>
      <c r="R1087" s="1"/>
      <c r="S1087" s="1"/>
      <c r="T1087" s="1"/>
      <c r="U1087" s="1"/>
      <c r="V1087" s="1"/>
      <c r="W1087" s="1"/>
      <c r="X1087" s="1"/>
      <c r="Y1087" s="1"/>
      <c r="Z1087" s="1"/>
    </row>
    <row r="1088" spans="1:26" ht="33.75" customHeight="1">
      <c r="A1088" s="1">
        <v>1944</v>
      </c>
      <c r="B1088" s="1" t="s">
        <v>3111</v>
      </c>
      <c r="C1088" s="1" t="s">
        <v>2870</v>
      </c>
      <c r="D1088" s="4">
        <v>39881.5</v>
      </c>
      <c r="E1088" s="1" t="s">
        <v>772</v>
      </c>
      <c r="F1088" s="1"/>
      <c r="G1088" s="5" t="s">
        <v>64</v>
      </c>
      <c r="H1088" s="1"/>
      <c r="I1088" s="1" t="s">
        <v>64</v>
      </c>
      <c r="J1088" s="1"/>
      <c r="K1088" s="1"/>
      <c r="L1088" s="2" t="s">
        <v>3112</v>
      </c>
      <c r="M1088" s="1"/>
      <c r="N1088" s="1"/>
      <c r="O1088" s="1"/>
      <c r="P1088" s="1"/>
      <c r="Q1088" s="1"/>
      <c r="R1088" s="1"/>
      <c r="S1088" s="1"/>
      <c r="T1088" s="1"/>
      <c r="U1088" s="1"/>
      <c r="V1088" s="1"/>
      <c r="W1088" s="1"/>
      <c r="X1088" s="1"/>
      <c r="Y1088" s="1"/>
      <c r="Z1088" s="1"/>
    </row>
    <row r="1089" spans="1:26" ht="33.75" customHeight="1">
      <c r="A1089" s="1">
        <v>1843</v>
      </c>
      <c r="B1089" s="1" t="s">
        <v>3113</v>
      </c>
      <c r="C1089" s="1" t="s">
        <v>2870</v>
      </c>
      <c r="D1089" s="4">
        <v>39881.522916666669</v>
      </c>
      <c r="E1089" s="1" t="s">
        <v>772</v>
      </c>
      <c r="F1089" s="1" t="s">
        <v>3111</v>
      </c>
      <c r="G1089" s="5" t="s">
        <v>64</v>
      </c>
      <c r="H1089" s="5" t="s">
        <v>179</v>
      </c>
      <c r="I1089" s="1" t="s">
        <v>179</v>
      </c>
      <c r="J1089" s="1"/>
      <c r="K1089" s="1"/>
      <c r="L1089" s="2" t="s">
        <v>3114</v>
      </c>
      <c r="M1089" s="1"/>
      <c r="N1089" s="1"/>
      <c r="O1089" s="1"/>
      <c r="P1089" s="1"/>
      <c r="Q1089" s="1"/>
      <c r="R1089" s="1"/>
      <c r="S1089" s="1"/>
      <c r="T1089" s="1"/>
      <c r="U1089" s="1"/>
      <c r="V1089" s="1"/>
      <c r="W1089" s="1"/>
      <c r="X1089" s="1"/>
      <c r="Y1089" s="1"/>
      <c r="Z1089" s="1"/>
    </row>
    <row r="1090" spans="1:26" ht="33.75" customHeight="1">
      <c r="A1090" s="1">
        <v>1844</v>
      </c>
      <c r="B1090" s="1" t="s">
        <v>3115</v>
      </c>
      <c r="C1090" s="1" t="s">
        <v>2870</v>
      </c>
      <c r="D1090" s="4">
        <v>39881.549305555556</v>
      </c>
      <c r="E1090" s="1" t="s">
        <v>772</v>
      </c>
      <c r="F1090" s="1">
        <v>942</v>
      </c>
      <c r="G1090" s="5" t="s">
        <v>64</v>
      </c>
      <c r="H1090" s="1"/>
      <c r="I1090" s="1" t="s">
        <v>64</v>
      </c>
      <c r="J1090" s="1" t="s">
        <v>3116</v>
      </c>
      <c r="K1090" s="1"/>
      <c r="L1090" s="2" t="s">
        <v>3117</v>
      </c>
      <c r="M1090" s="1"/>
      <c r="N1090" s="1"/>
      <c r="O1090" s="1"/>
      <c r="P1090" s="1"/>
      <c r="Q1090" s="1"/>
      <c r="R1090" s="1"/>
      <c r="S1090" s="1"/>
      <c r="T1090" s="1"/>
      <c r="U1090" s="1"/>
      <c r="V1090" s="1"/>
      <c r="W1090" s="1"/>
      <c r="X1090" s="1"/>
      <c r="Y1090" s="1"/>
      <c r="Z1090" s="1"/>
    </row>
    <row r="1091" spans="1:26" ht="33.75" customHeight="1">
      <c r="A1091" s="1">
        <v>1845</v>
      </c>
      <c r="B1091" s="1" t="s">
        <v>3118</v>
      </c>
      <c r="C1091" s="1" t="s">
        <v>2870</v>
      </c>
      <c r="D1091" s="4">
        <v>39881.5625</v>
      </c>
      <c r="E1091" s="1" t="s">
        <v>772</v>
      </c>
      <c r="F1091" s="1">
        <v>945</v>
      </c>
      <c r="G1091" s="5" t="s">
        <v>64</v>
      </c>
      <c r="H1091" s="1"/>
      <c r="I1091" s="1" t="s">
        <v>64</v>
      </c>
      <c r="J1091" s="1" t="s">
        <v>3116</v>
      </c>
      <c r="K1091" s="1"/>
      <c r="L1091" s="2" t="s">
        <v>3119</v>
      </c>
      <c r="M1091" s="1"/>
      <c r="N1091" s="1"/>
      <c r="O1091" s="1"/>
      <c r="P1091" s="1"/>
      <c r="Q1091" s="1"/>
      <c r="R1091" s="1"/>
      <c r="S1091" s="1"/>
      <c r="T1091" s="1"/>
      <c r="U1091" s="1"/>
      <c r="V1091" s="1"/>
      <c r="W1091" s="1"/>
      <c r="X1091" s="1"/>
      <c r="Y1091" s="1"/>
      <c r="Z1091" s="1"/>
    </row>
    <row r="1092" spans="1:26" ht="33.75" customHeight="1">
      <c r="A1092" s="1">
        <v>1846</v>
      </c>
      <c r="B1092" s="1" t="s">
        <v>3120</v>
      </c>
      <c r="C1092" s="1" t="s">
        <v>2870</v>
      </c>
      <c r="D1092" s="4">
        <v>39881.65</v>
      </c>
      <c r="E1092" s="1" t="s">
        <v>772</v>
      </c>
      <c r="F1092" s="1"/>
      <c r="G1092" s="5" t="s">
        <v>64</v>
      </c>
      <c r="H1092" s="1"/>
      <c r="I1092" s="1" t="s">
        <v>64</v>
      </c>
      <c r="J1092" s="1"/>
      <c r="K1092" s="1"/>
      <c r="L1092" s="2" t="s">
        <v>3121</v>
      </c>
      <c r="M1092" s="1"/>
      <c r="N1092" s="1"/>
      <c r="O1092" s="1"/>
      <c r="P1092" s="1"/>
      <c r="Q1092" s="1"/>
      <c r="R1092" s="1"/>
      <c r="S1092" s="1"/>
      <c r="T1092" s="1"/>
      <c r="U1092" s="1"/>
      <c r="V1092" s="1"/>
      <c r="W1092" s="1"/>
      <c r="X1092" s="1"/>
      <c r="Y1092" s="1"/>
      <c r="Z1092" s="1"/>
    </row>
    <row r="1093" spans="1:26" ht="33.75" customHeight="1">
      <c r="A1093" s="1">
        <v>1072</v>
      </c>
      <c r="B1093" s="1" t="s">
        <v>3122</v>
      </c>
      <c r="C1093" s="1" t="s">
        <v>2636</v>
      </c>
      <c r="D1093" s="4">
        <v>39881.678472222222</v>
      </c>
      <c r="E1093" s="1" t="s">
        <v>320</v>
      </c>
      <c r="F1093" s="1"/>
      <c r="G1093" s="5" t="s">
        <v>33</v>
      </c>
      <c r="H1093" s="5" t="s">
        <v>34</v>
      </c>
      <c r="I1093" s="1" t="s">
        <v>1605</v>
      </c>
      <c r="J1093" s="1"/>
      <c r="K1093" s="1"/>
      <c r="L1093" s="2" t="s">
        <v>3123</v>
      </c>
      <c r="M1093" s="1"/>
      <c r="N1093" s="1"/>
      <c r="O1093" s="1"/>
      <c r="P1093" s="1"/>
      <c r="Q1093" s="1"/>
      <c r="R1093" s="1"/>
      <c r="S1093" s="1"/>
      <c r="T1093" s="1"/>
      <c r="U1093" s="1"/>
      <c r="V1093" s="1"/>
      <c r="W1093" s="1"/>
      <c r="X1093" s="1"/>
      <c r="Y1093" s="1"/>
      <c r="Z1093" s="1"/>
    </row>
    <row r="1094" spans="1:26" ht="33.75" customHeight="1">
      <c r="A1094" s="1">
        <v>1073</v>
      </c>
      <c r="B1094" s="1" t="s">
        <v>3124</v>
      </c>
      <c r="C1094" s="1" t="s">
        <v>2636</v>
      </c>
      <c r="D1094" s="4">
        <v>39881.708333333336</v>
      </c>
      <c r="E1094" s="1" t="s">
        <v>320</v>
      </c>
      <c r="F1094" s="1"/>
      <c r="G1094" s="5" t="s">
        <v>33</v>
      </c>
      <c r="H1094" s="5" t="s">
        <v>34</v>
      </c>
      <c r="I1094" s="1" t="s">
        <v>1605</v>
      </c>
      <c r="J1094" s="1"/>
      <c r="K1094" s="1"/>
      <c r="L1094" s="2" t="s">
        <v>3125</v>
      </c>
      <c r="M1094" s="1"/>
      <c r="N1094" s="1"/>
      <c r="O1094" s="1"/>
      <c r="P1094" s="1"/>
      <c r="Q1094" s="1"/>
      <c r="R1094" s="1"/>
      <c r="S1094" s="1"/>
      <c r="T1094" s="1"/>
      <c r="U1094" s="1"/>
      <c r="V1094" s="1"/>
      <c r="W1094" s="1"/>
      <c r="X1094" s="1"/>
      <c r="Y1094" s="1"/>
      <c r="Z1094" s="1"/>
    </row>
    <row r="1095" spans="1:26" ht="33.75" customHeight="1">
      <c r="A1095" s="1">
        <v>1071</v>
      </c>
      <c r="B1095" s="1" t="s">
        <v>3126</v>
      </c>
      <c r="C1095" s="1" t="s">
        <v>2636</v>
      </c>
      <c r="D1095" s="4">
        <v>39881.714583333334</v>
      </c>
      <c r="E1095" s="1" t="s">
        <v>196</v>
      </c>
      <c r="F1095" s="1"/>
      <c r="G1095" s="5" t="s">
        <v>33</v>
      </c>
      <c r="H1095" s="5" t="s">
        <v>34</v>
      </c>
      <c r="I1095" s="1" t="s">
        <v>1605</v>
      </c>
      <c r="J1095" s="1"/>
      <c r="K1095" s="1" t="s">
        <v>1803</v>
      </c>
      <c r="L1095" s="2" t="s">
        <v>3127</v>
      </c>
      <c r="M1095" s="1"/>
      <c r="N1095" s="1"/>
      <c r="O1095" s="1"/>
      <c r="P1095" s="1"/>
      <c r="Q1095" s="1"/>
      <c r="R1095" s="1"/>
      <c r="S1095" s="1"/>
      <c r="T1095" s="1"/>
      <c r="U1095" s="1"/>
      <c r="V1095" s="1"/>
      <c r="W1095" s="1"/>
      <c r="X1095" s="1"/>
      <c r="Y1095" s="1"/>
      <c r="Z1095" s="1"/>
    </row>
    <row r="1096" spans="1:26" ht="33.75" customHeight="1">
      <c r="A1096" s="1">
        <v>1074</v>
      </c>
      <c r="B1096" s="1" t="s">
        <v>3128</v>
      </c>
      <c r="C1096" s="1" t="s">
        <v>2636</v>
      </c>
      <c r="D1096" s="4">
        <v>39881.727083333331</v>
      </c>
      <c r="E1096" s="1" t="s">
        <v>196</v>
      </c>
      <c r="F1096" s="1"/>
      <c r="G1096" s="5" t="s">
        <v>33</v>
      </c>
      <c r="H1096" s="5" t="s">
        <v>34</v>
      </c>
      <c r="I1096" s="1" t="s">
        <v>3129</v>
      </c>
      <c r="J1096" s="1"/>
      <c r="K1096" s="1" t="s">
        <v>3130</v>
      </c>
      <c r="L1096" s="2" t="s">
        <v>3131</v>
      </c>
      <c r="M1096" s="1"/>
      <c r="N1096" s="1"/>
      <c r="O1096" s="1"/>
      <c r="P1096" s="1"/>
      <c r="Q1096" s="1"/>
      <c r="R1096" s="1"/>
      <c r="S1096" s="1"/>
      <c r="T1096" s="1"/>
      <c r="U1096" s="1"/>
      <c r="V1096" s="1"/>
      <c r="W1096" s="1"/>
      <c r="X1096" s="1"/>
      <c r="Y1096" s="1"/>
      <c r="Z1096" s="1"/>
    </row>
    <row r="1097" spans="1:26" ht="33.75" customHeight="1">
      <c r="A1097" s="1">
        <v>1075</v>
      </c>
      <c r="B1097" s="1" t="s">
        <v>3132</v>
      </c>
      <c r="C1097" s="1" t="s">
        <v>2636</v>
      </c>
      <c r="D1097" s="4">
        <v>39881.737500000003</v>
      </c>
      <c r="E1097" s="1" t="s">
        <v>196</v>
      </c>
      <c r="F1097" s="1"/>
      <c r="G1097" s="5" t="s">
        <v>33</v>
      </c>
      <c r="H1097" s="5" t="s">
        <v>34</v>
      </c>
      <c r="I1097" s="1" t="s">
        <v>3129</v>
      </c>
      <c r="J1097" s="1"/>
      <c r="K1097" s="1" t="s">
        <v>3130</v>
      </c>
      <c r="L1097" s="2" t="s">
        <v>3133</v>
      </c>
      <c r="M1097" s="1"/>
      <c r="N1097" s="1"/>
      <c r="O1097" s="1"/>
      <c r="P1097" s="1"/>
      <c r="Q1097" s="1"/>
      <c r="R1097" s="1"/>
      <c r="S1097" s="1"/>
      <c r="T1097" s="1"/>
      <c r="U1097" s="1"/>
      <c r="V1097" s="1"/>
      <c r="W1097" s="1"/>
      <c r="X1097" s="1"/>
      <c r="Y1097" s="1"/>
      <c r="Z1097" s="1"/>
    </row>
    <row r="1098" spans="1:26" ht="33.75" customHeight="1">
      <c r="A1098" s="1">
        <v>1076</v>
      </c>
      <c r="B1098" s="1" t="s">
        <v>3134</v>
      </c>
      <c r="C1098" s="1" t="s">
        <v>2636</v>
      </c>
      <c r="D1098" s="4">
        <v>39881.740277777775</v>
      </c>
      <c r="E1098" s="1" t="s">
        <v>196</v>
      </c>
      <c r="F1098" s="1"/>
      <c r="G1098" s="5" t="s">
        <v>33</v>
      </c>
      <c r="H1098" s="5" t="s">
        <v>34</v>
      </c>
      <c r="I1098" s="1" t="s">
        <v>3129</v>
      </c>
      <c r="J1098" s="1"/>
      <c r="K1098" s="1" t="s">
        <v>3130</v>
      </c>
      <c r="L1098" s="2" t="s">
        <v>3135</v>
      </c>
      <c r="M1098" s="1"/>
      <c r="N1098" s="1"/>
      <c r="O1098" s="1"/>
      <c r="P1098" s="1"/>
      <c r="Q1098" s="1"/>
      <c r="R1098" s="1"/>
      <c r="S1098" s="1"/>
      <c r="T1098" s="1"/>
      <c r="U1098" s="1"/>
      <c r="V1098" s="1"/>
      <c r="W1098" s="1"/>
      <c r="X1098" s="1"/>
      <c r="Y1098" s="1"/>
      <c r="Z1098" s="1"/>
    </row>
    <row r="1099" spans="1:26" ht="33.75" customHeight="1">
      <c r="A1099" s="1">
        <v>1077</v>
      </c>
      <c r="B1099" s="1" t="s">
        <v>3136</v>
      </c>
      <c r="C1099" s="1" t="s">
        <v>2636</v>
      </c>
      <c r="D1099" s="4">
        <v>39881.748611111114</v>
      </c>
      <c r="E1099" s="1" t="s">
        <v>54</v>
      </c>
      <c r="F1099" s="1"/>
      <c r="G1099" s="5" t="s">
        <v>33</v>
      </c>
      <c r="H1099" s="5" t="s">
        <v>34</v>
      </c>
      <c r="I1099" s="1" t="s">
        <v>3129</v>
      </c>
      <c r="J1099" s="1"/>
      <c r="K1099" s="1" t="s">
        <v>3130</v>
      </c>
      <c r="L1099" s="2" t="s">
        <v>3137</v>
      </c>
      <c r="M1099" s="1"/>
      <c r="N1099" s="1"/>
      <c r="O1099" s="1"/>
      <c r="P1099" s="1"/>
      <c r="Q1099" s="1"/>
      <c r="R1099" s="1"/>
      <c r="S1099" s="1"/>
      <c r="T1099" s="1"/>
      <c r="U1099" s="1"/>
      <c r="V1099" s="1"/>
      <c r="W1099" s="1"/>
      <c r="X1099" s="1"/>
      <c r="Y1099" s="1"/>
      <c r="Z1099" s="1"/>
    </row>
    <row r="1100" spans="1:26" ht="33.75" customHeight="1">
      <c r="A1100" s="1">
        <v>1847</v>
      </c>
      <c r="B1100" s="1" t="s">
        <v>3138</v>
      </c>
      <c r="C1100" s="1" t="s">
        <v>2870</v>
      </c>
      <c r="D1100" s="4">
        <v>39881.750694444447</v>
      </c>
      <c r="E1100" s="1" t="s">
        <v>54</v>
      </c>
      <c r="F1100" s="1" t="s">
        <v>3139</v>
      </c>
      <c r="G1100" s="5" t="s">
        <v>64</v>
      </c>
      <c r="H1100" s="5" t="s">
        <v>1053</v>
      </c>
      <c r="I1100" s="1" t="s">
        <v>315</v>
      </c>
      <c r="J1100" s="1" t="s">
        <v>3056</v>
      </c>
      <c r="K1100" s="1" t="s">
        <v>3140</v>
      </c>
      <c r="L1100" s="2" t="s">
        <v>3141</v>
      </c>
      <c r="M1100" s="1"/>
      <c r="N1100" s="1"/>
      <c r="O1100" s="1"/>
      <c r="P1100" s="1"/>
      <c r="Q1100" s="1"/>
      <c r="R1100" s="1"/>
      <c r="S1100" s="1"/>
      <c r="T1100" s="1"/>
      <c r="U1100" s="1"/>
      <c r="V1100" s="1"/>
      <c r="W1100" s="1"/>
      <c r="X1100" s="1"/>
      <c r="Y1100" s="1"/>
      <c r="Z1100" s="1"/>
    </row>
    <row r="1101" spans="1:26" ht="33.75" customHeight="1">
      <c r="A1101" s="1">
        <v>1078</v>
      </c>
      <c r="B1101" s="1" t="s">
        <v>3142</v>
      </c>
      <c r="C1101" s="1" t="s">
        <v>2636</v>
      </c>
      <c r="D1101" s="4">
        <v>39881.79583333333</v>
      </c>
      <c r="E1101" s="1" t="s">
        <v>54</v>
      </c>
      <c r="F1101" s="1"/>
      <c r="G1101" s="5" t="s">
        <v>15</v>
      </c>
      <c r="H1101" s="5" t="s">
        <v>150</v>
      </c>
      <c r="I1101" s="1" t="s">
        <v>213</v>
      </c>
      <c r="J1101" s="1" t="s">
        <v>3143</v>
      </c>
      <c r="K1101" s="1"/>
      <c r="L1101" s="2" t="s">
        <v>3144</v>
      </c>
      <c r="M1101" s="1"/>
      <c r="N1101" s="1"/>
      <c r="O1101" s="1"/>
      <c r="P1101" s="1"/>
      <c r="Q1101" s="1"/>
      <c r="R1101" s="1"/>
      <c r="S1101" s="1"/>
      <c r="T1101" s="1"/>
      <c r="U1101" s="1"/>
      <c r="V1101" s="1"/>
      <c r="W1101" s="1"/>
      <c r="X1101" s="1"/>
      <c r="Y1101" s="1"/>
      <c r="Z1101" s="1"/>
    </row>
    <row r="1102" spans="1:26" ht="33.75" customHeight="1">
      <c r="A1102" s="1">
        <v>1848</v>
      </c>
      <c r="B1102" s="1" t="s">
        <v>3145</v>
      </c>
      <c r="C1102" s="1" t="s">
        <v>2870</v>
      </c>
      <c r="D1102" s="4">
        <v>39881.819444444445</v>
      </c>
      <c r="E1102" s="1" t="s">
        <v>54</v>
      </c>
      <c r="F1102" s="1" t="s">
        <v>3146</v>
      </c>
      <c r="G1102" s="5" t="s">
        <v>33</v>
      </c>
      <c r="H1102" s="5" t="s">
        <v>34</v>
      </c>
      <c r="I1102" s="1" t="s">
        <v>1605</v>
      </c>
      <c r="J1102" s="1"/>
      <c r="K1102" s="1"/>
      <c r="L1102" s="2" t="s">
        <v>3147</v>
      </c>
      <c r="M1102" s="1"/>
      <c r="N1102" s="1"/>
      <c r="O1102" s="1"/>
      <c r="P1102" s="1"/>
      <c r="Q1102" s="1"/>
      <c r="R1102" s="1"/>
      <c r="S1102" s="1"/>
      <c r="T1102" s="1"/>
      <c r="U1102" s="1"/>
      <c r="V1102" s="1"/>
      <c r="W1102" s="1"/>
      <c r="X1102" s="1"/>
      <c r="Y1102" s="1"/>
      <c r="Z1102" s="1"/>
    </row>
    <row r="1103" spans="1:26" ht="33.75" customHeight="1">
      <c r="A1103" s="1">
        <v>1849</v>
      </c>
      <c r="B1103" s="1" t="s">
        <v>3148</v>
      </c>
      <c r="C1103" s="1" t="s">
        <v>2870</v>
      </c>
      <c r="D1103" s="4">
        <v>39881.865277777775</v>
      </c>
      <c r="E1103" s="1" t="s">
        <v>2893</v>
      </c>
      <c r="F1103" s="1"/>
      <c r="G1103" s="5" t="s">
        <v>64</v>
      </c>
      <c r="H1103" s="5" t="s">
        <v>375</v>
      </c>
      <c r="I1103" s="1" t="s">
        <v>900</v>
      </c>
      <c r="J1103" s="1"/>
      <c r="K1103" s="1"/>
      <c r="L1103" s="2" t="s">
        <v>3149</v>
      </c>
      <c r="M1103" s="1"/>
      <c r="N1103" s="1"/>
      <c r="O1103" s="1"/>
      <c r="P1103" s="1"/>
      <c r="Q1103" s="1"/>
      <c r="R1103" s="1"/>
      <c r="S1103" s="1"/>
      <c r="T1103" s="1"/>
      <c r="U1103" s="1"/>
      <c r="V1103" s="1"/>
      <c r="W1103" s="1"/>
      <c r="X1103" s="1"/>
      <c r="Y1103" s="1"/>
      <c r="Z1103" s="1"/>
    </row>
    <row r="1104" spans="1:26" ht="33.75" customHeight="1">
      <c r="A1104" s="1">
        <v>1850</v>
      </c>
      <c r="B1104" s="1" t="s">
        <v>3150</v>
      </c>
      <c r="C1104" s="1" t="s">
        <v>2870</v>
      </c>
      <c r="D1104" s="4">
        <v>39881.868055555555</v>
      </c>
      <c r="E1104" s="1" t="s">
        <v>2893</v>
      </c>
      <c r="F1104" s="1"/>
      <c r="G1104" s="5" t="s">
        <v>64</v>
      </c>
      <c r="H1104" s="5" t="s">
        <v>375</v>
      </c>
      <c r="I1104" s="1" t="s">
        <v>900</v>
      </c>
      <c r="J1104" s="1"/>
      <c r="K1104" s="1"/>
      <c r="L1104" s="2" t="s">
        <v>3151</v>
      </c>
      <c r="M1104" s="1"/>
      <c r="N1104" s="1"/>
      <c r="O1104" s="1"/>
      <c r="P1104" s="1"/>
      <c r="Q1104" s="1"/>
      <c r="R1104" s="1"/>
      <c r="S1104" s="1"/>
      <c r="T1104" s="1"/>
      <c r="U1104" s="1"/>
      <c r="V1104" s="1"/>
      <c r="W1104" s="1"/>
      <c r="X1104" s="1"/>
      <c r="Y1104" s="1"/>
      <c r="Z1104" s="1"/>
    </row>
    <row r="1105" spans="1:26" ht="33.75" customHeight="1">
      <c r="A1105" s="1">
        <v>1080</v>
      </c>
      <c r="B1105" s="1" t="s">
        <v>3152</v>
      </c>
      <c r="C1105" s="1" t="s">
        <v>2636</v>
      </c>
      <c r="D1105" s="4">
        <v>39881.89166666667</v>
      </c>
      <c r="E1105" s="1" t="s">
        <v>212</v>
      </c>
      <c r="F1105" s="1"/>
      <c r="G1105" s="5" t="s">
        <v>15</v>
      </c>
      <c r="H1105" s="5" t="s">
        <v>402</v>
      </c>
      <c r="I1105" s="1" t="s">
        <v>576</v>
      </c>
      <c r="J1105" s="1"/>
      <c r="K1105" s="1" t="s">
        <v>3153</v>
      </c>
      <c r="L1105" s="2" t="s">
        <v>3154</v>
      </c>
      <c r="M1105" s="1"/>
      <c r="N1105" s="1"/>
      <c r="O1105" s="1"/>
      <c r="P1105" s="1"/>
      <c r="Q1105" s="1"/>
      <c r="R1105" s="1"/>
      <c r="S1105" s="1"/>
      <c r="T1105" s="1"/>
      <c r="U1105" s="1"/>
      <c r="V1105" s="1"/>
      <c r="W1105" s="1"/>
      <c r="X1105" s="1"/>
      <c r="Y1105" s="1"/>
      <c r="Z1105" s="1"/>
    </row>
    <row r="1106" spans="1:26" ht="33.75" customHeight="1">
      <c r="A1106" s="1">
        <v>1100</v>
      </c>
      <c r="B1106" s="1" t="s">
        <v>3155</v>
      </c>
      <c r="C1106" s="1" t="s">
        <v>3156</v>
      </c>
      <c r="D1106" s="4">
        <v>39882.325694444444</v>
      </c>
      <c r="E1106" s="1" t="s">
        <v>1528</v>
      </c>
      <c r="F1106" s="1">
        <v>895</v>
      </c>
      <c r="G1106" s="5" t="s">
        <v>15</v>
      </c>
      <c r="H1106" s="5" t="s">
        <v>150</v>
      </c>
      <c r="I1106" s="1" t="s">
        <v>295</v>
      </c>
      <c r="J1106" s="1"/>
      <c r="K1106" s="1"/>
      <c r="L1106" s="2" t="s">
        <v>3157</v>
      </c>
      <c r="M1106" s="1"/>
      <c r="N1106" s="1"/>
      <c r="O1106" s="1"/>
      <c r="P1106" s="1"/>
      <c r="Q1106" s="1"/>
      <c r="R1106" s="1"/>
      <c r="S1106" s="1"/>
      <c r="T1106" s="1"/>
      <c r="U1106" s="1"/>
      <c r="V1106" s="1"/>
      <c r="W1106" s="1"/>
      <c r="X1106" s="1"/>
      <c r="Y1106" s="1"/>
      <c r="Z1106" s="1"/>
    </row>
    <row r="1107" spans="1:26" ht="33.75" customHeight="1">
      <c r="A1107" s="1">
        <v>1851</v>
      </c>
      <c r="B1107" s="1" t="s">
        <v>3158</v>
      </c>
      <c r="C1107" s="1" t="s">
        <v>2870</v>
      </c>
      <c r="D1107" s="4">
        <v>39881.925694444442</v>
      </c>
      <c r="E1107" s="1" t="s">
        <v>2967</v>
      </c>
      <c r="F1107" s="1"/>
      <c r="G1107" s="5" t="s">
        <v>64</v>
      </c>
      <c r="H1107" s="5" t="s">
        <v>375</v>
      </c>
      <c r="I1107" s="1" t="s">
        <v>900</v>
      </c>
      <c r="J1107" s="1"/>
      <c r="K1107" s="1"/>
      <c r="L1107" s="2" t="s">
        <v>3159</v>
      </c>
      <c r="M1107" s="1"/>
      <c r="N1107" s="1"/>
      <c r="O1107" s="1"/>
      <c r="P1107" s="1"/>
      <c r="Q1107" s="1"/>
      <c r="R1107" s="1"/>
      <c r="S1107" s="1"/>
      <c r="T1107" s="1"/>
      <c r="U1107" s="1"/>
      <c r="V1107" s="1"/>
      <c r="W1107" s="1"/>
      <c r="X1107" s="1"/>
      <c r="Y1107" s="1"/>
      <c r="Z1107" s="1"/>
    </row>
    <row r="1108" spans="1:26" ht="33.75" customHeight="1">
      <c r="A1108" s="1">
        <v>1852</v>
      </c>
      <c r="B1108" s="1" t="s">
        <v>3160</v>
      </c>
      <c r="C1108" s="1" t="s">
        <v>2870</v>
      </c>
      <c r="D1108" s="4">
        <v>39881.926388888889</v>
      </c>
      <c r="E1108" s="1" t="s">
        <v>2967</v>
      </c>
      <c r="F1108" s="1"/>
      <c r="G1108" s="5" t="s">
        <v>64</v>
      </c>
      <c r="H1108" s="5" t="s">
        <v>179</v>
      </c>
      <c r="I1108" s="1" t="s">
        <v>179</v>
      </c>
      <c r="J1108" s="1"/>
      <c r="K1108" s="1"/>
      <c r="L1108" s="2" t="s">
        <v>3161</v>
      </c>
      <c r="M1108" s="1"/>
      <c r="N1108" s="1"/>
      <c r="O1108" s="1"/>
      <c r="P1108" s="1"/>
      <c r="Q1108" s="1"/>
      <c r="R1108" s="1"/>
      <c r="S1108" s="1"/>
      <c r="T1108" s="1"/>
      <c r="U1108" s="1"/>
      <c r="V1108" s="1"/>
      <c r="W1108" s="1"/>
      <c r="X1108" s="1"/>
      <c r="Y1108" s="1"/>
      <c r="Z1108" s="1"/>
    </row>
    <row r="1109" spans="1:26" ht="33.75" customHeight="1">
      <c r="A1109" s="1">
        <v>1081</v>
      </c>
      <c r="B1109" s="1" t="s">
        <v>3162</v>
      </c>
      <c r="C1109" s="1" t="s">
        <v>2636</v>
      </c>
      <c r="D1109" s="4">
        <v>39881.936805555553</v>
      </c>
      <c r="E1109" s="1" t="s">
        <v>14</v>
      </c>
      <c r="F1109" s="1" t="s">
        <v>3152</v>
      </c>
      <c r="G1109" s="5" t="s">
        <v>15</v>
      </c>
      <c r="H1109" s="5" t="s">
        <v>55</v>
      </c>
      <c r="I1109" s="1" t="s">
        <v>2382</v>
      </c>
      <c r="J1109" s="1"/>
      <c r="K1109" s="1" t="s">
        <v>259</v>
      </c>
      <c r="L1109" s="2" t="s">
        <v>3163</v>
      </c>
      <c r="M1109" s="1"/>
      <c r="N1109" s="1"/>
      <c r="O1109" s="1"/>
      <c r="P1109" s="1"/>
      <c r="Q1109" s="1"/>
      <c r="R1109" s="1"/>
      <c r="S1109" s="1"/>
      <c r="T1109" s="1"/>
      <c r="U1109" s="1"/>
      <c r="V1109" s="1"/>
      <c r="W1109" s="1"/>
      <c r="X1109" s="1"/>
      <c r="Y1109" s="1"/>
      <c r="Z1109" s="1"/>
    </row>
    <row r="1110" spans="1:26" ht="33.75" customHeight="1">
      <c r="A1110" s="1">
        <v>1853</v>
      </c>
      <c r="B1110" s="1" t="s">
        <v>3164</v>
      </c>
      <c r="C1110" s="1" t="s">
        <v>2870</v>
      </c>
      <c r="D1110" s="4">
        <v>39881.94027777778</v>
      </c>
      <c r="E1110" s="1" t="s">
        <v>2893</v>
      </c>
      <c r="F1110" s="1"/>
      <c r="G1110" s="5" t="s">
        <v>64</v>
      </c>
      <c r="H1110" s="5" t="s">
        <v>375</v>
      </c>
      <c r="I1110" s="1" t="s">
        <v>900</v>
      </c>
      <c r="J1110" s="1"/>
      <c r="K1110" s="1" t="s">
        <v>3165</v>
      </c>
      <c r="L1110" s="2" t="s">
        <v>3166</v>
      </c>
      <c r="M1110" s="1"/>
      <c r="N1110" s="1"/>
      <c r="O1110" s="1"/>
      <c r="P1110" s="1"/>
      <c r="Q1110" s="1"/>
      <c r="R1110" s="1"/>
      <c r="S1110" s="1"/>
      <c r="T1110" s="1"/>
      <c r="U1110" s="1"/>
      <c r="V1110" s="1"/>
      <c r="W1110" s="1"/>
      <c r="X1110" s="1"/>
      <c r="Y1110" s="1"/>
      <c r="Z1110" s="1"/>
    </row>
    <row r="1111" spans="1:26" ht="33.75" customHeight="1">
      <c r="A1111" s="1">
        <v>1083</v>
      </c>
      <c r="B1111" s="1" t="s">
        <v>3167</v>
      </c>
      <c r="C1111" s="1" t="s">
        <v>2636</v>
      </c>
      <c r="D1111" s="4">
        <v>39881.94027777778</v>
      </c>
      <c r="E1111" s="1" t="s">
        <v>54</v>
      </c>
      <c r="F1111" s="1"/>
      <c r="G1111" s="6" t="s">
        <v>78</v>
      </c>
      <c r="H1111" s="5" t="s">
        <v>79</v>
      </c>
      <c r="I1111" s="1" t="s">
        <v>213</v>
      </c>
      <c r="J1111" s="1" t="s">
        <v>3040</v>
      </c>
      <c r="K1111" s="1" t="s">
        <v>3168</v>
      </c>
      <c r="L1111" s="2" t="s">
        <v>3169</v>
      </c>
      <c r="M1111" s="1"/>
      <c r="N1111" s="1"/>
      <c r="O1111" s="1"/>
      <c r="P1111" s="1"/>
      <c r="Q1111" s="1"/>
      <c r="R1111" s="1"/>
      <c r="S1111" s="1"/>
      <c r="T1111" s="1"/>
      <c r="U1111" s="1"/>
      <c r="V1111" s="1"/>
      <c r="W1111" s="1"/>
      <c r="X1111" s="1"/>
      <c r="Y1111" s="1"/>
      <c r="Z1111" s="1"/>
    </row>
    <row r="1112" spans="1:26" ht="33.75" customHeight="1">
      <c r="A1112" s="1">
        <v>1079</v>
      </c>
      <c r="B1112" s="1" t="s">
        <v>3170</v>
      </c>
      <c r="C1112" s="1" t="s">
        <v>2636</v>
      </c>
      <c r="D1112" s="4">
        <v>39881.943749999999</v>
      </c>
      <c r="E1112" s="1" t="s">
        <v>14</v>
      </c>
      <c r="F1112" s="1" t="s">
        <v>3142</v>
      </c>
      <c r="G1112" s="5" t="s">
        <v>15</v>
      </c>
      <c r="H1112" s="5" t="s">
        <v>150</v>
      </c>
      <c r="I1112" s="1" t="s">
        <v>2382</v>
      </c>
      <c r="J1112" s="1"/>
      <c r="K1112" s="1" t="s">
        <v>259</v>
      </c>
      <c r="L1112" s="2" t="s">
        <v>3171</v>
      </c>
      <c r="M1112" s="1"/>
      <c r="N1112" s="1"/>
      <c r="O1112" s="1"/>
      <c r="P1112" s="1"/>
      <c r="Q1112" s="1"/>
      <c r="R1112" s="1"/>
      <c r="S1112" s="1"/>
      <c r="T1112" s="1"/>
      <c r="U1112" s="1"/>
      <c r="V1112" s="1"/>
      <c r="W1112" s="1"/>
      <c r="X1112" s="1"/>
      <c r="Y1112" s="1"/>
      <c r="Z1112" s="1"/>
    </row>
    <row r="1113" spans="1:26" ht="33.75" customHeight="1">
      <c r="A1113" s="1">
        <v>1084</v>
      </c>
      <c r="B1113" s="1" t="s">
        <v>3172</v>
      </c>
      <c r="C1113" s="1" t="s">
        <v>2636</v>
      </c>
      <c r="D1113" s="4">
        <v>39881.948611111111</v>
      </c>
      <c r="E1113" s="1" t="s">
        <v>14</v>
      </c>
      <c r="F1113" s="1" t="s">
        <v>3173</v>
      </c>
      <c r="G1113" s="6" t="s">
        <v>78</v>
      </c>
      <c r="H1113" s="5" t="s">
        <v>79</v>
      </c>
      <c r="I1113" s="1" t="s">
        <v>213</v>
      </c>
      <c r="J1113" s="1" t="s">
        <v>3040</v>
      </c>
      <c r="K1113" s="1" t="s">
        <v>3174</v>
      </c>
      <c r="L1113" s="2" t="s">
        <v>3175</v>
      </c>
      <c r="M1113" s="1"/>
      <c r="N1113" s="1"/>
      <c r="O1113" s="1"/>
      <c r="P1113" s="1"/>
      <c r="Q1113" s="1"/>
      <c r="R1113" s="1"/>
      <c r="S1113" s="1"/>
      <c r="T1113" s="1"/>
      <c r="U1113" s="1"/>
      <c r="V1113" s="1"/>
      <c r="W1113" s="1"/>
      <c r="X1113" s="1"/>
      <c r="Y1113" s="1"/>
      <c r="Z1113" s="1"/>
    </row>
    <row r="1114" spans="1:26" ht="33.75" customHeight="1">
      <c r="A1114" s="1">
        <v>1085</v>
      </c>
      <c r="B1114" s="1" t="s">
        <v>3176</v>
      </c>
      <c r="C1114" s="1" t="s">
        <v>2636</v>
      </c>
      <c r="D1114" s="4">
        <v>39881.951388888891</v>
      </c>
      <c r="E1114" s="1" t="s">
        <v>14</v>
      </c>
      <c r="F1114" s="1"/>
      <c r="G1114" s="5" t="s">
        <v>64</v>
      </c>
      <c r="H1114" s="5" t="s">
        <v>65</v>
      </c>
      <c r="I1114" s="1" t="s">
        <v>35</v>
      </c>
      <c r="J1114" s="1"/>
      <c r="K1114" s="1" t="s">
        <v>3177</v>
      </c>
      <c r="L1114" s="2" t="s">
        <v>3178</v>
      </c>
      <c r="M1114" s="1"/>
      <c r="N1114" s="1"/>
      <c r="O1114" s="1"/>
      <c r="P1114" s="1"/>
      <c r="Q1114" s="1"/>
      <c r="R1114" s="1"/>
      <c r="S1114" s="1"/>
      <c r="T1114" s="1"/>
      <c r="U1114" s="1"/>
      <c r="V1114" s="1"/>
      <c r="W1114" s="1"/>
      <c r="X1114" s="1"/>
      <c r="Y1114" s="1"/>
      <c r="Z1114" s="1"/>
    </row>
    <row r="1115" spans="1:26" ht="33.75" customHeight="1">
      <c r="A1115" s="1">
        <v>1854</v>
      </c>
      <c r="B1115" s="1" t="s">
        <v>3179</v>
      </c>
      <c r="C1115" s="1" t="s">
        <v>2870</v>
      </c>
      <c r="D1115" s="4">
        <v>39881.954861111109</v>
      </c>
      <c r="E1115" s="1" t="s">
        <v>2893</v>
      </c>
      <c r="F1115" s="1"/>
      <c r="G1115" s="5" t="s">
        <v>64</v>
      </c>
      <c r="H1115" s="1"/>
      <c r="I1115" s="1" t="s">
        <v>64</v>
      </c>
      <c r="J1115" s="1"/>
      <c r="K1115" s="1" t="s">
        <v>3180</v>
      </c>
      <c r="L1115" s="2" t="s">
        <v>3181</v>
      </c>
      <c r="M1115" s="1"/>
      <c r="N1115" s="1"/>
      <c r="O1115" s="1"/>
      <c r="P1115" s="1"/>
      <c r="Q1115" s="1"/>
      <c r="R1115" s="1"/>
      <c r="S1115" s="1"/>
      <c r="T1115" s="1"/>
      <c r="U1115" s="1"/>
      <c r="V1115" s="1"/>
      <c r="W1115" s="1"/>
      <c r="X1115" s="1"/>
      <c r="Y1115" s="1"/>
      <c r="Z1115" s="1"/>
    </row>
    <row r="1116" spans="1:26" ht="33.75" customHeight="1">
      <c r="A1116" s="1">
        <v>1086</v>
      </c>
      <c r="B1116" s="1" t="s">
        <v>3182</v>
      </c>
      <c r="C1116" s="1" t="s">
        <v>2636</v>
      </c>
      <c r="D1116" s="4">
        <v>39881.964583333334</v>
      </c>
      <c r="E1116" s="1" t="s">
        <v>54</v>
      </c>
      <c r="F1116" s="1"/>
      <c r="G1116" s="5" t="s">
        <v>64</v>
      </c>
      <c r="H1116" s="5" t="s">
        <v>263</v>
      </c>
      <c r="I1116" s="1" t="s">
        <v>213</v>
      </c>
      <c r="J1116" s="1" t="s">
        <v>3040</v>
      </c>
      <c r="K1116" s="1" t="s">
        <v>3183</v>
      </c>
      <c r="L1116" s="2" t="s">
        <v>3184</v>
      </c>
      <c r="M1116" s="1"/>
      <c r="N1116" s="1"/>
      <c r="O1116" s="1"/>
      <c r="P1116" s="1"/>
      <c r="Q1116" s="1"/>
      <c r="R1116" s="1"/>
      <c r="S1116" s="1"/>
      <c r="T1116" s="1"/>
      <c r="U1116" s="1"/>
      <c r="V1116" s="1"/>
      <c r="W1116" s="1"/>
      <c r="X1116" s="1"/>
      <c r="Y1116" s="1"/>
      <c r="Z1116" s="1"/>
    </row>
    <row r="1117" spans="1:26" ht="33.75" customHeight="1">
      <c r="A1117" s="1">
        <v>12</v>
      </c>
      <c r="B1117" s="1" t="s">
        <v>12</v>
      </c>
      <c r="C1117" s="1" t="s">
        <v>3156</v>
      </c>
      <c r="D1117" s="4">
        <v>39881.973124999997</v>
      </c>
      <c r="E1117" s="1" t="s">
        <v>14</v>
      </c>
      <c r="F1117" s="1"/>
      <c r="G1117" s="5" t="s">
        <v>15</v>
      </c>
      <c r="H1117" s="5" t="s">
        <v>55</v>
      </c>
      <c r="I1117" s="1" t="s">
        <v>3185</v>
      </c>
      <c r="J1117" s="1"/>
      <c r="K1117" s="1" t="s">
        <v>3186</v>
      </c>
      <c r="L1117" s="2" t="s">
        <v>3187</v>
      </c>
      <c r="M1117" s="1"/>
      <c r="N1117" s="1"/>
      <c r="O1117" s="1"/>
      <c r="P1117" s="1"/>
      <c r="Q1117" s="1"/>
      <c r="R1117" s="1"/>
      <c r="S1117" s="1"/>
      <c r="T1117" s="1"/>
      <c r="U1117" s="1"/>
      <c r="V1117" s="1"/>
      <c r="W1117" s="1"/>
      <c r="X1117" s="1"/>
      <c r="Y1117" s="1"/>
      <c r="Z1117" s="1"/>
    </row>
    <row r="1118" spans="1:26" ht="33.75" customHeight="1">
      <c r="A1118" s="1">
        <v>1087</v>
      </c>
      <c r="B1118" s="1" t="s">
        <v>3188</v>
      </c>
      <c r="C1118" s="1" t="s">
        <v>2636</v>
      </c>
      <c r="D1118" s="4">
        <v>39881.988888888889</v>
      </c>
      <c r="E1118" s="1" t="s">
        <v>14</v>
      </c>
      <c r="F1118" s="1"/>
      <c r="G1118" s="1" t="s">
        <v>33</v>
      </c>
      <c r="H1118" s="5" t="s">
        <v>34</v>
      </c>
      <c r="I1118" s="1" t="s">
        <v>35</v>
      </c>
      <c r="J1118" s="1"/>
      <c r="K1118" s="1" t="s">
        <v>3189</v>
      </c>
      <c r="L1118" s="2" t="s">
        <v>3190</v>
      </c>
      <c r="M1118" s="1"/>
      <c r="N1118" s="1"/>
      <c r="O1118" s="1"/>
      <c r="P1118" s="1"/>
      <c r="Q1118" s="1"/>
      <c r="R1118" s="1"/>
      <c r="S1118" s="1"/>
      <c r="T1118" s="1"/>
      <c r="U1118" s="1"/>
      <c r="V1118" s="1"/>
      <c r="W1118" s="1"/>
      <c r="X1118" s="1"/>
      <c r="Y1118" s="1"/>
      <c r="Z1118" s="1"/>
    </row>
    <row r="1119" spans="1:26" ht="33.75" customHeight="1">
      <c r="A1119" s="1">
        <v>1088</v>
      </c>
      <c r="B1119" s="1" t="s">
        <v>3191</v>
      </c>
      <c r="C1119" s="1" t="s">
        <v>2636</v>
      </c>
      <c r="D1119" s="4">
        <v>39881.998611111114</v>
      </c>
      <c r="E1119" s="1" t="s">
        <v>14</v>
      </c>
      <c r="F1119" s="1"/>
      <c r="G1119" s="5" t="s">
        <v>64</v>
      </c>
      <c r="H1119" s="5" t="s">
        <v>1053</v>
      </c>
      <c r="I1119" s="1" t="s">
        <v>2928</v>
      </c>
      <c r="J1119" s="1"/>
      <c r="K1119" s="1"/>
      <c r="L1119" s="2" t="s">
        <v>3192</v>
      </c>
      <c r="M1119" s="1"/>
      <c r="N1119" s="1"/>
      <c r="O1119" s="1"/>
      <c r="P1119" s="1"/>
      <c r="Q1119" s="1"/>
      <c r="R1119" s="1"/>
      <c r="S1119" s="1"/>
      <c r="T1119" s="1"/>
      <c r="U1119" s="1"/>
      <c r="V1119" s="1"/>
      <c r="W1119" s="1"/>
      <c r="X1119" s="1"/>
      <c r="Y1119" s="1"/>
      <c r="Z1119" s="1"/>
    </row>
    <row r="1120" spans="1:26" ht="33.75" customHeight="1">
      <c r="A1120" s="1">
        <v>1091</v>
      </c>
      <c r="B1120" s="1" t="s">
        <v>3193</v>
      </c>
      <c r="C1120" s="1" t="s">
        <v>2636</v>
      </c>
      <c r="D1120" s="4">
        <v>39882.017361111109</v>
      </c>
      <c r="E1120" s="1" t="s">
        <v>14</v>
      </c>
      <c r="F1120" s="1">
        <v>897.1</v>
      </c>
      <c r="G1120" s="5" t="s">
        <v>64</v>
      </c>
      <c r="H1120" s="5" t="s">
        <v>65</v>
      </c>
      <c r="I1120" s="1" t="s">
        <v>886</v>
      </c>
      <c r="J1120" s="1" t="s">
        <v>3194</v>
      </c>
      <c r="K1120" s="1"/>
      <c r="L1120" s="2" t="s">
        <v>3195</v>
      </c>
      <c r="M1120" s="1"/>
      <c r="N1120" s="1"/>
      <c r="O1120" s="1"/>
      <c r="P1120" s="1"/>
      <c r="Q1120" s="1"/>
      <c r="R1120" s="1"/>
      <c r="S1120" s="1"/>
      <c r="T1120" s="1"/>
      <c r="U1120" s="1"/>
      <c r="V1120" s="1"/>
      <c r="W1120" s="1"/>
      <c r="X1120" s="1"/>
      <c r="Y1120" s="1"/>
      <c r="Z1120" s="1"/>
    </row>
    <row r="1121" spans="1:26" ht="33.75" customHeight="1">
      <c r="A1121" s="1">
        <v>1089</v>
      </c>
      <c r="B1121" s="1" t="s">
        <v>3196</v>
      </c>
      <c r="C1121" s="1" t="s">
        <v>2636</v>
      </c>
      <c r="D1121" s="4">
        <v>39882.063194444447</v>
      </c>
      <c r="E1121" s="1" t="s">
        <v>14</v>
      </c>
      <c r="F1121" s="1" t="s">
        <v>3191</v>
      </c>
      <c r="G1121" s="5" t="s">
        <v>15</v>
      </c>
      <c r="H1121" s="5" t="s">
        <v>150</v>
      </c>
      <c r="I1121" s="1" t="s">
        <v>2382</v>
      </c>
      <c r="J1121" s="1"/>
      <c r="K1121" s="1"/>
      <c r="L1121" s="2" t="s">
        <v>3197</v>
      </c>
      <c r="M1121" s="1"/>
      <c r="N1121" s="1"/>
      <c r="O1121" s="1"/>
      <c r="P1121" s="1"/>
      <c r="Q1121" s="1"/>
      <c r="R1121" s="1"/>
      <c r="S1121" s="1"/>
      <c r="T1121" s="1"/>
      <c r="U1121" s="1"/>
      <c r="V1121" s="1"/>
      <c r="W1121" s="1"/>
      <c r="X1121" s="1"/>
      <c r="Y1121" s="1"/>
      <c r="Z1121" s="1"/>
    </row>
    <row r="1122" spans="1:26" ht="33.75" customHeight="1">
      <c r="A1122" s="1">
        <v>1092</v>
      </c>
      <c r="B1122" s="1" t="s">
        <v>3198</v>
      </c>
      <c r="C1122" s="1" t="s">
        <v>3156</v>
      </c>
      <c r="D1122" s="4">
        <v>39882.063888888886</v>
      </c>
      <c r="E1122" s="1" t="s">
        <v>84</v>
      </c>
      <c r="F1122" s="1" t="s">
        <v>3199</v>
      </c>
      <c r="G1122" s="5" t="s">
        <v>26</v>
      </c>
      <c r="H1122" s="5" t="s">
        <v>27</v>
      </c>
      <c r="I1122" s="1" t="s">
        <v>166</v>
      </c>
      <c r="J1122" s="1"/>
      <c r="K1122" s="1" t="s">
        <v>3200</v>
      </c>
      <c r="L1122" s="2" t="s">
        <v>3201</v>
      </c>
      <c r="M1122" s="1"/>
      <c r="N1122" s="1"/>
      <c r="O1122" s="1"/>
      <c r="P1122" s="1"/>
      <c r="Q1122" s="1"/>
      <c r="R1122" s="1"/>
      <c r="S1122" s="1"/>
      <c r="T1122" s="1"/>
      <c r="U1122" s="1"/>
      <c r="V1122" s="1"/>
      <c r="W1122" s="1"/>
      <c r="X1122" s="1"/>
      <c r="Y1122" s="1"/>
      <c r="Z1122" s="1"/>
    </row>
    <row r="1123" spans="1:26" ht="33.75" customHeight="1">
      <c r="A1123" s="1">
        <v>1090</v>
      </c>
      <c r="B1123" s="1" t="s">
        <v>3202</v>
      </c>
      <c r="C1123" s="1" t="s">
        <v>2636</v>
      </c>
      <c r="D1123" s="4">
        <v>39882.067361111112</v>
      </c>
      <c r="E1123" s="1" t="s">
        <v>14</v>
      </c>
      <c r="F1123" s="1" t="s">
        <v>3191</v>
      </c>
      <c r="G1123" s="5" t="s">
        <v>64</v>
      </c>
      <c r="H1123" s="5" t="s">
        <v>179</v>
      </c>
      <c r="I1123" s="1" t="s">
        <v>2382</v>
      </c>
      <c r="J1123" s="1"/>
      <c r="K1123" s="1"/>
      <c r="L1123" s="2" t="s">
        <v>3203</v>
      </c>
      <c r="M1123" s="1"/>
      <c r="N1123" s="1"/>
      <c r="O1123" s="1"/>
      <c r="P1123" s="1"/>
      <c r="Q1123" s="1"/>
      <c r="R1123" s="1"/>
      <c r="S1123" s="1"/>
      <c r="T1123" s="1"/>
      <c r="U1123" s="1"/>
      <c r="V1123" s="1"/>
      <c r="W1123" s="1"/>
      <c r="X1123" s="1"/>
      <c r="Y1123" s="1"/>
      <c r="Z1123" s="1"/>
    </row>
    <row r="1124" spans="1:26" ht="33.75" customHeight="1">
      <c r="A1124" s="1">
        <v>1093</v>
      </c>
      <c r="B1124" s="1" t="s">
        <v>3204</v>
      </c>
      <c r="C1124" s="1" t="s">
        <v>3156</v>
      </c>
      <c r="D1124" s="4">
        <v>39882.150694444441</v>
      </c>
      <c r="E1124" s="1" t="s">
        <v>54</v>
      </c>
      <c r="F1124" s="1"/>
      <c r="G1124" s="5" t="s">
        <v>15</v>
      </c>
      <c r="H1124" s="5" t="s">
        <v>150</v>
      </c>
      <c r="I1124" s="1" t="s">
        <v>3205</v>
      </c>
      <c r="J1124" s="1"/>
      <c r="K1124" s="1"/>
      <c r="L1124" s="2" t="s">
        <v>3206</v>
      </c>
      <c r="M1124" s="1"/>
      <c r="N1124" s="1"/>
      <c r="O1124" s="1"/>
      <c r="P1124" s="1"/>
      <c r="Q1124" s="1"/>
      <c r="R1124" s="1"/>
      <c r="S1124" s="1"/>
      <c r="T1124" s="1"/>
      <c r="U1124" s="1"/>
      <c r="V1124" s="1"/>
      <c r="W1124" s="1"/>
      <c r="X1124" s="1"/>
      <c r="Y1124" s="1"/>
      <c r="Z1124" s="1"/>
    </row>
    <row r="1125" spans="1:26" ht="33.75" customHeight="1">
      <c r="A1125" s="1">
        <v>1855</v>
      </c>
      <c r="B1125" s="1" t="s">
        <v>3207</v>
      </c>
      <c r="C1125" s="1" t="s">
        <v>2870</v>
      </c>
      <c r="D1125" s="4">
        <v>39882.22152777778</v>
      </c>
      <c r="E1125" s="1" t="s">
        <v>1089</v>
      </c>
      <c r="F1125" s="1"/>
      <c r="G1125" s="5" t="s">
        <v>64</v>
      </c>
      <c r="H1125" s="1"/>
      <c r="I1125" s="1" t="s">
        <v>64</v>
      </c>
      <c r="J1125" s="1"/>
      <c r="K1125" s="1"/>
      <c r="L1125" s="2" t="s">
        <v>3208</v>
      </c>
      <c r="M1125" s="1"/>
      <c r="N1125" s="1"/>
      <c r="O1125" s="1"/>
      <c r="P1125" s="1"/>
      <c r="Q1125" s="1"/>
      <c r="R1125" s="1"/>
      <c r="S1125" s="1"/>
      <c r="T1125" s="1"/>
      <c r="U1125" s="1"/>
      <c r="V1125" s="1"/>
      <c r="W1125" s="1"/>
      <c r="X1125" s="1"/>
      <c r="Y1125" s="1"/>
      <c r="Z1125" s="1"/>
    </row>
    <row r="1126" spans="1:26" ht="33.75" customHeight="1">
      <c r="A1126" s="1">
        <v>1856</v>
      </c>
      <c r="B1126" s="1" t="s">
        <v>3209</v>
      </c>
      <c r="C1126" s="1" t="s">
        <v>2870</v>
      </c>
      <c r="D1126" s="4">
        <v>39882.304166666669</v>
      </c>
      <c r="E1126" s="1" t="s">
        <v>54</v>
      </c>
      <c r="F1126" s="1" t="s">
        <v>3207</v>
      </c>
      <c r="G1126" s="5" t="s">
        <v>64</v>
      </c>
      <c r="H1126" s="1"/>
      <c r="I1126" s="1" t="s">
        <v>64</v>
      </c>
      <c r="J1126" s="1"/>
      <c r="K1126" s="1"/>
      <c r="L1126" s="2" t="s">
        <v>3210</v>
      </c>
      <c r="M1126" s="1"/>
      <c r="N1126" s="1"/>
      <c r="O1126" s="1"/>
      <c r="P1126" s="1"/>
      <c r="Q1126" s="1"/>
      <c r="R1126" s="1"/>
      <c r="S1126" s="1"/>
      <c r="T1126" s="1"/>
      <c r="U1126" s="1"/>
      <c r="V1126" s="1"/>
      <c r="W1126" s="1"/>
      <c r="X1126" s="1"/>
      <c r="Y1126" s="1"/>
      <c r="Z1126" s="1"/>
    </row>
    <row r="1127" spans="1:26" ht="33.75" customHeight="1">
      <c r="A1127" s="1">
        <v>1095</v>
      </c>
      <c r="B1127" s="1" t="s">
        <v>3211</v>
      </c>
      <c r="C1127" s="1" t="s">
        <v>3156</v>
      </c>
      <c r="D1127" s="4">
        <v>39882.305555555555</v>
      </c>
      <c r="E1127" s="1" t="s">
        <v>320</v>
      </c>
      <c r="F1127" s="1"/>
      <c r="G1127" s="5" t="s">
        <v>64</v>
      </c>
      <c r="H1127" s="1"/>
      <c r="I1127" s="1" t="s">
        <v>64</v>
      </c>
      <c r="J1127" s="1"/>
      <c r="K1127" s="1" t="s">
        <v>3212</v>
      </c>
      <c r="L1127" s="2" t="s">
        <v>3213</v>
      </c>
      <c r="M1127" s="1"/>
      <c r="N1127" s="1"/>
      <c r="O1127" s="1"/>
      <c r="P1127" s="1"/>
      <c r="Q1127" s="1"/>
      <c r="R1127" s="1"/>
      <c r="S1127" s="1"/>
      <c r="T1127" s="1"/>
      <c r="U1127" s="1"/>
      <c r="V1127" s="1"/>
      <c r="W1127" s="1"/>
      <c r="X1127" s="1"/>
      <c r="Y1127" s="1"/>
      <c r="Z1127" s="1"/>
    </row>
    <row r="1128" spans="1:26" ht="33.75" customHeight="1">
      <c r="A1128" s="1">
        <v>1096</v>
      </c>
      <c r="B1128" s="1" t="s">
        <v>3214</v>
      </c>
      <c r="C1128" s="1" t="s">
        <v>3156</v>
      </c>
      <c r="D1128" s="4">
        <v>39882.306250000001</v>
      </c>
      <c r="E1128" s="1" t="s">
        <v>320</v>
      </c>
      <c r="F1128" s="1" t="s">
        <v>3211</v>
      </c>
      <c r="G1128" s="5" t="s">
        <v>64</v>
      </c>
      <c r="H1128" s="5" t="s">
        <v>179</v>
      </c>
      <c r="I1128" s="1" t="s">
        <v>179</v>
      </c>
      <c r="J1128" s="1"/>
      <c r="K1128" s="1"/>
      <c r="L1128" s="2" t="s">
        <v>3215</v>
      </c>
      <c r="M1128" s="1"/>
      <c r="N1128" s="1"/>
      <c r="O1128" s="1"/>
      <c r="P1128" s="1"/>
      <c r="Q1128" s="1"/>
      <c r="R1128" s="1"/>
      <c r="S1128" s="1"/>
      <c r="T1128" s="1"/>
      <c r="U1128" s="1"/>
      <c r="V1128" s="1"/>
      <c r="W1128" s="1"/>
      <c r="X1128" s="1"/>
      <c r="Y1128" s="1"/>
      <c r="Z1128" s="1"/>
    </row>
    <row r="1129" spans="1:26" ht="33.75" customHeight="1">
      <c r="A1129" s="1">
        <v>1102</v>
      </c>
      <c r="B1129" s="1" t="s">
        <v>3216</v>
      </c>
      <c r="C1129" s="1" t="s">
        <v>3156</v>
      </c>
      <c r="D1129" s="4">
        <v>39882.652083333334</v>
      </c>
      <c r="E1129" s="1" t="s">
        <v>1528</v>
      </c>
      <c r="F1129" s="1" t="s">
        <v>3155</v>
      </c>
      <c r="G1129" s="6" t="s">
        <v>78</v>
      </c>
      <c r="H1129" s="5" t="s">
        <v>870</v>
      </c>
      <c r="I1129" s="1" t="s">
        <v>2382</v>
      </c>
      <c r="J1129" s="1"/>
      <c r="K1129" s="1"/>
      <c r="L1129" s="2" t="s">
        <v>3217</v>
      </c>
      <c r="M1129" s="1"/>
      <c r="N1129" s="1"/>
      <c r="O1129" s="1"/>
      <c r="P1129" s="1"/>
      <c r="Q1129" s="1"/>
      <c r="R1129" s="1"/>
      <c r="S1129" s="1"/>
      <c r="T1129" s="1"/>
      <c r="U1129" s="1"/>
      <c r="V1129" s="1"/>
      <c r="W1129" s="1"/>
      <c r="X1129" s="1"/>
      <c r="Y1129" s="1"/>
      <c r="Z1129" s="1"/>
    </row>
    <row r="1130" spans="1:26" ht="33.75" customHeight="1">
      <c r="A1130" s="1">
        <v>1097</v>
      </c>
      <c r="B1130" s="1" t="s">
        <v>3218</v>
      </c>
      <c r="C1130" s="1" t="s">
        <v>3156</v>
      </c>
      <c r="D1130" s="4">
        <v>39882.383333333331</v>
      </c>
      <c r="E1130" s="1" t="s">
        <v>14</v>
      </c>
      <c r="F1130" s="1" t="s">
        <v>3211</v>
      </c>
      <c r="G1130" s="6" t="s">
        <v>78</v>
      </c>
      <c r="H1130" s="5" t="s">
        <v>223</v>
      </c>
      <c r="I1130" s="1" t="s">
        <v>2382</v>
      </c>
      <c r="J1130" s="1"/>
      <c r="K1130" s="1"/>
      <c r="L1130" s="2" t="s">
        <v>3219</v>
      </c>
      <c r="M1130" s="1"/>
      <c r="N1130" s="1"/>
      <c r="O1130" s="1"/>
      <c r="P1130" s="1"/>
      <c r="Q1130" s="1"/>
      <c r="R1130" s="1"/>
      <c r="S1130" s="1"/>
      <c r="T1130" s="1"/>
      <c r="U1130" s="1"/>
      <c r="V1130" s="1"/>
      <c r="W1130" s="1"/>
      <c r="X1130" s="1"/>
      <c r="Y1130" s="1"/>
      <c r="Z1130" s="1"/>
    </row>
    <row r="1131" spans="1:26" ht="33.75" customHeight="1">
      <c r="A1131" s="1">
        <v>1101</v>
      </c>
      <c r="B1131" s="1" t="s">
        <v>3220</v>
      </c>
      <c r="C1131" s="1" t="s">
        <v>3156</v>
      </c>
      <c r="D1131" s="4">
        <v>39882.387499999997</v>
      </c>
      <c r="E1131" s="1" t="s">
        <v>14</v>
      </c>
      <c r="F1131" s="1" t="s">
        <v>3155</v>
      </c>
      <c r="G1131" s="6" t="s">
        <v>78</v>
      </c>
      <c r="H1131" s="5" t="s">
        <v>870</v>
      </c>
      <c r="I1131" s="1" t="s">
        <v>2382</v>
      </c>
      <c r="J1131" s="1"/>
      <c r="K1131" s="1"/>
      <c r="L1131" s="2" t="s">
        <v>3221</v>
      </c>
      <c r="M1131" s="1"/>
      <c r="N1131" s="1"/>
      <c r="O1131" s="1"/>
      <c r="P1131" s="1"/>
      <c r="Q1131" s="1"/>
      <c r="R1131" s="1"/>
      <c r="S1131" s="1"/>
      <c r="T1131" s="1"/>
      <c r="U1131" s="1"/>
      <c r="V1131" s="1"/>
      <c r="W1131" s="1"/>
      <c r="X1131" s="1"/>
      <c r="Y1131" s="1"/>
      <c r="Z1131" s="1"/>
    </row>
    <row r="1132" spans="1:26" ht="33.75" customHeight="1">
      <c r="A1132" s="1">
        <v>1094</v>
      </c>
      <c r="B1132" s="1" t="s">
        <v>3222</v>
      </c>
      <c r="C1132" s="1" t="s">
        <v>3156</v>
      </c>
      <c r="D1132" s="4">
        <v>39882.442361111112</v>
      </c>
      <c r="E1132" s="1" t="s">
        <v>14</v>
      </c>
      <c r="F1132" s="1" t="s">
        <v>3204</v>
      </c>
      <c r="G1132" s="5" t="s">
        <v>15</v>
      </c>
      <c r="H1132" s="5" t="s">
        <v>150</v>
      </c>
      <c r="I1132" s="1" t="s">
        <v>2382</v>
      </c>
      <c r="J1132" s="1"/>
      <c r="K1132" s="1"/>
      <c r="L1132" s="2" t="s">
        <v>3223</v>
      </c>
      <c r="M1132" s="1"/>
      <c r="N1132" s="1"/>
      <c r="O1132" s="1"/>
      <c r="P1132" s="1"/>
      <c r="Q1132" s="1"/>
      <c r="R1132" s="1"/>
      <c r="S1132" s="1"/>
      <c r="T1132" s="1"/>
      <c r="U1132" s="1"/>
      <c r="V1132" s="1"/>
      <c r="W1132" s="1"/>
      <c r="X1132" s="1"/>
      <c r="Y1132" s="1"/>
      <c r="Z1132" s="1"/>
    </row>
    <row r="1133" spans="1:26" ht="33.75" customHeight="1">
      <c r="A1133" s="1">
        <v>1098</v>
      </c>
      <c r="B1133" s="1" t="s">
        <v>3224</v>
      </c>
      <c r="C1133" s="1" t="s">
        <v>3156</v>
      </c>
      <c r="D1133" s="4">
        <v>39882.445138888892</v>
      </c>
      <c r="E1133" s="1" t="s">
        <v>14</v>
      </c>
      <c r="F1133" s="1" t="s">
        <v>3211</v>
      </c>
      <c r="G1133" s="5" t="s">
        <v>26</v>
      </c>
      <c r="H1133" s="5" t="s">
        <v>27</v>
      </c>
      <c r="I1133" s="1" t="s">
        <v>2382</v>
      </c>
      <c r="J1133" s="1"/>
      <c r="K1133" s="1"/>
      <c r="L1133" s="2" t="s">
        <v>3225</v>
      </c>
      <c r="M1133" s="1"/>
      <c r="N1133" s="1"/>
      <c r="O1133" s="1"/>
      <c r="P1133" s="1"/>
      <c r="Q1133" s="1"/>
      <c r="R1133" s="1"/>
      <c r="S1133" s="1"/>
      <c r="T1133" s="1"/>
      <c r="U1133" s="1"/>
      <c r="V1133" s="1"/>
      <c r="W1133" s="1"/>
      <c r="X1133" s="1"/>
      <c r="Y1133" s="1"/>
      <c r="Z1133" s="1"/>
    </row>
    <row r="1134" spans="1:26" ht="33.75" customHeight="1">
      <c r="A1134" s="1">
        <v>1106</v>
      </c>
      <c r="B1134" s="1" t="s">
        <v>3226</v>
      </c>
      <c r="C1134" s="1" t="s">
        <v>3156</v>
      </c>
      <c r="D1134" s="4">
        <v>39882.450694444444</v>
      </c>
      <c r="E1134" s="1" t="s">
        <v>14</v>
      </c>
      <c r="F1134" s="1"/>
      <c r="G1134" s="5" t="s">
        <v>33</v>
      </c>
      <c r="H1134" s="5" t="s">
        <v>34</v>
      </c>
      <c r="I1134" s="1" t="s">
        <v>1605</v>
      </c>
      <c r="J1134" s="1"/>
      <c r="K1134" s="1" t="s">
        <v>3227</v>
      </c>
      <c r="L1134" s="2" t="s">
        <v>3228</v>
      </c>
      <c r="M1134" s="1"/>
      <c r="N1134" s="1"/>
      <c r="O1134" s="1"/>
      <c r="P1134" s="1"/>
      <c r="Q1134" s="1"/>
      <c r="R1134" s="1"/>
      <c r="S1134" s="1"/>
      <c r="T1134" s="1"/>
      <c r="U1134" s="1"/>
      <c r="V1134" s="1"/>
      <c r="W1134" s="1"/>
      <c r="X1134" s="1"/>
      <c r="Y1134" s="1"/>
      <c r="Z1134" s="1"/>
    </row>
    <row r="1135" spans="1:26" ht="33.75" customHeight="1">
      <c r="A1135" s="1">
        <v>1103</v>
      </c>
      <c r="B1135" s="1" t="s">
        <v>3229</v>
      </c>
      <c r="C1135" s="1" t="s">
        <v>3156</v>
      </c>
      <c r="D1135" s="4">
        <v>39882.790277777778</v>
      </c>
      <c r="E1135" s="1" t="s">
        <v>1528</v>
      </c>
      <c r="F1135" s="1" t="s">
        <v>3155</v>
      </c>
      <c r="G1135" s="6" t="s">
        <v>78</v>
      </c>
      <c r="H1135" s="5" t="s">
        <v>79</v>
      </c>
      <c r="I1135" s="1" t="s">
        <v>2382</v>
      </c>
      <c r="J1135" s="1"/>
      <c r="K1135" s="1"/>
      <c r="L1135" s="2" t="s">
        <v>3230</v>
      </c>
      <c r="M1135" s="1"/>
      <c r="N1135" s="1"/>
      <c r="O1135" s="1"/>
      <c r="P1135" s="1"/>
      <c r="Q1135" s="1"/>
      <c r="R1135" s="1"/>
      <c r="S1135" s="1"/>
      <c r="T1135" s="1"/>
      <c r="U1135" s="1"/>
      <c r="V1135" s="1"/>
      <c r="W1135" s="1"/>
      <c r="X1135" s="1"/>
      <c r="Y1135" s="1"/>
      <c r="Z1135" s="1"/>
    </row>
    <row r="1136" spans="1:26" ht="33.75" customHeight="1">
      <c r="A1136" s="1">
        <v>1099</v>
      </c>
      <c r="B1136" s="1" t="s">
        <v>3231</v>
      </c>
      <c r="C1136" s="1" t="s">
        <v>3156</v>
      </c>
      <c r="D1136" s="4">
        <v>39882.695138888892</v>
      </c>
      <c r="E1136" s="1" t="s">
        <v>320</v>
      </c>
      <c r="F1136" s="1" t="s">
        <v>3211</v>
      </c>
      <c r="G1136" s="5" t="s">
        <v>64</v>
      </c>
      <c r="H1136" s="5" t="s">
        <v>179</v>
      </c>
      <c r="I1136" s="1" t="s">
        <v>2382</v>
      </c>
      <c r="J1136" s="1"/>
      <c r="K1136" s="1"/>
      <c r="L1136" s="2" t="s">
        <v>3232</v>
      </c>
      <c r="M1136" s="1"/>
      <c r="N1136" s="1"/>
      <c r="O1136" s="1"/>
      <c r="P1136" s="1"/>
      <c r="Q1136" s="1"/>
      <c r="R1136" s="1"/>
      <c r="S1136" s="1"/>
      <c r="T1136" s="1"/>
      <c r="U1136" s="1"/>
      <c r="V1136" s="1"/>
      <c r="W1136" s="1"/>
      <c r="X1136" s="1"/>
      <c r="Y1136" s="1"/>
      <c r="Z1136" s="1"/>
    </row>
    <row r="1137" spans="1:26" ht="33.75" customHeight="1">
      <c r="A1137" s="1">
        <v>1857</v>
      </c>
      <c r="B1137" s="1" t="s">
        <v>3233</v>
      </c>
      <c r="C1137" s="1" t="s">
        <v>2870</v>
      </c>
      <c r="D1137" s="4">
        <v>39882.703472222223</v>
      </c>
      <c r="E1137" s="1" t="s">
        <v>1089</v>
      </c>
      <c r="F1137" s="1"/>
      <c r="G1137" s="7" t="s">
        <v>15</v>
      </c>
      <c r="H1137" s="5" t="s">
        <v>55</v>
      </c>
      <c r="I1137" s="1" t="s">
        <v>3234</v>
      </c>
      <c r="J1137" s="1"/>
      <c r="K1137" s="1" t="s">
        <v>3235</v>
      </c>
      <c r="L1137" s="2" t="s">
        <v>3236</v>
      </c>
      <c r="M1137" s="1"/>
      <c r="N1137" s="1"/>
      <c r="O1137" s="1"/>
      <c r="P1137" s="1"/>
      <c r="Q1137" s="1"/>
      <c r="R1137" s="1"/>
      <c r="S1137" s="1"/>
      <c r="T1137" s="1"/>
      <c r="U1137" s="1"/>
      <c r="V1137" s="1"/>
      <c r="W1137" s="1"/>
      <c r="X1137" s="1"/>
      <c r="Y1137" s="1"/>
      <c r="Z1137" s="1"/>
    </row>
    <row r="1138" spans="1:26" ht="33.75" customHeight="1">
      <c r="A1138" s="1">
        <v>1858</v>
      </c>
      <c r="B1138" s="1" t="s">
        <v>3237</v>
      </c>
      <c r="C1138" s="1" t="s">
        <v>2870</v>
      </c>
      <c r="D1138" s="4">
        <v>39882.71875</v>
      </c>
      <c r="E1138" s="1" t="s">
        <v>54</v>
      </c>
      <c r="F1138" s="1"/>
      <c r="G1138" s="7" t="s">
        <v>15</v>
      </c>
      <c r="H1138" s="5" t="s">
        <v>55</v>
      </c>
      <c r="I1138" s="1" t="s">
        <v>3234</v>
      </c>
      <c r="J1138" s="1"/>
      <c r="K1138" s="1" t="s">
        <v>3238</v>
      </c>
      <c r="L1138" s="2" t="s">
        <v>3239</v>
      </c>
      <c r="M1138" s="1"/>
      <c r="N1138" s="1"/>
      <c r="O1138" s="1"/>
      <c r="P1138" s="1"/>
      <c r="Q1138" s="1"/>
      <c r="R1138" s="1"/>
      <c r="S1138" s="1"/>
      <c r="T1138" s="1"/>
      <c r="U1138" s="1"/>
      <c r="V1138" s="1"/>
      <c r="W1138" s="1"/>
      <c r="X1138" s="1"/>
      <c r="Y1138" s="1"/>
      <c r="Z1138" s="1"/>
    </row>
    <row r="1139" spans="1:26" ht="33.75" customHeight="1">
      <c r="A1139" s="1">
        <v>1104</v>
      </c>
      <c r="B1139" s="1" t="s">
        <v>3240</v>
      </c>
      <c r="C1139" s="1" t="s">
        <v>3156</v>
      </c>
      <c r="D1139" s="4">
        <v>39883.81527777778</v>
      </c>
      <c r="E1139" s="1" t="s">
        <v>1528</v>
      </c>
      <c r="F1139" s="1" t="s">
        <v>3155</v>
      </c>
      <c r="G1139" s="5" t="s">
        <v>15</v>
      </c>
      <c r="H1139" s="5" t="s">
        <v>150</v>
      </c>
      <c r="I1139" s="1" t="s">
        <v>2382</v>
      </c>
      <c r="J1139" s="1"/>
      <c r="K1139" s="1"/>
      <c r="L1139" s="2" t="s">
        <v>3241</v>
      </c>
      <c r="M1139" s="1"/>
      <c r="N1139" s="1"/>
      <c r="O1139" s="1"/>
      <c r="P1139" s="1"/>
      <c r="Q1139" s="1"/>
      <c r="R1139" s="1"/>
      <c r="S1139" s="1"/>
      <c r="T1139" s="1"/>
      <c r="U1139" s="1"/>
      <c r="V1139" s="1"/>
      <c r="W1139" s="1"/>
      <c r="X1139" s="1"/>
      <c r="Y1139" s="1"/>
      <c r="Z1139" s="1"/>
    </row>
    <row r="1140" spans="1:26" ht="33.75" customHeight="1">
      <c r="A1140" s="1">
        <v>1108</v>
      </c>
      <c r="B1140" s="1" t="s">
        <v>3242</v>
      </c>
      <c r="C1140" s="1" t="s">
        <v>3156</v>
      </c>
      <c r="D1140" s="4">
        <v>39882.798611111109</v>
      </c>
      <c r="E1140" s="1" t="s">
        <v>54</v>
      </c>
      <c r="F1140" s="1"/>
      <c r="G1140" s="5" t="s">
        <v>64</v>
      </c>
      <c r="H1140" s="5" t="s">
        <v>65</v>
      </c>
      <c r="I1140" s="1" t="s">
        <v>886</v>
      </c>
      <c r="J1140" s="1"/>
      <c r="K1140" s="1" t="s">
        <v>3243</v>
      </c>
      <c r="L1140" s="2" t="s">
        <v>3244</v>
      </c>
      <c r="M1140" s="1"/>
      <c r="N1140" s="1"/>
      <c r="O1140" s="1"/>
      <c r="P1140" s="1"/>
      <c r="Q1140" s="1"/>
      <c r="R1140" s="1"/>
      <c r="S1140" s="1"/>
      <c r="T1140" s="1"/>
      <c r="U1140" s="1"/>
      <c r="V1140" s="1"/>
      <c r="W1140" s="1"/>
      <c r="X1140" s="1"/>
      <c r="Y1140" s="1"/>
      <c r="Z1140" s="1"/>
    </row>
    <row r="1141" spans="1:26" ht="33.75" customHeight="1">
      <c r="A1141" s="1">
        <v>1110</v>
      </c>
      <c r="B1141" s="1" t="s">
        <v>3245</v>
      </c>
      <c r="C1141" s="1" t="s">
        <v>3156</v>
      </c>
      <c r="D1141" s="4">
        <v>39882.821527777778</v>
      </c>
      <c r="E1141" s="1" t="s">
        <v>54</v>
      </c>
      <c r="F1141" s="1"/>
      <c r="G1141" s="6" t="s">
        <v>78</v>
      </c>
      <c r="H1141" s="5" t="s">
        <v>79</v>
      </c>
      <c r="I1141" s="1" t="s">
        <v>277</v>
      </c>
      <c r="J1141" s="1" t="s">
        <v>3040</v>
      </c>
      <c r="K1141" s="1" t="s">
        <v>3246</v>
      </c>
      <c r="L1141" s="2" t="s">
        <v>3247</v>
      </c>
      <c r="M1141" s="1"/>
      <c r="N1141" s="1"/>
      <c r="O1141" s="1"/>
      <c r="P1141" s="1"/>
      <c r="Q1141" s="1"/>
      <c r="R1141" s="1"/>
      <c r="S1141" s="1"/>
      <c r="T1141" s="1"/>
      <c r="U1141" s="1"/>
      <c r="V1141" s="1"/>
      <c r="W1141" s="1"/>
      <c r="X1141" s="1"/>
      <c r="Y1141" s="1"/>
      <c r="Z1141" s="1"/>
    </row>
    <row r="1142" spans="1:26" ht="33.75" customHeight="1">
      <c r="A1142" s="1">
        <v>1111</v>
      </c>
      <c r="B1142" s="1" t="s">
        <v>3248</v>
      </c>
      <c r="C1142" s="1" t="s">
        <v>3156</v>
      </c>
      <c r="D1142" s="4">
        <v>39882.822222222225</v>
      </c>
      <c r="E1142" s="1" t="s">
        <v>54</v>
      </c>
      <c r="F1142" s="1"/>
      <c r="G1142" s="5" t="s">
        <v>64</v>
      </c>
      <c r="H1142" s="5" t="s">
        <v>179</v>
      </c>
      <c r="I1142" s="1" t="s">
        <v>179</v>
      </c>
      <c r="J1142" s="1"/>
      <c r="K1142" s="1"/>
      <c r="L1142" s="2" t="s">
        <v>3249</v>
      </c>
      <c r="M1142" s="1"/>
      <c r="N1142" s="1"/>
      <c r="O1142" s="1"/>
      <c r="P1142" s="1"/>
      <c r="Q1142" s="1"/>
      <c r="R1142" s="1"/>
      <c r="S1142" s="1"/>
      <c r="T1142" s="1"/>
      <c r="U1142" s="1"/>
      <c r="V1142" s="1"/>
      <c r="W1142" s="1"/>
      <c r="X1142" s="1"/>
      <c r="Y1142" s="1"/>
      <c r="Z1142" s="1"/>
    </row>
    <row r="1143" spans="1:26" ht="33.75" customHeight="1">
      <c r="A1143" s="1">
        <v>1109</v>
      </c>
      <c r="B1143" s="1" t="s">
        <v>3250</v>
      </c>
      <c r="C1143" s="1" t="s">
        <v>3156</v>
      </c>
      <c r="D1143" s="4">
        <v>39882.822916666664</v>
      </c>
      <c r="E1143" s="1" t="s">
        <v>14</v>
      </c>
      <c r="F1143" s="1" t="s">
        <v>3242</v>
      </c>
      <c r="G1143" s="5" t="s">
        <v>26</v>
      </c>
      <c r="H1143" s="5" t="s">
        <v>27</v>
      </c>
      <c r="I1143" s="1" t="s">
        <v>28</v>
      </c>
      <c r="J1143" s="1" t="s">
        <v>259</v>
      </c>
      <c r="K1143" s="1" t="s">
        <v>3251</v>
      </c>
      <c r="L1143" s="2" t="s">
        <v>3252</v>
      </c>
      <c r="M1143" s="1"/>
      <c r="N1143" s="1"/>
      <c r="O1143" s="1"/>
      <c r="P1143" s="1"/>
      <c r="Q1143" s="1"/>
      <c r="R1143" s="1"/>
      <c r="S1143" s="1"/>
      <c r="T1143" s="1"/>
      <c r="U1143" s="1"/>
      <c r="V1143" s="1"/>
      <c r="W1143" s="1"/>
      <c r="X1143" s="1"/>
      <c r="Y1143" s="1"/>
      <c r="Z1143" s="1"/>
    </row>
    <row r="1144" spans="1:26" ht="33.75" customHeight="1">
      <c r="A1144" s="1">
        <v>1112</v>
      </c>
      <c r="B1144" s="1" t="s">
        <v>3253</v>
      </c>
      <c r="C1144" s="1" t="s">
        <v>3156</v>
      </c>
      <c r="D1144" s="4">
        <v>39882.829861111109</v>
      </c>
      <c r="E1144" s="1" t="s">
        <v>54</v>
      </c>
      <c r="F1144" s="1" t="s">
        <v>3245</v>
      </c>
      <c r="G1144" s="5" t="s">
        <v>15</v>
      </c>
      <c r="H1144" s="5" t="s">
        <v>150</v>
      </c>
      <c r="I1144" s="1" t="s">
        <v>2382</v>
      </c>
      <c r="J1144" s="1"/>
      <c r="K1144" s="1"/>
      <c r="L1144" s="2" t="s">
        <v>3254</v>
      </c>
      <c r="M1144" s="1"/>
      <c r="N1144" s="1"/>
      <c r="O1144" s="1"/>
      <c r="P1144" s="1"/>
      <c r="Q1144" s="1"/>
      <c r="R1144" s="1"/>
      <c r="S1144" s="1"/>
      <c r="T1144" s="1"/>
      <c r="U1144" s="1"/>
      <c r="V1144" s="1"/>
      <c r="W1144" s="1"/>
      <c r="X1144" s="1"/>
      <c r="Y1144" s="1"/>
      <c r="Z1144" s="1"/>
    </row>
    <row r="1145" spans="1:26" ht="33.75" customHeight="1">
      <c r="A1145" s="1">
        <v>13</v>
      </c>
      <c r="B1145" s="1" t="s">
        <v>12</v>
      </c>
      <c r="C1145" s="1" t="s">
        <v>3255</v>
      </c>
      <c r="D1145" s="4">
        <v>39882.90420138889</v>
      </c>
      <c r="E1145" s="1" t="s">
        <v>14</v>
      </c>
      <c r="F1145" s="1"/>
      <c r="G1145" s="5" t="s">
        <v>15</v>
      </c>
      <c r="H1145" s="5" t="s">
        <v>50</v>
      </c>
      <c r="I1145" s="1" t="s">
        <v>166</v>
      </c>
      <c r="J1145" s="1"/>
      <c r="K1145" s="1" t="s">
        <v>3256</v>
      </c>
      <c r="L1145" s="2" t="s">
        <v>3257</v>
      </c>
      <c r="M1145" s="1"/>
      <c r="N1145" s="1"/>
      <c r="O1145" s="1"/>
      <c r="P1145" s="1"/>
      <c r="Q1145" s="1"/>
      <c r="R1145" s="1"/>
      <c r="S1145" s="1"/>
      <c r="T1145" s="1"/>
      <c r="U1145" s="1"/>
      <c r="V1145" s="1"/>
      <c r="W1145" s="1"/>
      <c r="X1145" s="1"/>
      <c r="Y1145" s="1"/>
      <c r="Z1145" s="1"/>
    </row>
    <row r="1146" spans="1:26" ht="33.75" customHeight="1">
      <c r="A1146" s="1">
        <v>1114</v>
      </c>
      <c r="B1146" s="1" t="s">
        <v>3258</v>
      </c>
      <c r="C1146" s="1" t="s">
        <v>3156</v>
      </c>
      <c r="D1146" s="4">
        <v>39882.912499999999</v>
      </c>
      <c r="E1146" s="1" t="s">
        <v>320</v>
      </c>
      <c r="F1146" s="1"/>
      <c r="G1146" s="5" t="s">
        <v>26</v>
      </c>
      <c r="H1146" s="5" t="s">
        <v>27</v>
      </c>
      <c r="I1146" s="1" t="s">
        <v>28</v>
      </c>
      <c r="J1146" s="1" t="s">
        <v>29</v>
      </c>
      <c r="K1146" s="1"/>
      <c r="L1146" s="2" t="s">
        <v>3259</v>
      </c>
      <c r="M1146" s="1"/>
      <c r="N1146" s="1"/>
      <c r="O1146" s="1"/>
      <c r="P1146" s="1"/>
      <c r="Q1146" s="1"/>
      <c r="R1146" s="1"/>
      <c r="S1146" s="1"/>
      <c r="T1146" s="1"/>
      <c r="U1146" s="1"/>
      <c r="V1146" s="1"/>
      <c r="W1146" s="1"/>
      <c r="X1146" s="1"/>
      <c r="Y1146" s="1"/>
      <c r="Z1146" s="1"/>
    </row>
    <row r="1147" spans="1:26" ht="33.75" customHeight="1">
      <c r="A1147" s="1">
        <v>1119</v>
      </c>
      <c r="B1147" s="1" t="s">
        <v>3260</v>
      </c>
      <c r="C1147" s="1" t="s">
        <v>3156</v>
      </c>
      <c r="D1147" s="4">
        <v>39882.913194444445</v>
      </c>
      <c r="E1147" s="1" t="s">
        <v>54</v>
      </c>
      <c r="F1147" s="1"/>
      <c r="G1147" s="5" t="s">
        <v>26</v>
      </c>
      <c r="H1147" s="5" t="s">
        <v>133</v>
      </c>
      <c r="I1147" s="1" t="s">
        <v>28</v>
      </c>
      <c r="J1147" s="1" t="s">
        <v>134</v>
      </c>
      <c r="K1147" s="1"/>
      <c r="L1147" s="2" t="s">
        <v>3261</v>
      </c>
      <c r="M1147" s="1"/>
      <c r="N1147" s="1"/>
      <c r="O1147" s="1"/>
      <c r="P1147" s="1"/>
      <c r="Q1147" s="1"/>
      <c r="R1147" s="1"/>
      <c r="S1147" s="1"/>
      <c r="T1147" s="1"/>
      <c r="U1147" s="1"/>
      <c r="V1147" s="1"/>
      <c r="W1147" s="1"/>
      <c r="X1147" s="1"/>
      <c r="Y1147" s="1"/>
      <c r="Z1147" s="1"/>
    </row>
    <row r="1148" spans="1:26" ht="33.75" customHeight="1">
      <c r="A1148" s="1">
        <v>1115</v>
      </c>
      <c r="B1148" s="1" t="s">
        <v>3262</v>
      </c>
      <c r="C1148" s="1" t="s">
        <v>3156</v>
      </c>
      <c r="D1148" s="4">
        <v>39882.925000000003</v>
      </c>
      <c r="E1148" s="1" t="s">
        <v>320</v>
      </c>
      <c r="F1148" s="1" t="s">
        <v>3258</v>
      </c>
      <c r="G1148" s="5" t="s">
        <v>64</v>
      </c>
      <c r="H1148" s="5" t="s">
        <v>1053</v>
      </c>
      <c r="I1148" s="1" t="s">
        <v>2382</v>
      </c>
      <c r="J1148" s="1"/>
      <c r="K1148" s="1"/>
      <c r="L1148" s="2" t="s">
        <v>3263</v>
      </c>
      <c r="M1148" s="1"/>
      <c r="N1148" s="1"/>
      <c r="O1148" s="1"/>
      <c r="P1148" s="1"/>
      <c r="Q1148" s="1"/>
      <c r="R1148" s="1"/>
      <c r="S1148" s="1"/>
      <c r="T1148" s="1"/>
      <c r="U1148" s="1"/>
      <c r="V1148" s="1"/>
      <c r="W1148" s="1"/>
      <c r="X1148" s="1"/>
      <c r="Y1148" s="1"/>
      <c r="Z1148" s="1"/>
    </row>
    <row r="1149" spans="1:26" ht="33.75" customHeight="1">
      <c r="A1149" s="1">
        <v>1121</v>
      </c>
      <c r="B1149" s="1" t="s">
        <v>3264</v>
      </c>
      <c r="C1149" s="1" t="s">
        <v>3156</v>
      </c>
      <c r="D1149" s="4">
        <v>39882.935416666667</v>
      </c>
      <c r="E1149" s="1" t="s">
        <v>320</v>
      </c>
      <c r="F1149" s="1"/>
      <c r="G1149" s="5" t="s">
        <v>26</v>
      </c>
      <c r="H1149" s="5" t="s">
        <v>133</v>
      </c>
      <c r="I1149" s="1" t="s">
        <v>28</v>
      </c>
      <c r="J1149" s="1" t="s">
        <v>134</v>
      </c>
      <c r="K1149" s="1" t="s">
        <v>3265</v>
      </c>
      <c r="L1149" s="2" t="s">
        <v>3266</v>
      </c>
      <c r="M1149" s="1"/>
      <c r="N1149" s="1"/>
      <c r="O1149" s="1"/>
      <c r="P1149" s="1"/>
      <c r="Q1149" s="1"/>
      <c r="R1149" s="1"/>
      <c r="S1149" s="1"/>
      <c r="T1149" s="1"/>
      <c r="U1149" s="1"/>
      <c r="V1149" s="1"/>
      <c r="W1149" s="1"/>
      <c r="X1149" s="1"/>
      <c r="Y1149" s="1"/>
      <c r="Z1149" s="1"/>
    </row>
    <row r="1150" spans="1:26" ht="33.75" customHeight="1">
      <c r="A1150" s="1">
        <v>1225</v>
      </c>
      <c r="B1150" s="1" t="s">
        <v>3267</v>
      </c>
      <c r="C1150" s="1" t="s">
        <v>3255</v>
      </c>
      <c r="D1150" s="4">
        <v>39882.95416666667</v>
      </c>
      <c r="E1150" s="1" t="s">
        <v>3268</v>
      </c>
      <c r="F1150" s="1"/>
      <c r="G1150" s="5" t="s">
        <v>33</v>
      </c>
      <c r="H1150" s="5" t="s">
        <v>34</v>
      </c>
      <c r="I1150" s="1" t="s">
        <v>166</v>
      </c>
      <c r="J1150" s="1"/>
      <c r="K1150" s="1" t="s">
        <v>3269</v>
      </c>
      <c r="L1150" s="2" t="s">
        <v>3270</v>
      </c>
      <c r="M1150" s="1"/>
      <c r="N1150" s="1"/>
      <c r="O1150" s="1"/>
      <c r="P1150" s="1"/>
      <c r="Q1150" s="1"/>
      <c r="R1150" s="1"/>
      <c r="S1150" s="1"/>
      <c r="T1150" s="1"/>
      <c r="U1150" s="1"/>
      <c r="V1150" s="1"/>
      <c r="W1150" s="1"/>
      <c r="X1150" s="1"/>
      <c r="Y1150" s="1"/>
      <c r="Z1150" s="1"/>
    </row>
    <row r="1151" spans="1:26" ht="33.75" customHeight="1">
      <c r="A1151" s="1">
        <v>1859</v>
      </c>
      <c r="B1151" s="1" t="s">
        <v>3271</v>
      </c>
      <c r="C1151" s="1" t="s">
        <v>2870</v>
      </c>
      <c r="D1151" s="4">
        <v>39882.955555555556</v>
      </c>
      <c r="E1151" s="1" t="s">
        <v>913</v>
      </c>
      <c r="F1151" s="1"/>
      <c r="G1151" s="7" t="s">
        <v>15</v>
      </c>
      <c r="H1151" s="5" t="s">
        <v>55</v>
      </c>
      <c r="I1151" s="1" t="s">
        <v>3234</v>
      </c>
      <c r="J1151" s="1"/>
      <c r="K1151" s="1"/>
      <c r="L1151" s="2" t="s">
        <v>3272</v>
      </c>
      <c r="M1151" s="1"/>
      <c r="N1151" s="1"/>
      <c r="O1151" s="1"/>
      <c r="P1151" s="1"/>
      <c r="Q1151" s="1"/>
      <c r="R1151" s="1"/>
      <c r="S1151" s="1"/>
      <c r="T1151" s="1"/>
      <c r="U1151" s="1"/>
      <c r="V1151" s="1"/>
      <c r="W1151" s="1"/>
      <c r="X1151" s="1"/>
      <c r="Y1151" s="1"/>
      <c r="Z1151" s="1"/>
    </row>
    <row r="1152" spans="1:26" ht="33.75" customHeight="1">
      <c r="A1152" s="1">
        <v>1116</v>
      </c>
      <c r="B1152" s="1" t="s">
        <v>3273</v>
      </c>
      <c r="C1152" s="1" t="s">
        <v>3156</v>
      </c>
      <c r="D1152" s="4">
        <v>39882.955555555556</v>
      </c>
      <c r="E1152" s="1" t="s">
        <v>14</v>
      </c>
      <c r="F1152" s="1" t="s">
        <v>3258</v>
      </c>
      <c r="G1152" s="5" t="s">
        <v>26</v>
      </c>
      <c r="H1152" s="5" t="s">
        <v>133</v>
      </c>
      <c r="I1152" s="1" t="s">
        <v>2382</v>
      </c>
      <c r="J1152" s="1"/>
      <c r="K1152" s="1"/>
      <c r="L1152" s="2" t="s">
        <v>3274</v>
      </c>
      <c r="M1152" s="1"/>
      <c r="N1152" s="1"/>
      <c r="O1152" s="1"/>
      <c r="P1152" s="1"/>
      <c r="Q1152" s="1"/>
      <c r="R1152" s="1"/>
      <c r="S1152" s="1"/>
      <c r="T1152" s="1"/>
      <c r="U1152" s="1"/>
      <c r="V1152" s="1"/>
      <c r="W1152" s="1"/>
      <c r="X1152" s="1"/>
      <c r="Y1152" s="1"/>
      <c r="Z1152" s="1"/>
    </row>
    <row r="1153" spans="1:26" ht="33.75" customHeight="1">
      <c r="A1153" s="1">
        <v>1120</v>
      </c>
      <c r="B1153" s="1" t="s">
        <v>3275</v>
      </c>
      <c r="C1153" s="1" t="s">
        <v>3156</v>
      </c>
      <c r="D1153" s="4">
        <v>39882.963888888888</v>
      </c>
      <c r="E1153" s="1" t="s">
        <v>14</v>
      </c>
      <c r="F1153" s="1" t="s">
        <v>3260</v>
      </c>
      <c r="G1153" s="5" t="s">
        <v>15</v>
      </c>
      <c r="H1153" s="5" t="s">
        <v>150</v>
      </c>
      <c r="I1153" s="1" t="s">
        <v>2382</v>
      </c>
      <c r="J1153" s="1"/>
      <c r="K1153" s="1"/>
      <c r="L1153" s="2" t="s">
        <v>3276</v>
      </c>
      <c r="M1153" s="1"/>
      <c r="N1153" s="1"/>
      <c r="O1153" s="1"/>
      <c r="P1153" s="1"/>
      <c r="Q1153" s="1"/>
      <c r="R1153" s="1"/>
      <c r="S1153" s="1"/>
      <c r="T1153" s="1"/>
      <c r="U1153" s="1"/>
      <c r="V1153" s="1"/>
      <c r="W1153" s="1"/>
      <c r="X1153" s="1"/>
      <c r="Y1153" s="1"/>
      <c r="Z1153" s="1"/>
    </row>
    <row r="1154" spans="1:26" ht="33.75" customHeight="1">
      <c r="A1154" s="1">
        <v>1122</v>
      </c>
      <c r="B1154" s="1" t="s">
        <v>3277</v>
      </c>
      <c r="C1154" s="1" t="s">
        <v>3156</v>
      </c>
      <c r="D1154" s="4">
        <v>39882.966666666667</v>
      </c>
      <c r="E1154" s="1" t="s">
        <v>14</v>
      </c>
      <c r="F1154" s="1" t="s">
        <v>3264</v>
      </c>
      <c r="G1154" s="5" t="s">
        <v>15</v>
      </c>
      <c r="H1154" s="5" t="s">
        <v>150</v>
      </c>
      <c r="I1154" s="1" t="s">
        <v>2382</v>
      </c>
      <c r="J1154" s="1"/>
      <c r="K1154" s="1"/>
      <c r="L1154" s="2" t="s">
        <v>3278</v>
      </c>
      <c r="M1154" s="1"/>
      <c r="N1154" s="1"/>
      <c r="O1154" s="1"/>
      <c r="P1154" s="1"/>
      <c r="Q1154" s="1"/>
      <c r="R1154" s="1"/>
      <c r="S1154" s="1"/>
      <c r="T1154" s="1"/>
      <c r="U1154" s="1"/>
      <c r="V1154" s="1"/>
      <c r="W1154" s="1"/>
      <c r="X1154" s="1"/>
      <c r="Y1154" s="1"/>
      <c r="Z1154" s="1"/>
    </row>
    <row r="1155" spans="1:26" ht="33.75" customHeight="1">
      <c r="A1155" s="1">
        <v>1226</v>
      </c>
      <c r="B1155" s="1" t="s">
        <v>3279</v>
      </c>
      <c r="C1155" s="1" t="s">
        <v>3255</v>
      </c>
      <c r="D1155" s="4">
        <v>39882.968055555553</v>
      </c>
      <c r="E1155" s="1" t="s">
        <v>3280</v>
      </c>
      <c r="F1155" s="1" t="s">
        <v>3281</v>
      </c>
      <c r="G1155" s="5" t="s">
        <v>33</v>
      </c>
      <c r="H1155" s="5" t="s">
        <v>34</v>
      </c>
      <c r="I1155" s="1" t="s">
        <v>166</v>
      </c>
      <c r="J1155" s="1"/>
      <c r="K1155" s="1" t="s">
        <v>3282</v>
      </c>
      <c r="L1155" s="2" t="s">
        <v>3283</v>
      </c>
      <c r="M1155" s="1"/>
      <c r="N1155" s="1"/>
      <c r="O1155" s="1"/>
      <c r="P1155" s="1"/>
      <c r="Q1155" s="1"/>
      <c r="R1155" s="1"/>
      <c r="S1155" s="1"/>
      <c r="T1155" s="1"/>
      <c r="U1155" s="1"/>
      <c r="V1155" s="1"/>
      <c r="W1155" s="1"/>
      <c r="X1155" s="1"/>
      <c r="Y1155" s="1"/>
      <c r="Z1155" s="1"/>
    </row>
    <row r="1156" spans="1:26" ht="33.75" customHeight="1">
      <c r="A1156" s="1">
        <v>1113</v>
      </c>
      <c r="B1156" s="1" t="s">
        <v>3284</v>
      </c>
      <c r="C1156" s="1" t="s">
        <v>3156</v>
      </c>
      <c r="D1156" s="4">
        <v>39882.993055555555</v>
      </c>
      <c r="E1156" s="1" t="s">
        <v>14</v>
      </c>
      <c r="F1156" s="1" t="s">
        <v>3285</v>
      </c>
      <c r="G1156" s="5" t="s">
        <v>26</v>
      </c>
      <c r="H1156" s="5" t="s">
        <v>133</v>
      </c>
      <c r="I1156" s="1" t="s">
        <v>2382</v>
      </c>
      <c r="J1156" s="1"/>
      <c r="K1156" s="1"/>
      <c r="L1156" s="2" t="s">
        <v>3286</v>
      </c>
      <c r="M1156" s="1"/>
      <c r="N1156" s="1"/>
      <c r="O1156" s="1"/>
      <c r="P1156" s="1"/>
      <c r="Q1156" s="1"/>
      <c r="R1156" s="1"/>
      <c r="S1156" s="1"/>
      <c r="T1156" s="1"/>
      <c r="U1156" s="1"/>
      <c r="V1156" s="1"/>
      <c r="W1156" s="1"/>
      <c r="X1156" s="1"/>
      <c r="Y1156" s="1"/>
      <c r="Z1156" s="1"/>
    </row>
    <row r="1157" spans="1:26" ht="33.75" customHeight="1">
      <c r="A1157" s="1">
        <v>1117</v>
      </c>
      <c r="B1157" s="1" t="s">
        <v>3287</v>
      </c>
      <c r="C1157" s="1" t="s">
        <v>3156</v>
      </c>
      <c r="D1157" s="4">
        <v>39882.995138888888</v>
      </c>
      <c r="E1157" s="1" t="s">
        <v>320</v>
      </c>
      <c r="F1157" s="1" t="s">
        <v>3258</v>
      </c>
      <c r="G1157" s="5" t="s">
        <v>15</v>
      </c>
      <c r="H1157" s="5" t="s">
        <v>150</v>
      </c>
      <c r="I1157" s="1" t="s">
        <v>2382</v>
      </c>
      <c r="J1157" s="1"/>
      <c r="K1157" s="1"/>
      <c r="L1157" s="2" t="s">
        <v>3288</v>
      </c>
      <c r="M1157" s="1"/>
      <c r="N1157" s="1"/>
      <c r="O1157" s="1"/>
      <c r="P1157" s="1"/>
      <c r="Q1157" s="1"/>
      <c r="R1157" s="1"/>
      <c r="S1157" s="1"/>
      <c r="T1157" s="1"/>
      <c r="U1157" s="1"/>
      <c r="V1157" s="1"/>
      <c r="W1157" s="1"/>
      <c r="X1157" s="1"/>
      <c r="Y1157" s="1"/>
      <c r="Z1157" s="1"/>
    </row>
    <row r="1158" spans="1:26" ht="33.75" customHeight="1">
      <c r="A1158" s="1">
        <v>1229</v>
      </c>
      <c r="B1158" s="1" t="s">
        <v>3289</v>
      </c>
      <c r="C1158" s="1" t="s">
        <v>3255</v>
      </c>
      <c r="D1158" s="4">
        <v>39883.001388888886</v>
      </c>
      <c r="E1158" s="1" t="s">
        <v>45</v>
      </c>
      <c r="F1158" s="1"/>
      <c r="G1158" s="1" t="s">
        <v>15</v>
      </c>
      <c r="H1158" s="1" t="s">
        <v>50</v>
      </c>
      <c r="I1158" s="1" t="s">
        <v>166</v>
      </c>
      <c r="J1158" s="1"/>
      <c r="K1158" s="1" t="s">
        <v>3290</v>
      </c>
      <c r="L1158" s="2" t="s">
        <v>3291</v>
      </c>
      <c r="M1158" s="1"/>
      <c r="N1158" s="1"/>
      <c r="O1158" s="1"/>
      <c r="P1158" s="1"/>
      <c r="Q1158" s="1"/>
      <c r="R1158" s="1"/>
      <c r="S1158" s="1"/>
      <c r="T1158" s="1"/>
      <c r="U1158" s="1"/>
      <c r="V1158" s="1"/>
      <c r="W1158" s="1"/>
      <c r="X1158" s="1"/>
      <c r="Y1158" s="1"/>
      <c r="Z1158" s="1"/>
    </row>
    <row r="1159" spans="1:26" ht="33.75" customHeight="1">
      <c r="A1159" s="1">
        <v>1123</v>
      </c>
      <c r="B1159" s="1" t="s">
        <v>3292</v>
      </c>
      <c r="C1159" s="1" t="s">
        <v>3156</v>
      </c>
      <c r="D1159" s="4">
        <v>39883.005555555559</v>
      </c>
      <c r="E1159" s="1" t="s">
        <v>320</v>
      </c>
      <c r="F1159" s="1"/>
      <c r="G1159" s="5" t="s">
        <v>15</v>
      </c>
      <c r="H1159" s="5" t="s">
        <v>150</v>
      </c>
      <c r="I1159" s="1" t="s">
        <v>2382</v>
      </c>
      <c r="J1159" s="1"/>
      <c r="K1159" s="1"/>
      <c r="L1159" s="2" t="s">
        <v>3293</v>
      </c>
      <c r="M1159" s="1"/>
      <c r="N1159" s="1"/>
      <c r="O1159" s="1"/>
      <c r="P1159" s="1"/>
      <c r="Q1159" s="1"/>
      <c r="R1159" s="1"/>
      <c r="S1159" s="1"/>
      <c r="T1159" s="1"/>
      <c r="U1159" s="1"/>
      <c r="V1159" s="1"/>
      <c r="W1159" s="1"/>
      <c r="X1159" s="1"/>
      <c r="Y1159" s="1"/>
      <c r="Z1159" s="1"/>
    </row>
    <row r="1160" spans="1:26" ht="33.75" customHeight="1">
      <c r="A1160" s="1">
        <v>1118</v>
      </c>
      <c r="B1160" s="1" t="s">
        <v>3294</v>
      </c>
      <c r="C1160" s="1" t="s">
        <v>3156</v>
      </c>
      <c r="D1160" s="4">
        <v>39883.011111111111</v>
      </c>
      <c r="E1160" s="1" t="s">
        <v>14</v>
      </c>
      <c r="F1160" s="1" t="s">
        <v>3258</v>
      </c>
      <c r="G1160" s="5" t="s">
        <v>26</v>
      </c>
      <c r="H1160" s="5" t="s">
        <v>27</v>
      </c>
      <c r="I1160" s="1" t="s">
        <v>2382</v>
      </c>
      <c r="J1160" s="1"/>
      <c r="K1160" s="1"/>
      <c r="L1160" s="2" t="s">
        <v>3295</v>
      </c>
      <c r="M1160" s="1"/>
      <c r="N1160" s="1"/>
      <c r="O1160" s="1"/>
      <c r="P1160" s="1"/>
      <c r="Q1160" s="1"/>
      <c r="R1160" s="1"/>
      <c r="S1160" s="1"/>
      <c r="T1160" s="1"/>
      <c r="U1160" s="1"/>
      <c r="V1160" s="1"/>
      <c r="W1160" s="1"/>
      <c r="X1160" s="1"/>
      <c r="Y1160" s="1"/>
      <c r="Z1160" s="1"/>
    </row>
    <row r="1161" spans="1:26" ht="33.75" customHeight="1">
      <c r="A1161" s="1">
        <v>1230</v>
      </c>
      <c r="B1161" s="1" t="s">
        <v>3296</v>
      </c>
      <c r="C1161" s="1" t="s">
        <v>3255</v>
      </c>
      <c r="D1161" s="4">
        <v>39883.018750000003</v>
      </c>
      <c r="E1161" s="1" t="s">
        <v>3297</v>
      </c>
      <c r="F1161" s="1"/>
      <c r="G1161" s="5" t="s">
        <v>15</v>
      </c>
      <c r="H1161" s="5" t="s">
        <v>50</v>
      </c>
      <c r="I1161" s="1" t="s">
        <v>166</v>
      </c>
      <c r="J1161" s="1"/>
      <c r="K1161" s="1" t="s">
        <v>3298</v>
      </c>
      <c r="L1161" s="2" t="s">
        <v>3299</v>
      </c>
      <c r="M1161" s="1"/>
      <c r="N1161" s="1"/>
      <c r="O1161" s="1"/>
      <c r="P1161" s="1"/>
      <c r="Q1161" s="1"/>
      <c r="R1161" s="1"/>
      <c r="S1161" s="1"/>
      <c r="T1161" s="1"/>
      <c r="U1161" s="1"/>
      <c r="V1161" s="1"/>
      <c r="W1161" s="1"/>
      <c r="X1161" s="1"/>
      <c r="Y1161" s="1"/>
      <c r="Z1161" s="1"/>
    </row>
    <row r="1162" spans="1:26" ht="33.75" customHeight="1">
      <c r="A1162" s="1">
        <v>1231</v>
      </c>
      <c r="B1162" s="1" t="s">
        <v>3300</v>
      </c>
      <c r="C1162" s="1" t="s">
        <v>3255</v>
      </c>
      <c r="D1162" s="4">
        <v>39883.019444444442</v>
      </c>
      <c r="E1162" s="1" t="s">
        <v>3297</v>
      </c>
      <c r="F1162" s="1" t="s">
        <v>3296</v>
      </c>
      <c r="G1162" s="5" t="s">
        <v>64</v>
      </c>
      <c r="H1162" s="5" t="s">
        <v>179</v>
      </c>
      <c r="I1162" s="1" t="s">
        <v>179</v>
      </c>
      <c r="J1162" s="1"/>
      <c r="K1162" s="1"/>
      <c r="L1162" s="2" t="s">
        <v>3301</v>
      </c>
      <c r="M1162" s="1"/>
      <c r="N1162" s="1"/>
      <c r="O1162" s="1"/>
      <c r="P1162" s="1"/>
      <c r="Q1162" s="1"/>
      <c r="R1162" s="1"/>
      <c r="S1162" s="1"/>
      <c r="T1162" s="1"/>
      <c r="U1162" s="1"/>
      <c r="V1162" s="1"/>
      <c r="W1162" s="1"/>
      <c r="X1162" s="1"/>
      <c r="Y1162" s="1"/>
      <c r="Z1162" s="1"/>
    </row>
    <row r="1163" spans="1:26" ht="33.75" customHeight="1">
      <c r="A1163" s="1">
        <v>1233</v>
      </c>
      <c r="B1163" s="1" t="s">
        <v>3302</v>
      </c>
      <c r="C1163" s="1" t="s">
        <v>3255</v>
      </c>
      <c r="D1163" s="4">
        <v>39883.036111111112</v>
      </c>
      <c r="E1163" s="1" t="s">
        <v>3303</v>
      </c>
      <c r="F1163" s="1"/>
      <c r="G1163" s="5" t="s">
        <v>15</v>
      </c>
      <c r="H1163" s="5" t="s">
        <v>50</v>
      </c>
      <c r="I1163" s="1" t="s">
        <v>166</v>
      </c>
      <c r="J1163" s="1"/>
      <c r="K1163" s="1" t="s">
        <v>3304</v>
      </c>
      <c r="L1163" s="2" t="s">
        <v>3305</v>
      </c>
      <c r="M1163" s="1"/>
      <c r="N1163" s="1"/>
      <c r="O1163" s="1"/>
      <c r="P1163" s="1"/>
      <c r="Q1163" s="1"/>
      <c r="R1163" s="1"/>
      <c r="S1163" s="1"/>
      <c r="T1163" s="1"/>
      <c r="U1163" s="1"/>
      <c r="V1163" s="1"/>
      <c r="W1163" s="1"/>
      <c r="X1163" s="1"/>
      <c r="Y1163" s="1"/>
      <c r="Z1163" s="1"/>
    </row>
    <row r="1164" spans="1:26" ht="33.75" customHeight="1">
      <c r="A1164" s="1">
        <v>1124</v>
      </c>
      <c r="B1164" s="1" t="s">
        <v>3306</v>
      </c>
      <c r="C1164" s="1" t="s">
        <v>3156</v>
      </c>
      <c r="D1164" s="4">
        <v>39883.038194444445</v>
      </c>
      <c r="E1164" s="1" t="s">
        <v>14</v>
      </c>
      <c r="F1164" s="1"/>
      <c r="G1164" s="5" t="s">
        <v>15</v>
      </c>
      <c r="H1164" s="5" t="s">
        <v>150</v>
      </c>
      <c r="I1164" s="1" t="s">
        <v>3307</v>
      </c>
      <c r="J1164" s="1"/>
      <c r="K1164" s="1"/>
      <c r="L1164" s="2" t="s">
        <v>3308</v>
      </c>
      <c r="M1164" s="1"/>
      <c r="N1164" s="1"/>
      <c r="O1164" s="1"/>
      <c r="P1164" s="1"/>
      <c r="Q1164" s="1"/>
      <c r="R1164" s="1"/>
      <c r="S1164" s="1"/>
      <c r="T1164" s="1"/>
      <c r="U1164" s="1"/>
      <c r="V1164" s="1"/>
      <c r="W1164" s="1"/>
      <c r="X1164" s="1"/>
      <c r="Y1164" s="1"/>
      <c r="Z1164" s="1"/>
    </row>
    <row r="1165" spans="1:26" ht="33.75" customHeight="1">
      <c r="A1165" s="1">
        <v>1232</v>
      </c>
      <c r="B1165" s="1" t="s">
        <v>3309</v>
      </c>
      <c r="C1165" s="1" t="s">
        <v>3255</v>
      </c>
      <c r="D1165" s="4">
        <v>39883.038888888892</v>
      </c>
      <c r="E1165" s="1" t="s">
        <v>3297</v>
      </c>
      <c r="F1165" s="1" t="s">
        <v>3296</v>
      </c>
      <c r="G1165" s="5" t="s">
        <v>15</v>
      </c>
      <c r="H1165" s="5" t="s">
        <v>150</v>
      </c>
      <c r="I1165" s="1" t="s">
        <v>166</v>
      </c>
      <c r="J1165" s="1"/>
      <c r="K1165" s="1"/>
      <c r="L1165" s="2" t="s">
        <v>3310</v>
      </c>
      <c r="M1165" s="1"/>
      <c r="N1165" s="1"/>
      <c r="O1165" s="1"/>
      <c r="P1165" s="1"/>
      <c r="Q1165" s="1"/>
      <c r="R1165" s="1"/>
      <c r="S1165" s="1"/>
      <c r="T1165" s="1"/>
      <c r="U1165" s="1"/>
      <c r="V1165" s="1"/>
      <c r="W1165" s="1"/>
      <c r="X1165" s="1"/>
      <c r="Y1165" s="1"/>
      <c r="Z1165" s="1"/>
    </row>
    <row r="1166" spans="1:26" ht="33.75" customHeight="1">
      <c r="A1166" s="1">
        <v>1234</v>
      </c>
      <c r="B1166" s="1" t="s">
        <v>3311</v>
      </c>
      <c r="C1166" s="1" t="s">
        <v>3255</v>
      </c>
      <c r="D1166" s="4">
        <v>39883.038888888892</v>
      </c>
      <c r="E1166" s="1" t="s">
        <v>32</v>
      </c>
      <c r="F1166" s="1"/>
      <c r="G1166" s="5" t="s">
        <v>15</v>
      </c>
      <c r="H1166" s="5" t="s">
        <v>50</v>
      </c>
      <c r="I1166" s="1" t="s">
        <v>166</v>
      </c>
      <c r="J1166" s="1"/>
      <c r="K1166" s="1" t="s">
        <v>3312</v>
      </c>
      <c r="L1166" s="2" t="s">
        <v>3313</v>
      </c>
      <c r="M1166" s="1"/>
      <c r="N1166" s="1"/>
      <c r="O1166" s="1"/>
      <c r="P1166" s="1"/>
      <c r="Q1166" s="1"/>
      <c r="R1166" s="1"/>
      <c r="S1166" s="1"/>
      <c r="T1166" s="1"/>
      <c r="U1166" s="1"/>
      <c r="V1166" s="1"/>
      <c r="W1166" s="1"/>
      <c r="X1166" s="1"/>
      <c r="Y1166" s="1"/>
      <c r="Z1166" s="1"/>
    </row>
    <row r="1167" spans="1:26" ht="33.75" customHeight="1">
      <c r="A1167" s="1">
        <v>1125</v>
      </c>
      <c r="B1167" s="1" t="s">
        <v>3314</v>
      </c>
      <c r="C1167" s="1" t="s">
        <v>3156</v>
      </c>
      <c r="D1167" s="4">
        <v>39883.055555555555</v>
      </c>
      <c r="E1167" s="1" t="s">
        <v>54</v>
      </c>
      <c r="F1167" s="1" t="s">
        <v>3315</v>
      </c>
      <c r="G1167" s="5" t="s">
        <v>26</v>
      </c>
      <c r="H1167" s="5" t="s">
        <v>27</v>
      </c>
      <c r="I1167" s="1" t="s">
        <v>28</v>
      </c>
      <c r="J1167" s="1" t="s">
        <v>29</v>
      </c>
      <c r="K1167" s="1"/>
      <c r="L1167" s="2" t="s">
        <v>3316</v>
      </c>
      <c r="M1167" s="1"/>
      <c r="N1167" s="1"/>
      <c r="O1167" s="1"/>
      <c r="P1167" s="1"/>
      <c r="Q1167" s="1"/>
      <c r="R1167" s="1"/>
      <c r="S1167" s="1"/>
      <c r="T1167" s="1"/>
      <c r="U1167" s="1"/>
      <c r="V1167" s="1"/>
      <c r="W1167" s="1"/>
      <c r="X1167" s="1"/>
      <c r="Y1167" s="1"/>
      <c r="Z1167" s="1"/>
    </row>
    <row r="1168" spans="1:26" ht="33.75" customHeight="1">
      <c r="A1168" s="1">
        <v>1860</v>
      </c>
      <c r="B1168" s="1" t="s">
        <v>3317</v>
      </c>
      <c r="C1168" s="1" t="s">
        <v>2870</v>
      </c>
      <c r="D1168" s="4">
        <v>39883.06527777778</v>
      </c>
      <c r="E1168" s="1" t="s">
        <v>1887</v>
      </c>
      <c r="F1168" s="1"/>
      <c r="G1168" s="5" t="s">
        <v>64</v>
      </c>
      <c r="H1168" s="5" t="s">
        <v>375</v>
      </c>
      <c r="I1168" s="1" t="s">
        <v>900</v>
      </c>
      <c r="J1168" s="1"/>
      <c r="K1168" s="1" t="s">
        <v>3318</v>
      </c>
      <c r="L1168" s="2" t="s">
        <v>3319</v>
      </c>
      <c r="M1168" s="1"/>
      <c r="N1168" s="1"/>
      <c r="O1168" s="1"/>
      <c r="P1168" s="1"/>
      <c r="Q1168" s="1"/>
      <c r="R1168" s="1"/>
      <c r="S1168" s="1"/>
      <c r="T1168" s="1"/>
      <c r="U1168" s="1"/>
      <c r="V1168" s="1"/>
      <c r="W1168" s="1"/>
      <c r="X1168" s="1"/>
      <c r="Y1168" s="1"/>
      <c r="Z1168" s="1"/>
    </row>
    <row r="1169" spans="1:26" ht="33.75" customHeight="1">
      <c r="A1169" s="1">
        <v>1236</v>
      </c>
      <c r="B1169" s="1" t="s">
        <v>3320</v>
      </c>
      <c r="C1169" s="1" t="s">
        <v>3255</v>
      </c>
      <c r="D1169" s="4">
        <v>39883.065972222219</v>
      </c>
      <c r="E1169" s="1" t="s">
        <v>3321</v>
      </c>
      <c r="F1169" s="1"/>
      <c r="G1169" s="5" t="s">
        <v>15</v>
      </c>
      <c r="H1169" s="5" t="s">
        <v>50</v>
      </c>
      <c r="I1169" s="1" t="s">
        <v>166</v>
      </c>
      <c r="J1169" s="1"/>
      <c r="K1169" s="1" t="s">
        <v>3322</v>
      </c>
      <c r="L1169" s="2" t="s">
        <v>3323</v>
      </c>
      <c r="M1169" s="1"/>
      <c r="N1169" s="1"/>
      <c r="O1169" s="1"/>
      <c r="P1169" s="1"/>
      <c r="Q1169" s="1"/>
      <c r="R1169" s="1"/>
      <c r="S1169" s="1"/>
      <c r="T1169" s="1"/>
      <c r="U1169" s="1"/>
      <c r="V1169" s="1"/>
      <c r="W1169" s="1"/>
      <c r="X1169" s="1"/>
      <c r="Y1169" s="1"/>
      <c r="Z1169" s="1"/>
    </row>
    <row r="1170" spans="1:26" ht="33.75" customHeight="1">
      <c r="A1170" s="1">
        <v>1861</v>
      </c>
      <c r="B1170" s="1" t="s">
        <v>3324</v>
      </c>
      <c r="C1170" s="1" t="s">
        <v>2870</v>
      </c>
      <c r="D1170" s="4">
        <v>39883.067361111112</v>
      </c>
      <c r="E1170" s="1" t="s">
        <v>1887</v>
      </c>
      <c r="F1170" s="1"/>
      <c r="G1170" s="5" t="s">
        <v>64</v>
      </c>
      <c r="H1170" s="5" t="s">
        <v>684</v>
      </c>
      <c r="I1170" s="1" t="s">
        <v>3234</v>
      </c>
      <c r="J1170" s="1"/>
      <c r="K1170" s="1" t="s">
        <v>3325</v>
      </c>
      <c r="L1170" s="2" t="s">
        <v>3326</v>
      </c>
      <c r="M1170" s="1"/>
      <c r="N1170" s="1"/>
      <c r="O1170" s="1"/>
      <c r="P1170" s="1"/>
      <c r="Q1170" s="1"/>
      <c r="R1170" s="1"/>
      <c r="S1170" s="1"/>
      <c r="T1170" s="1"/>
      <c r="U1170" s="1"/>
      <c r="V1170" s="1"/>
      <c r="W1170" s="1"/>
      <c r="X1170" s="1"/>
      <c r="Y1170" s="1"/>
      <c r="Z1170" s="1"/>
    </row>
    <row r="1171" spans="1:26" ht="33.75" customHeight="1">
      <c r="A1171" s="1">
        <v>1235</v>
      </c>
      <c r="B1171" s="1" t="s">
        <v>3327</v>
      </c>
      <c r="C1171" s="1" t="s">
        <v>3255</v>
      </c>
      <c r="D1171" s="4">
        <v>39883.085416666669</v>
      </c>
      <c r="E1171" s="1" t="s">
        <v>54</v>
      </c>
      <c r="F1171" s="1"/>
      <c r="G1171" s="5" t="s">
        <v>15</v>
      </c>
      <c r="H1171" s="5" t="s">
        <v>16</v>
      </c>
      <c r="I1171" s="1" t="s">
        <v>97</v>
      </c>
      <c r="J1171" s="1"/>
      <c r="K1171" s="1" t="s">
        <v>3328</v>
      </c>
      <c r="L1171" s="2" t="s">
        <v>3329</v>
      </c>
      <c r="M1171" s="1"/>
      <c r="N1171" s="1"/>
      <c r="O1171" s="1"/>
      <c r="P1171" s="1"/>
      <c r="Q1171" s="1"/>
      <c r="R1171" s="1"/>
      <c r="S1171" s="1"/>
      <c r="T1171" s="1"/>
      <c r="U1171" s="1"/>
      <c r="V1171" s="1"/>
      <c r="W1171" s="1"/>
      <c r="X1171" s="1"/>
      <c r="Y1171" s="1"/>
      <c r="Z1171" s="1"/>
    </row>
    <row r="1172" spans="1:26" ht="33.75" customHeight="1">
      <c r="A1172" s="1">
        <v>1237</v>
      </c>
      <c r="B1172" s="1" t="s">
        <v>3330</v>
      </c>
      <c r="C1172" s="1" t="s">
        <v>3255</v>
      </c>
      <c r="D1172" s="4">
        <v>39883.106249999997</v>
      </c>
      <c r="E1172" s="1" t="s">
        <v>54</v>
      </c>
      <c r="F1172" s="1"/>
      <c r="G1172" s="5" t="s">
        <v>33</v>
      </c>
      <c r="H1172" s="5" t="s">
        <v>34</v>
      </c>
      <c r="I1172" s="1" t="s">
        <v>35</v>
      </c>
      <c r="J1172" s="1"/>
      <c r="K1172" s="1" t="s">
        <v>3331</v>
      </c>
      <c r="L1172" s="2" t="s">
        <v>3332</v>
      </c>
      <c r="M1172" s="1"/>
      <c r="N1172" s="1"/>
      <c r="O1172" s="1"/>
      <c r="P1172" s="1"/>
      <c r="Q1172" s="1"/>
      <c r="R1172" s="1"/>
      <c r="S1172" s="1"/>
      <c r="T1172" s="1"/>
      <c r="U1172" s="1"/>
      <c r="V1172" s="1"/>
      <c r="W1172" s="1"/>
      <c r="X1172" s="1"/>
      <c r="Y1172" s="1"/>
      <c r="Z1172" s="1"/>
    </row>
    <row r="1173" spans="1:26" ht="33.75" customHeight="1">
      <c r="A1173" s="1">
        <v>1862</v>
      </c>
      <c r="B1173" s="1" t="s">
        <v>3333</v>
      </c>
      <c r="C1173" s="1" t="s">
        <v>2870</v>
      </c>
      <c r="D1173" s="4">
        <v>39883.107638888891</v>
      </c>
      <c r="E1173" s="1" t="s">
        <v>381</v>
      </c>
      <c r="F1173" s="1" t="s">
        <v>3139</v>
      </c>
      <c r="G1173" s="5" t="s">
        <v>64</v>
      </c>
      <c r="H1173" s="1"/>
      <c r="I1173" s="1" t="s">
        <v>64</v>
      </c>
      <c r="J1173" s="1"/>
      <c r="K1173" s="1" t="s">
        <v>576</v>
      </c>
      <c r="L1173" s="2" t="s">
        <v>3334</v>
      </c>
      <c r="M1173" s="1"/>
      <c r="N1173" s="1"/>
      <c r="O1173" s="1"/>
      <c r="P1173" s="1"/>
      <c r="Q1173" s="1"/>
      <c r="R1173" s="1"/>
      <c r="S1173" s="1"/>
      <c r="T1173" s="1"/>
      <c r="U1173" s="1"/>
      <c r="V1173" s="1"/>
      <c r="W1173" s="1"/>
      <c r="X1173" s="1"/>
      <c r="Y1173" s="1"/>
      <c r="Z1173" s="1"/>
    </row>
    <row r="1174" spans="1:26" ht="33.75" customHeight="1">
      <c r="A1174" s="1">
        <v>1238</v>
      </c>
      <c r="B1174" s="1" t="s">
        <v>3335</v>
      </c>
      <c r="C1174" s="1" t="s">
        <v>3255</v>
      </c>
      <c r="D1174" s="4">
        <v>39883.175694444442</v>
      </c>
      <c r="E1174" s="1" t="s">
        <v>526</v>
      </c>
      <c r="F1174" s="1"/>
      <c r="G1174" s="5" t="s">
        <v>15</v>
      </c>
      <c r="H1174" s="5" t="s">
        <v>50</v>
      </c>
      <c r="I1174" s="1" t="s">
        <v>166</v>
      </c>
      <c r="J1174" s="1"/>
      <c r="K1174" s="1" t="s">
        <v>3336</v>
      </c>
      <c r="L1174" s="2" t="s">
        <v>3337</v>
      </c>
      <c r="M1174" s="1"/>
      <c r="N1174" s="1"/>
      <c r="O1174" s="1"/>
      <c r="P1174" s="1"/>
      <c r="Q1174" s="1"/>
      <c r="R1174" s="1"/>
      <c r="S1174" s="1"/>
      <c r="T1174" s="1"/>
      <c r="U1174" s="1"/>
      <c r="V1174" s="1"/>
      <c r="W1174" s="1"/>
      <c r="X1174" s="1"/>
      <c r="Y1174" s="1"/>
      <c r="Z1174" s="1"/>
    </row>
    <row r="1175" spans="1:26" ht="33.75" customHeight="1">
      <c r="A1175" s="1">
        <v>1239</v>
      </c>
      <c r="B1175" s="1" t="s">
        <v>3338</v>
      </c>
      <c r="C1175" s="1" t="s">
        <v>3255</v>
      </c>
      <c r="D1175" s="4">
        <v>39883.199999999997</v>
      </c>
      <c r="E1175" s="1" t="s">
        <v>84</v>
      </c>
      <c r="F1175" s="1"/>
      <c r="G1175" s="5" t="s">
        <v>15</v>
      </c>
      <c r="H1175" s="5" t="s">
        <v>50</v>
      </c>
      <c r="I1175" s="1" t="s">
        <v>166</v>
      </c>
      <c r="J1175" s="1"/>
      <c r="K1175" s="1" t="s">
        <v>3339</v>
      </c>
      <c r="L1175" s="2" t="s">
        <v>3340</v>
      </c>
      <c r="M1175" s="1"/>
      <c r="N1175" s="1"/>
      <c r="O1175" s="1"/>
      <c r="P1175" s="1"/>
      <c r="Q1175" s="1"/>
      <c r="R1175" s="1"/>
      <c r="S1175" s="1"/>
      <c r="T1175" s="1"/>
      <c r="U1175" s="1"/>
      <c r="V1175" s="1"/>
      <c r="W1175" s="1"/>
      <c r="X1175" s="1"/>
      <c r="Y1175" s="1"/>
      <c r="Z1175" s="1"/>
    </row>
    <row r="1176" spans="1:26" ht="33.75" customHeight="1">
      <c r="A1176" s="1">
        <v>1240</v>
      </c>
      <c r="B1176" s="1" t="s">
        <v>3341</v>
      </c>
      <c r="C1176" s="1" t="s">
        <v>3255</v>
      </c>
      <c r="D1176" s="4">
        <v>39883.231944444444</v>
      </c>
      <c r="E1176" s="1" t="s">
        <v>54</v>
      </c>
      <c r="F1176" s="1"/>
      <c r="G1176" s="5" t="s">
        <v>33</v>
      </c>
      <c r="H1176" s="5" t="s">
        <v>34</v>
      </c>
      <c r="I1176" s="1" t="s">
        <v>35</v>
      </c>
      <c r="J1176" s="1"/>
      <c r="K1176" s="1" t="s">
        <v>3342</v>
      </c>
      <c r="L1176" s="2" t="s">
        <v>3343</v>
      </c>
      <c r="M1176" s="1"/>
      <c r="N1176" s="1"/>
      <c r="O1176" s="1"/>
      <c r="P1176" s="1"/>
      <c r="Q1176" s="1"/>
      <c r="R1176" s="1"/>
      <c r="S1176" s="1"/>
      <c r="T1176" s="1"/>
      <c r="U1176" s="1"/>
      <c r="V1176" s="1"/>
      <c r="W1176" s="1"/>
      <c r="X1176" s="1"/>
      <c r="Y1176" s="1"/>
      <c r="Z1176" s="1"/>
    </row>
    <row r="1177" spans="1:26" ht="33.75" customHeight="1">
      <c r="A1177" s="1">
        <v>1127</v>
      </c>
      <c r="B1177" s="1" t="s">
        <v>3344</v>
      </c>
      <c r="C1177" s="1" t="s">
        <v>3156</v>
      </c>
      <c r="D1177" s="4">
        <v>39883.234722222223</v>
      </c>
      <c r="E1177" s="1" t="s">
        <v>320</v>
      </c>
      <c r="F1177" s="1"/>
      <c r="G1177" s="5" t="s">
        <v>26</v>
      </c>
      <c r="H1177" s="5" t="s">
        <v>27</v>
      </c>
      <c r="I1177" s="1" t="s">
        <v>28</v>
      </c>
      <c r="J1177" s="1" t="s">
        <v>29</v>
      </c>
      <c r="K1177" s="1" t="s">
        <v>3345</v>
      </c>
      <c r="L1177" s="2" t="s">
        <v>3346</v>
      </c>
      <c r="M1177" s="1"/>
      <c r="N1177" s="1"/>
      <c r="O1177" s="1"/>
      <c r="P1177" s="1"/>
      <c r="Q1177" s="1"/>
      <c r="R1177" s="1"/>
      <c r="S1177" s="1"/>
      <c r="T1177" s="1"/>
      <c r="U1177" s="1"/>
      <c r="V1177" s="1"/>
      <c r="W1177" s="1"/>
      <c r="X1177" s="1"/>
      <c r="Y1177" s="1"/>
      <c r="Z1177" s="1"/>
    </row>
    <row r="1178" spans="1:26" ht="33.75" customHeight="1">
      <c r="A1178" s="1">
        <v>1105</v>
      </c>
      <c r="B1178" s="1" t="s">
        <v>3347</v>
      </c>
      <c r="C1178" s="1" t="s">
        <v>3156</v>
      </c>
      <c r="D1178" s="4">
        <v>39897.872916666667</v>
      </c>
      <c r="E1178" s="1" t="s">
        <v>1528</v>
      </c>
      <c r="F1178" s="1"/>
      <c r="G1178" s="5" t="s">
        <v>15</v>
      </c>
      <c r="H1178" s="5" t="s">
        <v>55</v>
      </c>
      <c r="I1178" s="1" t="s">
        <v>213</v>
      </c>
      <c r="J1178" s="1" t="s">
        <v>3040</v>
      </c>
      <c r="K1178" s="1"/>
      <c r="L1178" s="2" t="s">
        <v>3348</v>
      </c>
      <c r="M1178" s="1"/>
      <c r="N1178" s="1"/>
      <c r="O1178" s="1"/>
      <c r="P1178" s="1"/>
      <c r="Q1178" s="1"/>
      <c r="R1178" s="1"/>
      <c r="S1178" s="1"/>
      <c r="T1178" s="1"/>
      <c r="U1178" s="1"/>
      <c r="V1178" s="1"/>
      <c r="W1178" s="1"/>
      <c r="X1178" s="1"/>
      <c r="Y1178" s="1"/>
      <c r="Z1178" s="1"/>
    </row>
    <row r="1179" spans="1:26" ht="33.75" customHeight="1">
      <c r="A1179" s="1">
        <v>1241</v>
      </c>
      <c r="B1179" s="1" t="s">
        <v>3349</v>
      </c>
      <c r="C1179" s="1" t="s">
        <v>3255</v>
      </c>
      <c r="D1179" s="4">
        <v>39883.245833333334</v>
      </c>
      <c r="E1179" s="1" t="s">
        <v>178</v>
      </c>
      <c r="F1179" s="1" t="s">
        <v>3341</v>
      </c>
      <c r="G1179" s="5" t="s">
        <v>33</v>
      </c>
      <c r="H1179" s="5" t="s">
        <v>34</v>
      </c>
      <c r="I1179" s="1" t="s">
        <v>2382</v>
      </c>
      <c r="J1179" s="1"/>
      <c r="K1179" s="1"/>
      <c r="L1179" s="2" t="s">
        <v>3350</v>
      </c>
      <c r="M1179" s="1"/>
      <c r="N1179" s="1"/>
      <c r="O1179" s="1"/>
      <c r="P1179" s="1"/>
      <c r="Q1179" s="1"/>
      <c r="R1179" s="1"/>
      <c r="S1179" s="1"/>
      <c r="T1179" s="1"/>
      <c r="U1179" s="1"/>
      <c r="V1179" s="1"/>
      <c r="W1179" s="1"/>
      <c r="X1179" s="1"/>
      <c r="Y1179" s="1"/>
      <c r="Z1179" s="1"/>
    </row>
    <row r="1180" spans="1:26" ht="33.75" customHeight="1">
      <c r="A1180" s="1">
        <v>1128</v>
      </c>
      <c r="B1180" s="1" t="s">
        <v>3351</v>
      </c>
      <c r="C1180" s="1" t="s">
        <v>3156</v>
      </c>
      <c r="D1180" s="4">
        <v>39883.250694444447</v>
      </c>
      <c r="E1180" s="1" t="s">
        <v>320</v>
      </c>
      <c r="F1180" s="1"/>
      <c r="G1180" s="5" t="s">
        <v>26</v>
      </c>
      <c r="H1180" s="5" t="s">
        <v>133</v>
      </c>
      <c r="I1180" s="1" t="s">
        <v>28</v>
      </c>
      <c r="J1180" s="1" t="s">
        <v>134</v>
      </c>
      <c r="K1180" s="1"/>
      <c r="L1180" s="2" t="s">
        <v>3352</v>
      </c>
      <c r="M1180" s="1"/>
      <c r="N1180" s="1"/>
      <c r="O1180" s="1"/>
      <c r="P1180" s="1"/>
      <c r="Q1180" s="1"/>
      <c r="R1180" s="1"/>
      <c r="S1180" s="1"/>
      <c r="T1180" s="1"/>
      <c r="U1180" s="1"/>
      <c r="V1180" s="1"/>
      <c r="W1180" s="1"/>
      <c r="X1180" s="1"/>
      <c r="Y1180" s="1"/>
      <c r="Z1180" s="1"/>
    </row>
    <row r="1181" spans="1:26" ht="33.75" customHeight="1">
      <c r="A1181" s="1">
        <v>1227</v>
      </c>
      <c r="B1181" s="1" t="s">
        <v>3353</v>
      </c>
      <c r="C1181" s="1" t="s">
        <v>3255</v>
      </c>
      <c r="D1181" s="4">
        <v>39883.255555555559</v>
      </c>
      <c r="E1181" s="1" t="s">
        <v>320</v>
      </c>
      <c r="F1181" s="1"/>
      <c r="G1181" s="5" t="s">
        <v>39</v>
      </c>
      <c r="H1181" s="5" t="s">
        <v>3354</v>
      </c>
      <c r="I1181" s="1" t="s">
        <v>3355</v>
      </c>
      <c r="J1181" s="1"/>
      <c r="K1181" s="1" t="s">
        <v>3356</v>
      </c>
      <c r="L1181" s="2" t="s">
        <v>3357</v>
      </c>
      <c r="M1181" s="1"/>
      <c r="N1181" s="1"/>
      <c r="O1181" s="1"/>
      <c r="P1181" s="1"/>
      <c r="Q1181" s="1"/>
      <c r="R1181" s="1"/>
      <c r="S1181" s="1"/>
      <c r="T1181" s="1"/>
      <c r="U1181" s="1"/>
      <c r="V1181" s="1"/>
      <c r="W1181" s="1"/>
      <c r="X1181" s="1"/>
      <c r="Y1181" s="1"/>
      <c r="Z1181" s="1"/>
    </row>
    <row r="1182" spans="1:26" ht="33.75" customHeight="1">
      <c r="A1182" s="1">
        <v>1242</v>
      </c>
      <c r="B1182" s="1" t="s">
        <v>3358</v>
      </c>
      <c r="C1182" s="1" t="s">
        <v>3255</v>
      </c>
      <c r="D1182" s="4">
        <v>39883.26666666667</v>
      </c>
      <c r="E1182" s="1" t="s">
        <v>178</v>
      </c>
      <c r="F1182" s="1" t="s">
        <v>3341</v>
      </c>
      <c r="G1182" s="5" t="s">
        <v>33</v>
      </c>
      <c r="H1182" s="5" t="s">
        <v>34</v>
      </c>
      <c r="I1182" s="1" t="s">
        <v>2382</v>
      </c>
      <c r="J1182" s="1"/>
      <c r="K1182" s="1"/>
      <c r="L1182" s="2" t="s">
        <v>3359</v>
      </c>
      <c r="M1182" s="1"/>
      <c r="N1182" s="1"/>
      <c r="O1182" s="1"/>
      <c r="P1182" s="1"/>
      <c r="Q1182" s="1"/>
      <c r="R1182" s="1"/>
      <c r="S1182" s="1"/>
      <c r="T1182" s="1"/>
      <c r="U1182" s="1"/>
      <c r="V1182" s="1"/>
      <c r="W1182" s="1"/>
      <c r="X1182" s="1"/>
      <c r="Y1182" s="1"/>
      <c r="Z1182" s="1"/>
    </row>
    <row r="1183" spans="1:26" ht="33.75" customHeight="1">
      <c r="A1183" s="1">
        <v>1863</v>
      </c>
      <c r="B1183" s="1" t="s">
        <v>3360</v>
      </c>
      <c r="C1183" s="1" t="s">
        <v>2870</v>
      </c>
      <c r="D1183" s="4">
        <v>39883.318055555559</v>
      </c>
      <c r="E1183" s="1" t="s">
        <v>2893</v>
      </c>
      <c r="F1183" s="1" t="s">
        <v>3333</v>
      </c>
      <c r="G1183" s="5" t="s">
        <v>15</v>
      </c>
      <c r="H1183" s="5" t="s">
        <v>150</v>
      </c>
      <c r="I1183" s="1" t="s">
        <v>3361</v>
      </c>
      <c r="J1183" s="1"/>
      <c r="K1183" s="1"/>
      <c r="L1183" s="2" t="s">
        <v>3362</v>
      </c>
      <c r="M1183" s="1"/>
      <c r="N1183" s="1"/>
      <c r="O1183" s="1"/>
      <c r="P1183" s="1"/>
      <c r="Q1183" s="1"/>
      <c r="R1183" s="1"/>
      <c r="S1183" s="1"/>
      <c r="T1183" s="1"/>
      <c r="U1183" s="1"/>
      <c r="V1183" s="1"/>
      <c r="W1183" s="1"/>
      <c r="X1183" s="1"/>
      <c r="Y1183" s="1"/>
      <c r="Z1183" s="1"/>
    </row>
    <row r="1184" spans="1:26" ht="33.75" customHeight="1">
      <c r="A1184" s="1">
        <v>1864</v>
      </c>
      <c r="B1184" s="1" t="s">
        <v>3363</v>
      </c>
      <c r="C1184" s="1" t="s">
        <v>2870</v>
      </c>
      <c r="D1184" s="4">
        <v>39883.324305555558</v>
      </c>
      <c r="E1184" s="1" t="s">
        <v>54</v>
      </c>
      <c r="F1184" s="1">
        <v>944</v>
      </c>
      <c r="G1184" s="5" t="s">
        <v>64</v>
      </c>
      <c r="H1184" s="1"/>
      <c r="I1184" s="1" t="s">
        <v>64</v>
      </c>
      <c r="J1184" s="1"/>
      <c r="K1184" s="1"/>
      <c r="L1184" s="2" t="s">
        <v>3364</v>
      </c>
      <c r="M1184" s="1"/>
      <c r="N1184" s="1"/>
      <c r="O1184" s="1"/>
      <c r="P1184" s="1"/>
      <c r="Q1184" s="1"/>
      <c r="R1184" s="1"/>
      <c r="S1184" s="1"/>
      <c r="T1184" s="1"/>
      <c r="U1184" s="1"/>
      <c r="V1184" s="1"/>
      <c r="W1184" s="1"/>
      <c r="X1184" s="1"/>
      <c r="Y1184" s="1"/>
      <c r="Z1184" s="1"/>
    </row>
    <row r="1185" spans="1:26" ht="33.75" customHeight="1">
      <c r="A1185" s="1">
        <v>1247</v>
      </c>
      <c r="B1185" s="1" t="s">
        <v>3365</v>
      </c>
      <c r="C1185" s="1" t="s">
        <v>3255</v>
      </c>
      <c r="D1185" s="4">
        <v>39883.329861111109</v>
      </c>
      <c r="E1185" s="1" t="s">
        <v>913</v>
      </c>
      <c r="F1185" s="1"/>
      <c r="G1185" s="7" t="s">
        <v>15</v>
      </c>
      <c r="H1185" s="5" t="s">
        <v>55</v>
      </c>
      <c r="I1185" s="1" t="s">
        <v>3234</v>
      </c>
      <c r="J1185" s="1"/>
      <c r="K1185" s="1"/>
      <c r="L1185" s="2" t="s">
        <v>3272</v>
      </c>
      <c r="M1185" s="1"/>
      <c r="N1185" s="1"/>
      <c r="O1185" s="1"/>
      <c r="P1185" s="1"/>
      <c r="Q1185" s="1"/>
      <c r="R1185" s="1"/>
      <c r="S1185" s="1"/>
      <c r="T1185" s="1"/>
      <c r="U1185" s="1"/>
      <c r="V1185" s="1"/>
      <c r="W1185" s="1"/>
      <c r="X1185" s="1"/>
      <c r="Y1185" s="1"/>
      <c r="Z1185" s="1"/>
    </row>
    <row r="1186" spans="1:26" ht="33.75" customHeight="1">
      <c r="A1186" s="1">
        <v>1130</v>
      </c>
      <c r="B1186" s="1" t="s">
        <v>3366</v>
      </c>
      <c r="C1186" s="1" t="s">
        <v>3156</v>
      </c>
      <c r="D1186" s="4">
        <v>39883.333333333336</v>
      </c>
      <c r="E1186" s="1" t="s">
        <v>196</v>
      </c>
      <c r="F1186" s="1"/>
      <c r="G1186" s="5" t="s">
        <v>64</v>
      </c>
      <c r="H1186" s="5" t="s">
        <v>263</v>
      </c>
      <c r="I1186" s="1" t="s">
        <v>3367</v>
      </c>
      <c r="J1186" s="1"/>
      <c r="K1186" s="1"/>
      <c r="L1186" s="2" t="s">
        <v>3368</v>
      </c>
      <c r="M1186" s="1"/>
      <c r="N1186" s="1"/>
      <c r="O1186" s="1"/>
      <c r="P1186" s="1"/>
      <c r="Q1186" s="1"/>
      <c r="R1186" s="1"/>
      <c r="S1186" s="1"/>
      <c r="T1186" s="1"/>
      <c r="U1186" s="1"/>
      <c r="V1186" s="1"/>
      <c r="W1186" s="1"/>
      <c r="X1186" s="1"/>
      <c r="Y1186" s="1"/>
      <c r="Z1186" s="1"/>
    </row>
    <row r="1187" spans="1:26" ht="33.75" customHeight="1">
      <c r="A1187" s="1">
        <v>1131</v>
      </c>
      <c r="B1187" s="1" t="s">
        <v>3369</v>
      </c>
      <c r="C1187" s="1" t="s">
        <v>3156</v>
      </c>
      <c r="D1187" s="4">
        <v>39883.37222222222</v>
      </c>
      <c r="E1187" s="1" t="s">
        <v>196</v>
      </c>
      <c r="F1187" s="1" t="s">
        <v>3366</v>
      </c>
      <c r="G1187" s="5" t="s">
        <v>64</v>
      </c>
      <c r="H1187" s="5" t="s">
        <v>263</v>
      </c>
      <c r="I1187" s="1" t="s">
        <v>2382</v>
      </c>
      <c r="J1187" s="1"/>
      <c r="K1187" s="1" t="s">
        <v>3370</v>
      </c>
      <c r="L1187" s="2" t="s">
        <v>3371</v>
      </c>
      <c r="M1187" s="1"/>
      <c r="N1187" s="1"/>
      <c r="O1187" s="1"/>
      <c r="P1187" s="1"/>
      <c r="Q1187" s="1"/>
      <c r="R1187" s="1"/>
      <c r="S1187" s="1"/>
      <c r="T1187" s="1"/>
      <c r="U1187" s="1"/>
      <c r="V1187" s="1"/>
      <c r="W1187" s="1"/>
      <c r="X1187" s="1"/>
      <c r="Y1187" s="1"/>
      <c r="Z1187" s="1"/>
    </row>
    <row r="1188" spans="1:26" ht="33.75" customHeight="1">
      <c r="A1188" s="1">
        <v>1133</v>
      </c>
      <c r="B1188" s="1" t="s">
        <v>3372</v>
      </c>
      <c r="C1188" s="1" t="s">
        <v>3156</v>
      </c>
      <c r="D1188" s="4">
        <v>39883.375</v>
      </c>
      <c r="E1188" s="1" t="s">
        <v>196</v>
      </c>
      <c r="F1188" s="1"/>
      <c r="G1188" s="5" t="s">
        <v>15</v>
      </c>
      <c r="H1188" s="5" t="s">
        <v>150</v>
      </c>
      <c r="I1188" s="1" t="s">
        <v>3373</v>
      </c>
      <c r="J1188" s="1"/>
      <c r="K1188" s="1"/>
      <c r="L1188" s="2" t="s">
        <v>3374</v>
      </c>
      <c r="M1188" s="1"/>
      <c r="N1188" s="1"/>
      <c r="O1188" s="1"/>
      <c r="P1188" s="1"/>
      <c r="Q1188" s="1"/>
      <c r="R1188" s="1"/>
      <c r="S1188" s="1"/>
      <c r="T1188" s="1"/>
      <c r="U1188" s="1"/>
      <c r="V1188" s="1"/>
      <c r="W1188" s="1"/>
      <c r="X1188" s="1"/>
      <c r="Y1188" s="1"/>
      <c r="Z1188" s="1"/>
    </row>
    <row r="1189" spans="1:26" ht="33.75" customHeight="1">
      <c r="A1189" s="1">
        <v>1134</v>
      </c>
      <c r="B1189" s="1" t="s">
        <v>3375</v>
      </c>
      <c r="C1189" s="1" t="s">
        <v>3156</v>
      </c>
      <c r="D1189" s="4">
        <v>39883.388888888891</v>
      </c>
      <c r="E1189" s="1" t="s">
        <v>14</v>
      </c>
      <c r="F1189" s="1" t="s">
        <v>3372</v>
      </c>
      <c r="G1189" s="5" t="s">
        <v>15</v>
      </c>
      <c r="H1189" s="5" t="s">
        <v>792</v>
      </c>
      <c r="I1189" s="1" t="s">
        <v>3376</v>
      </c>
      <c r="J1189" s="1"/>
      <c r="K1189" s="1" t="s">
        <v>3377</v>
      </c>
      <c r="L1189" s="2" t="s">
        <v>3378</v>
      </c>
      <c r="M1189" s="1"/>
      <c r="N1189" s="1"/>
      <c r="O1189" s="1"/>
      <c r="P1189" s="1"/>
      <c r="Q1189" s="1"/>
      <c r="R1189" s="1"/>
      <c r="S1189" s="1"/>
      <c r="T1189" s="1"/>
      <c r="U1189" s="1"/>
      <c r="V1189" s="1"/>
      <c r="W1189" s="1"/>
      <c r="X1189" s="1"/>
      <c r="Y1189" s="1"/>
      <c r="Z1189" s="1"/>
    </row>
    <row r="1190" spans="1:26" ht="33.75" customHeight="1">
      <c r="A1190" s="1">
        <v>1865</v>
      </c>
      <c r="B1190" s="1" t="s">
        <v>3379</v>
      </c>
      <c r="C1190" s="1" t="s">
        <v>2870</v>
      </c>
      <c r="D1190" s="4">
        <v>39883.407638888886</v>
      </c>
      <c r="E1190" s="1" t="s">
        <v>84</v>
      </c>
      <c r="F1190" s="1"/>
      <c r="G1190" s="5" t="s">
        <v>64</v>
      </c>
      <c r="H1190" s="1"/>
      <c r="I1190" s="1" t="s">
        <v>64</v>
      </c>
      <c r="J1190" s="1"/>
      <c r="K1190" s="1"/>
      <c r="L1190" s="2" t="s">
        <v>3380</v>
      </c>
      <c r="M1190" s="1"/>
      <c r="N1190" s="1"/>
      <c r="O1190" s="1"/>
      <c r="P1190" s="1"/>
      <c r="Q1190" s="1"/>
      <c r="R1190" s="1"/>
      <c r="S1190" s="1"/>
      <c r="T1190" s="1"/>
      <c r="U1190" s="1"/>
      <c r="V1190" s="1"/>
      <c r="W1190" s="1"/>
      <c r="X1190" s="1"/>
      <c r="Y1190" s="1"/>
      <c r="Z1190" s="1"/>
    </row>
    <row r="1191" spans="1:26" ht="33.75" customHeight="1">
      <c r="A1191" s="1">
        <v>1866</v>
      </c>
      <c r="B1191" s="1" t="s">
        <v>3381</v>
      </c>
      <c r="C1191" s="1" t="s">
        <v>2870</v>
      </c>
      <c r="D1191" s="4">
        <v>39883.413194444445</v>
      </c>
      <c r="E1191" s="1" t="s">
        <v>84</v>
      </c>
      <c r="F1191" s="1"/>
      <c r="G1191" s="5" t="s">
        <v>64</v>
      </c>
      <c r="H1191" s="1"/>
      <c r="I1191" s="1" t="s">
        <v>64</v>
      </c>
      <c r="J1191" s="1"/>
      <c r="K1191" s="1"/>
      <c r="L1191" s="2" t="s">
        <v>3382</v>
      </c>
      <c r="M1191" s="1"/>
      <c r="N1191" s="1"/>
      <c r="O1191" s="1"/>
      <c r="P1191" s="1"/>
      <c r="Q1191" s="1"/>
      <c r="R1191" s="1"/>
      <c r="S1191" s="1"/>
      <c r="T1191" s="1"/>
      <c r="U1191" s="1"/>
      <c r="V1191" s="1"/>
      <c r="W1191" s="1"/>
      <c r="X1191" s="1"/>
      <c r="Y1191" s="1"/>
      <c r="Z1191" s="1"/>
    </row>
    <row r="1192" spans="1:26" ht="33.75" customHeight="1">
      <c r="A1192" s="1">
        <v>1248</v>
      </c>
      <c r="B1192" s="1" t="s">
        <v>3383</v>
      </c>
      <c r="C1192" s="1" t="s">
        <v>3255</v>
      </c>
      <c r="D1192" s="4">
        <v>39883.413888888892</v>
      </c>
      <c r="E1192" s="1" t="s">
        <v>3384</v>
      </c>
      <c r="F1192" s="1"/>
      <c r="G1192" s="5" t="s">
        <v>15</v>
      </c>
      <c r="H1192" s="5" t="s">
        <v>50</v>
      </c>
      <c r="I1192" s="1" t="s">
        <v>166</v>
      </c>
      <c r="J1192" s="1"/>
      <c r="K1192" s="1" t="s">
        <v>3385</v>
      </c>
      <c r="L1192" s="2" t="s">
        <v>3386</v>
      </c>
      <c r="M1192" s="1"/>
      <c r="N1192" s="1"/>
      <c r="O1192" s="1"/>
      <c r="P1192" s="1"/>
      <c r="Q1192" s="1"/>
      <c r="R1192" s="1"/>
      <c r="S1192" s="1"/>
      <c r="T1192" s="1"/>
      <c r="U1192" s="1"/>
      <c r="V1192" s="1"/>
      <c r="W1192" s="1"/>
      <c r="X1192" s="1"/>
      <c r="Y1192" s="1"/>
      <c r="Z1192" s="1"/>
    </row>
    <row r="1193" spans="1:26" ht="33.75" customHeight="1">
      <c r="A1193" s="1">
        <v>1243</v>
      </c>
      <c r="B1193" s="1" t="s">
        <v>3387</v>
      </c>
      <c r="C1193" s="1" t="s">
        <v>3255</v>
      </c>
      <c r="D1193" s="4">
        <v>39883.452777777777</v>
      </c>
      <c r="E1193" s="1" t="s">
        <v>3388</v>
      </c>
      <c r="F1193" s="1" t="s">
        <v>3341</v>
      </c>
      <c r="G1193" s="5" t="s">
        <v>33</v>
      </c>
      <c r="H1193" s="5" t="s">
        <v>34</v>
      </c>
      <c r="I1193" s="1" t="s">
        <v>2382</v>
      </c>
      <c r="J1193" s="1"/>
      <c r="K1193" s="1"/>
      <c r="L1193" s="2" t="s">
        <v>3389</v>
      </c>
      <c r="M1193" s="1"/>
      <c r="N1193" s="1"/>
      <c r="O1193" s="1"/>
      <c r="P1193" s="1"/>
      <c r="Q1193" s="1"/>
      <c r="R1193" s="1"/>
      <c r="S1193" s="1"/>
      <c r="T1193" s="1"/>
      <c r="U1193" s="1"/>
      <c r="V1193" s="1"/>
      <c r="W1193" s="1"/>
      <c r="X1193" s="1"/>
      <c r="Y1193" s="1"/>
      <c r="Z1193" s="1"/>
    </row>
    <row r="1194" spans="1:26" ht="33.75" customHeight="1">
      <c r="A1194" s="1">
        <v>1252</v>
      </c>
      <c r="B1194" s="1" t="s">
        <v>3390</v>
      </c>
      <c r="C1194" s="1" t="s">
        <v>3255</v>
      </c>
      <c r="D1194" s="4">
        <v>39883.502083333333</v>
      </c>
      <c r="E1194" s="1" t="s">
        <v>14</v>
      </c>
      <c r="F1194" s="1"/>
      <c r="G1194" s="5" t="s">
        <v>26</v>
      </c>
      <c r="H1194" s="5" t="s">
        <v>27</v>
      </c>
      <c r="I1194" s="1" t="s">
        <v>28</v>
      </c>
      <c r="J1194" s="1" t="s">
        <v>29</v>
      </c>
      <c r="K1194" s="1" t="s">
        <v>3391</v>
      </c>
      <c r="L1194" s="2" t="s">
        <v>3392</v>
      </c>
      <c r="M1194" s="1"/>
      <c r="N1194" s="1"/>
      <c r="O1194" s="1"/>
      <c r="P1194" s="1"/>
      <c r="Q1194" s="1"/>
      <c r="R1194" s="1"/>
      <c r="S1194" s="1"/>
      <c r="T1194" s="1"/>
      <c r="U1194" s="1"/>
      <c r="V1194" s="1"/>
      <c r="W1194" s="1"/>
      <c r="X1194" s="1"/>
      <c r="Y1194" s="1"/>
      <c r="Z1194" s="1"/>
    </row>
    <row r="1195" spans="1:26" ht="33.75" customHeight="1">
      <c r="A1195" s="1">
        <v>1867</v>
      </c>
      <c r="B1195" s="1" t="s">
        <v>3393</v>
      </c>
      <c r="C1195" s="1" t="s">
        <v>2870</v>
      </c>
      <c r="D1195" s="4">
        <v>39883.512499999997</v>
      </c>
      <c r="E1195" s="1" t="s">
        <v>772</v>
      </c>
      <c r="F1195" s="1"/>
      <c r="G1195" s="7" t="s">
        <v>15</v>
      </c>
      <c r="H1195" s="5" t="s">
        <v>55</v>
      </c>
      <c r="I1195" s="1" t="s">
        <v>3234</v>
      </c>
      <c r="J1195" s="1"/>
      <c r="K1195" s="1"/>
      <c r="L1195" s="2" t="s">
        <v>3394</v>
      </c>
      <c r="M1195" s="1"/>
      <c r="N1195" s="1"/>
      <c r="O1195" s="1"/>
      <c r="P1195" s="1"/>
      <c r="Q1195" s="1"/>
      <c r="R1195" s="1"/>
      <c r="S1195" s="1"/>
      <c r="T1195" s="1"/>
      <c r="U1195" s="1"/>
      <c r="V1195" s="1"/>
      <c r="W1195" s="1"/>
      <c r="X1195" s="1"/>
      <c r="Y1195" s="1"/>
      <c r="Z1195" s="1"/>
    </row>
    <row r="1196" spans="1:26" ht="33.75" customHeight="1">
      <c r="A1196" s="1">
        <v>1135</v>
      </c>
      <c r="B1196" s="1" t="s">
        <v>3395</v>
      </c>
      <c r="C1196" s="1" t="s">
        <v>3156</v>
      </c>
      <c r="D1196" s="4">
        <v>39883.537499999999</v>
      </c>
      <c r="E1196" s="1" t="s">
        <v>14</v>
      </c>
      <c r="F1196" s="1" t="s">
        <v>3366</v>
      </c>
      <c r="G1196" s="5" t="s">
        <v>64</v>
      </c>
      <c r="H1196" s="1"/>
      <c r="I1196" s="1" t="s">
        <v>64</v>
      </c>
      <c r="J1196" s="1"/>
      <c r="K1196" s="1" t="s">
        <v>3396</v>
      </c>
      <c r="L1196" s="2" t="s">
        <v>3397</v>
      </c>
      <c r="M1196" s="1"/>
      <c r="N1196" s="1"/>
      <c r="O1196" s="1"/>
      <c r="P1196" s="1"/>
      <c r="Q1196" s="1"/>
      <c r="R1196" s="1"/>
      <c r="S1196" s="1"/>
      <c r="T1196" s="1"/>
      <c r="U1196" s="1"/>
      <c r="V1196" s="1"/>
      <c r="W1196" s="1"/>
      <c r="X1196" s="1"/>
      <c r="Y1196" s="1"/>
      <c r="Z1196" s="1"/>
    </row>
    <row r="1197" spans="1:26" ht="33.75" customHeight="1">
      <c r="A1197" s="1">
        <v>1136</v>
      </c>
      <c r="B1197" s="1" t="s">
        <v>3398</v>
      </c>
      <c r="C1197" s="1" t="s">
        <v>3156</v>
      </c>
      <c r="D1197" s="4">
        <v>39883.54583333333</v>
      </c>
      <c r="E1197" s="1" t="s">
        <v>14</v>
      </c>
      <c r="F1197" s="1" t="s">
        <v>3399</v>
      </c>
      <c r="G1197" s="5" t="s">
        <v>64</v>
      </c>
      <c r="H1197" s="1"/>
      <c r="I1197" s="1" t="s">
        <v>64</v>
      </c>
      <c r="J1197" s="1"/>
      <c r="K1197" s="1"/>
      <c r="L1197" s="2" t="s">
        <v>3400</v>
      </c>
      <c r="M1197" s="1"/>
      <c r="N1197" s="1"/>
      <c r="O1197" s="1"/>
      <c r="P1197" s="1"/>
      <c r="Q1197" s="1"/>
      <c r="R1197" s="1"/>
      <c r="S1197" s="1"/>
      <c r="T1197" s="1"/>
      <c r="U1197" s="1"/>
      <c r="V1197" s="1"/>
      <c r="W1197" s="1"/>
      <c r="X1197" s="1"/>
      <c r="Y1197" s="1"/>
      <c r="Z1197" s="1"/>
    </row>
    <row r="1198" spans="1:26" ht="33.75" customHeight="1">
      <c r="A1198" s="1">
        <v>1129</v>
      </c>
      <c r="B1198" s="1" t="s">
        <v>3401</v>
      </c>
      <c r="C1198" s="1" t="s">
        <v>3156</v>
      </c>
      <c r="D1198" s="4">
        <v>39883.552777777775</v>
      </c>
      <c r="E1198" s="1" t="s">
        <v>14</v>
      </c>
      <c r="F1198" s="1" t="s">
        <v>320</v>
      </c>
      <c r="G1198" s="5" t="s">
        <v>26</v>
      </c>
      <c r="H1198" s="5" t="s">
        <v>27</v>
      </c>
      <c r="I1198" s="1" t="s">
        <v>2382</v>
      </c>
      <c r="J1198" s="1"/>
      <c r="K1198" s="1" t="s">
        <v>3402</v>
      </c>
      <c r="L1198" s="2" t="s">
        <v>3403</v>
      </c>
      <c r="M1198" s="1"/>
      <c r="N1198" s="1"/>
      <c r="O1198" s="1"/>
      <c r="P1198" s="1"/>
      <c r="Q1198" s="1"/>
      <c r="R1198" s="1"/>
      <c r="S1198" s="1"/>
      <c r="T1198" s="1"/>
      <c r="U1198" s="1"/>
      <c r="V1198" s="1"/>
      <c r="W1198" s="1"/>
      <c r="X1198" s="1"/>
      <c r="Y1198" s="1"/>
      <c r="Z1198" s="1"/>
    </row>
    <row r="1199" spans="1:26" ht="33.75" customHeight="1">
      <c r="A1199" s="1">
        <v>1868</v>
      </c>
      <c r="B1199" s="1" t="s">
        <v>3404</v>
      </c>
      <c r="C1199" s="1" t="s">
        <v>2870</v>
      </c>
      <c r="D1199" s="4">
        <v>39883.558333333334</v>
      </c>
      <c r="E1199" s="1" t="s">
        <v>2893</v>
      </c>
      <c r="F1199" s="1" t="s">
        <v>3363</v>
      </c>
      <c r="G1199" s="5" t="s">
        <v>26</v>
      </c>
      <c r="H1199" s="5" t="s">
        <v>133</v>
      </c>
      <c r="I1199" s="1" t="s">
        <v>28</v>
      </c>
      <c r="J1199" s="1" t="s">
        <v>134</v>
      </c>
      <c r="K1199" s="1" t="s">
        <v>3405</v>
      </c>
      <c r="L1199" s="2" t="s">
        <v>3406</v>
      </c>
      <c r="M1199" s="1"/>
      <c r="N1199" s="1"/>
      <c r="O1199" s="1"/>
      <c r="P1199" s="1"/>
      <c r="Q1199" s="1"/>
      <c r="R1199" s="1"/>
      <c r="S1199" s="1"/>
      <c r="T1199" s="1"/>
      <c r="U1199" s="1"/>
      <c r="V1199" s="1"/>
      <c r="W1199" s="1"/>
      <c r="X1199" s="1"/>
      <c r="Y1199" s="1"/>
      <c r="Z1199" s="1"/>
    </row>
    <row r="1200" spans="1:26" ht="33.75" customHeight="1">
      <c r="A1200" s="1">
        <v>1253</v>
      </c>
      <c r="B1200" s="1" t="s">
        <v>3407</v>
      </c>
      <c r="C1200" s="1" t="s">
        <v>3255</v>
      </c>
      <c r="D1200" s="4">
        <v>39883.57708333333</v>
      </c>
      <c r="E1200" s="1" t="s">
        <v>1089</v>
      </c>
      <c r="F1200" s="1"/>
      <c r="G1200" s="5" t="s">
        <v>15</v>
      </c>
      <c r="H1200" s="5" t="s">
        <v>150</v>
      </c>
      <c r="I1200" s="1" t="s">
        <v>166</v>
      </c>
      <c r="J1200" s="1"/>
      <c r="K1200" s="1" t="s">
        <v>3408</v>
      </c>
      <c r="L1200" s="2" t="s">
        <v>3409</v>
      </c>
      <c r="M1200" s="1"/>
      <c r="N1200" s="1"/>
      <c r="O1200" s="1"/>
      <c r="P1200" s="1"/>
      <c r="Q1200" s="1"/>
      <c r="R1200" s="1"/>
      <c r="S1200" s="1"/>
      <c r="T1200" s="1"/>
      <c r="U1200" s="1"/>
      <c r="V1200" s="1"/>
      <c r="W1200" s="1"/>
      <c r="X1200" s="1"/>
      <c r="Y1200" s="1"/>
      <c r="Z1200" s="1"/>
    </row>
    <row r="1201" spans="1:26" ht="33.75" customHeight="1">
      <c r="A1201" s="1">
        <v>1254</v>
      </c>
      <c r="B1201" s="1" t="s">
        <v>3410</v>
      </c>
      <c r="C1201" s="1" t="s">
        <v>3255</v>
      </c>
      <c r="D1201" s="4">
        <v>39883.618750000001</v>
      </c>
      <c r="E1201" s="1" t="s">
        <v>84</v>
      </c>
      <c r="F1201" s="1"/>
      <c r="G1201" s="5" t="s">
        <v>15</v>
      </c>
      <c r="H1201" s="5" t="s">
        <v>50</v>
      </c>
      <c r="I1201" s="1" t="s">
        <v>166</v>
      </c>
      <c r="J1201" s="1"/>
      <c r="K1201" s="1" t="s">
        <v>3411</v>
      </c>
      <c r="L1201" s="2" t="s">
        <v>3412</v>
      </c>
      <c r="M1201" s="1"/>
      <c r="N1201" s="1"/>
      <c r="O1201" s="1"/>
      <c r="P1201" s="1"/>
      <c r="Q1201" s="1"/>
      <c r="R1201" s="1"/>
      <c r="S1201" s="1"/>
      <c r="T1201" s="1"/>
      <c r="U1201" s="1"/>
      <c r="V1201" s="1"/>
      <c r="W1201" s="1"/>
      <c r="X1201" s="1"/>
      <c r="Y1201" s="1"/>
      <c r="Z1201" s="1"/>
    </row>
    <row r="1202" spans="1:26" ht="33.75" customHeight="1">
      <c r="A1202" s="1">
        <v>1869</v>
      </c>
      <c r="B1202" s="1" t="s">
        <v>3413</v>
      </c>
      <c r="C1202" s="1" t="s">
        <v>2870</v>
      </c>
      <c r="D1202" s="4">
        <v>39883.620138888888</v>
      </c>
      <c r="E1202" s="1" t="s">
        <v>381</v>
      </c>
      <c r="F1202" s="1"/>
      <c r="G1202" s="5" t="s">
        <v>64</v>
      </c>
      <c r="H1202" s="1"/>
      <c r="I1202" s="1" t="s">
        <v>64</v>
      </c>
      <c r="J1202" s="1"/>
      <c r="K1202" s="1"/>
      <c r="L1202" s="2" t="s">
        <v>3414</v>
      </c>
      <c r="M1202" s="1"/>
      <c r="N1202" s="1"/>
      <c r="O1202" s="1"/>
      <c r="P1202" s="1"/>
      <c r="Q1202" s="1"/>
      <c r="R1202" s="1"/>
      <c r="S1202" s="1"/>
      <c r="T1202" s="1"/>
      <c r="U1202" s="1"/>
      <c r="V1202" s="1"/>
      <c r="W1202" s="1"/>
      <c r="X1202" s="1"/>
      <c r="Y1202" s="1"/>
      <c r="Z1202" s="1"/>
    </row>
    <row r="1203" spans="1:26" ht="33.75" customHeight="1">
      <c r="A1203" s="1">
        <v>1249</v>
      </c>
      <c r="B1203" s="1" t="s">
        <v>3415</v>
      </c>
      <c r="C1203" s="1" t="s">
        <v>3255</v>
      </c>
      <c r="D1203" s="4">
        <v>39883.668055555558</v>
      </c>
      <c r="E1203" s="1" t="s">
        <v>84</v>
      </c>
      <c r="F1203" s="1"/>
      <c r="G1203" s="5" t="s">
        <v>15</v>
      </c>
      <c r="H1203" s="5" t="s">
        <v>140</v>
      </c>
      <c r="I1203" s="1" t="s">
        <v>3416</v>
      </c>
      <c r="J1203" s="1"/>
      <c r="K1203" s="1"/>
      <c r="L1203" s="2" t="s">
        <v>3417</v>
      </c>
      <c r="M1203" s="1"/>
      <c r="N1203" s="1"/>
      <c r="O1203" s="1"/>
      <c r="P1203" s="1"/>
      <c r="Q1203" s="1"/>
      <c r="R1203" s="1"/>
      <c r="S1203" s="1"/>
      <c r="T1203" s="1"/>
      <c r="U1203" s="1"/>
      <c r="V1203" s="1"/>
      <c r="W1203" s="1"/>
      <c r="X1203" s="1"/>
      <c r="Y1203" s="1"/>
      <c r="Z1203" s="1"/>
    </row>
    <row r="1204" spans="1:26" ht="33.75" customHeight="1">
      <c r="A1204" s="1">
        <v>1870</v>
      </c>
      <c r="B1204" s="1" t="s">
        <v>3418</v>
      </c>
      <c r="C1204" s="1" t="s">
        <v>2870</v>
      </c>
      <c r="D1204" s="4">
        <v>39883.676388888889</v>
      </c>
      <c r="E1204" s="1" t="s">
        <v>54</v>
      </c>
      <c r="F1204" s="1"/>
      <c r="G1204" s="5" t="s">
        <v>64</v>
      </c>
      <c r="H1204" s="1"/>
      <c r="I1204" s="1" t="s">
        <v>64</v>
      </c>
      <c r="J1204" s="1"/>
      <c r="K1204" s="1" t="s">
        <v>3419</v>
      </c>
      <c r="L1204" s="2" t="s">
        <v>3420</v>
      </c>
      <c r="M1204" s="1"/>
      <c r="N1204" s="1"/>
      <c r="O1204" s="1"/>
      <c r="P1204" s="1"/>
      <c r="Q1204" s="1"/>
      <c r="R1204" s="1"/>
      <c r="S1204" s="1"/>
      <c r="T1204" s="1"/>
      <c r="U1204" s="1"/>
      <c r="V1204" s="1"/>
      <c r="W1204" s="1"/>
      <c r="X1204" s="1"/>
      <c r="Y1204" s="1"/>
      <c r="Z1204" s="1"/>
    </row>
    <row r="1205" spans="1:26" ht="33.75" customHeight="1">
      <c r="A1205" s="1">
        <v>1871</v>
      </c>
      <c r="B1205" s="1" t="s">
        <v>3421</v>
      </c>
      <c r="C1205" s="1" t="s">
        <v>2870</v>
      </c>
      <c r="D1205" s="4">
        <v>39883.714583333334</v>
      </c>
      <c r="E1205" s="1" t="s">
        <v>54</v>
      </c>
      <c r="F1205" s="1"/>
      <c r="G1205" s="5" t="s">
        <v>64</v>
      </c>
      <c r="H1205" s="1"/>
      <c r="I1205" s="1" t="s">
        <v>64</v>
      </c>
      <c r="J1205" s="1"/>
      <c r="K1205" s="1"/>
      <c r="L1205" s="2" t="s">
        <v>3422</v>
      </c>
      <c r="M1205" s="1"/>
      <c r="N1205" s="1"/>
      <c r="O1205" s="1"/>
      <c r="P1205" s="1"/>
      <c r="Q1205" s="1"/>
      <c r="R1205" s="1"/>
      <c r="S1205" s="1"/>
      <c r="T1205" s="1"/>
      <c r="U1205" s="1"/>
      <c r="V1205" s="1"/>
      <c r="W1205" s="1"/>
      <c r="X1205" s="1"/>
      <c r="Y1205" s="1"/>
      <c r="Z1205" s="1"/>
    </row>
    <row r="1206" spans="1:26" ht="33.75" customHeight="1">
      <c r="A1206" s="1">
        <v>1872</v>
      </c>
      <c r="B1206" s="1" t="s">
        <v>3423</v>
      </c>
      <c r="C1206" s="1" t="s">
        <v>2870</v>
      </c>
      <c r="D1206" s="4">
        <v>39883.738194444442</v>
      </c>
      <c r="E1206" s="1" t="s">
        <v>54</v>
      </c>
      <c r="F1206" s="1"/>
      <c r="G1206" s="5" t="s">
        <v>64</v>
      </c>
      <c r="H1206" s="1"/>
      <c r="I1206" s="1" t="s">
        <v>64</v>
      </c>
      <c r="J1206" s="1"/>
      <c r="K1206" s="1" t="s">
        <v>3424</v>
      </c>
      <c r="L1206" s="2" t="s">
        <v>3425</v>
      </c>
      <c r="M1206" s="1"/>
      <c r="N1206" s="1"/>
      <c r="O1206" s="1"/>
      <c r="P1206" s="1"/>
      <c r="Q1206" s="1"/>
      <c r="R1206" s="1"/>
      <c r="S1206" s="1"/>
      <c r="T1206" s="1"/>
      <c r="U1206" s="1"/>
      <c r="V1206" s="1"/>
      <c r="W1206" s="1"/>
      <c r="X1206" s="1"/>
      <c r="Y1206" s="1"/>
      <c r="Z1206" s="1"/>
    </row>
    <row r="1207" spans="1:26" ht="33.75" customHeight="1">
      <c r="A1207" s="1">
        <v>1137</v>
      </c>
      <c r="B1207" s="1" t="s">
        <v>3426</v>
      </c>
      <c r="C1207" s="1" t="s">
        <v>3156</v>
      </c>
      <c r="D1207" s="4">
        <v>39883.740972222222</v>
      </c>
      <c r="E1207" s="1" t="s">
        <v>196</v>
      </c>
      <c r="F1207" s="1" t="s">
        <v>3398</v>
      </c>
      <c r="G1207" s="5" t="s">
        <v>64</v>
      </c>
      <c r="H1207" s="5" t="s">
        <v>263</v>
      </c>
      <c r="I1207" s="1" t="s">
        <v>2382</v>
      </c>
      <c r="J1207" s="1"/>
      <c r="K1207" s="1"/>
      <c r="L1207" s="2" t="s">
        <v>3427</v>
      </c>
      <c r="M1207" s="1"/>
      <c r="N1207" s="1"/>
      <c r="O1207" s="1"/>
      <c r="P1207" s="1"/>
      <c r="Q1207" s="1"/>
      <c r="R1207" s="1"/>
      <c r="S1207" s="1"/>
      <c r="T1207" s="1"/>
      <c r="U1207" s="1"/>
      <c r="V1207" s="1"/>
      <c r="W1207" s="1"/>
      <c r="X1207" s="1"/>
      <c r="Y1207" s="1"/>
      <c r="Z1207" s="1"/>
    </row>
    <row r="1208" spans="1:26" ht="33.75" customHeight="1">
      <c r="A1208" s="1">
        <v>1873</v>
      </c>
      <c r="B1208" s="1" t="s">
        <v>3428</v>
      </c>
      <c r="C1208" s="1" t="s">
        <v>2870</v>
      </c>
      <c r="D1208" s="4">
        <v>39883.745138888888</v>
      </c>
      <c r="E1208" s="1" t="s">
        <v>2893</v>
      </c>
      <c r="F1208" s="1" t="s">
        <v>3413</v>
      </c>
      <c r="G1208" s="5" t="s">
        <v>26</v>
      </c>
      <c r="H1208" s="5" t="s">
        <v>27</v>
      </c>
      <c r="I1208" s="1" t="s">
        <v>28</v>
      </c>
      <c r="J1208" s="1" t="s">
        <v>259</v>
      </c>
      <c r="K1208" s="1"/>
      <c r="L1208" s="2" t="s">
        <v>3429</v>
      </c>
      <c r="M1208" s="1"/>
      <c r="N1208" s="1"/>
      <c r="O1208" s="1"/>
      <c r="P1208" s="1"/>
      <c r="Q1208" s="1"/>
      <c r="R1208" s="1"/>
      <c r="S1208" s="1"/>
      <c r="T1208" s="1"/>
      <c r="U1208" s="1"/>
      <c r="V1208" s="1"/>
      <c r="W1208" s="1"/>
      <c r="X1208" s="1"/>
      <c r="Y1208" s="1"/>
      <c r="Z1208" s="1"/>
    </row>
    <row r="1209" spans="1:26" ht="33.75" customHeight="1">
      <c r="A1209" s="1">
        <v>1132</v>
      </c>
      <c r="B1209" s="1" t="s">
        <v>3430</v>
      </c>
      <c r="C1209" s="1" t="s">
        <v>3156</v>
      </c>
      <c r="D1209" s="4">
        <v>39883.762499999997</v>
      </c>
      <c r="E1209" s="1" t="s">
        <v>196</v>
      </c>
      <c r="F1209" s="1"/>
      <c r="G1209" s="5" t="s">
        <v>64</v>
      </c>
      <c r="H1209" s="5" t="s">
        <v>179</v>
      </c>
      <c r="I1209" s="1" t="s">
        <v>3431</v>
      </c>
      <c r="J1209" s="1"/>
      <c r="K1209" s="1"/>
      <c r="L1209" s="2" t="s">
        <v>3432</v>
      </c>
      <c r="M1209" s="1"/>
      <c r="N1209" s="1"/>
      <c r="O1209" s="1"/>
      <c r="P1209" s="1"/>
      <c r="Q1209" s="1"/>
      <c r="R1209" s="1"/>
      <c r="S1209" s="1"/>
      <c r="T1209" s="1"/>
      <c r="U1209" s="1"/>
      <c r="V1209" s="1"/>
      <c r="W1209" s="1"/>
      <c r="X1209" s="1"/>
      <c r="Y1209" s="1"/>
      <c r="Z1209" s="1"/>
    </row>
    <row r="1210" spans="1:26" ht="33.75" customHeight="1">
      <c r="A1210" s="1">
        <v>1255</v>
      </c>
      <c r="B1210" s="1" t="s">
        <v>3433</v>
      </c>
      <c r="C1210" s="1" t="s">
        <v>3255</v>
      </c>
      <c r="D1210" s="4">
        <v>39883.772916666669</v>
      </c>
      <c r="E1210" s="1" t="s">
        <v>59</v>
      </c>
      <c r="F1210" s="1"/>
      <c r="G1210" s="5" t="s">
        <v>15</v>
      </c>
      <c r="H1210" s="5" t="s">
        <v>50</v>
      </c>
      <c r="I1210" s="1" t="s">
        <v>166</v>
      </c>
      <c r="J1210" s="1"/>
      <c r="K1210" s="1" t="s">
        <v>3434</v>
      </c>
      <c r="L1210" s="2" t="s">
        <v>3435</v>
      </c>
      <c r="M1210" s="1"/>
      <c r="N1210" s="1"/>
      <c r="O1210" s="1"/>
      <c r="P1210" s="1"/>
      <c r="Q1210" s="1"/>
      <c r="R1210" s="1"/>
      <c r="S1210" s="1"/>
      <c r="T1210" s="1"/>
      <c r="U1210" s="1"/>
      <c r="V1210" s="1"/>
      <c r="W1210" s="1"/>
      <c r="X1210" s="1"/>
      <c r="Y1210" s="1"/>
      <c r="Z1210" s="1"/>
    </row>
    <row r="1211" spans="1:26" ht="33.75" customHeight="1">
      <c r="A1211" s="1">
        <v>1228</v>
      </c>
      <c r="B1211" s="1" t="s">
        <v>3436</v>
      </c>
      <c r="C1211" s="1" t="s">
        <v>3255</v>
      </c>
      <c r="D1211" s="4">
        <v>39883.787499999999</v>
      </c>
      <c r="E1211" s="1" t="s">
        <v>3437</v>
      </c>
      <c r="F1211" s="1" t="s">
        <v>3438</v>
      </c>
      <c r="G1211" s="5" t="s">
        <v>39</v>
      </c>
      <c r="H1211" s="5" t="s">
        <v>3354</v>
      </c>
      <c r="I1211" s="1" t="s">
        <v>2382</v>
      </c>
      <c r="J1211" s="1"/>
      <c r="K1211" s="1" t="s">
        <v>3439</v>
      </c>
      <c r="L1211" s="2" t="s">
        <v>3440</v>
      </c>
      <c r="M1211" s="1"/>
      <c r="N1211" s="1"/>
      <c r="O1211" s="1"/>
      <c r="P1211" s="1"/>
      <c r="Q1211" s="1"/>
      <c r="R1211" s="1"/>
      <c r="S1211" s="1"/>
      <c r="T1211" s="1"/>
      <c r="U1211" s="1"/>
      <c r="V1211" s="1"/>
      <c r="W1211" s="1"/>
      <c r="X1211" s="1"/>
      <c r="Y1211" s="1"/>
      <c r="Z1211" s="1"/>
    </row>
    <row r="1212" spans="1:26" ht="33.75" customHeight="1">
      <c r="A1212" s="1">
        <v>1138</v>
      </c>
      <c r="B1212" s="1" t="s">
        <v>3441</v>
      </c>
      <c r="C1212" s="1" t="s">
        <v>3156</v>
      </c>
      <c r="D1212" s="4">
        <v>39883.802083333336</v>
      </c>
      <c r="E1212" s="1" t="s">
        <v>14</v>
      </c>
      <c r="F1212" s="1" t="s">
        <v>3398</v>
      </c>
      <c r="G1212" s="5" t="s">
        <v>15</v>
      </c>
      <c r="H1212" s="5" t="s">
        <v>150</v>
      </c>
      <c r="I1212" s="1" t="s">
        <v>2382</v>
      </c>
      <c r="J1212" s="1"/>
      <c r="K1212" s="1"/>
      <c r="L1212" s="2" t="s">
        <v>3442</v>
      </c>
      <c r="M1212" s="1"/>
      <c r="N1212" s="1"/>
      <c r="O1212" s="1"/>
      <c r="P1212" s="1"/>
      <c r="Q1212" s="1"/>
      <c r="R1212" s="1"/>
      <c r="S1212" s="1"/>
      <c r="T1212" s="1"/>
      <c r="U1212" s="1"/>
      <c r="V1212" s="1"/>
      <c r="W1212" s="1"/>
      <c r="X1212" s="1"/>
      <c r="Y1212" s="1"/>
      <c r="Z1212" s="1"/>
    </row>
    <row r="1213" spans="1:26" ht="33.75" customHeight="1">
      <c r="A1213" s="1">
        <v>1250</v>
      </c>
      <c r="B1213" s="1" t="s">
        <v>3443</v>
      </c>
      <c r="C1213" s="1" t="s">
        <v>3255</v>
      </c>
      <c r="D1213" s="4">
        <v>39883.804166666669</v>
      </c>
      <c r="E1213" s="1" t="s">
        <v>3437</v>
      </c>
      <c r="F1213" s="1"/>
      <c r="G1213" s="5" t="s">
        <v>64</v>
      </c>
      <c r="H1213" s="5" t="s">
        <v>65</v>
      </c>
      <c r="I1213" s="1" t="s">
        <v>3444</v>
      </c>
      <c r="J1213" s="1"/>
      <c r="K1213" s="1" t="s">
        <v>3445</v>
      </c>
      <c r="L1213" s="2" t="s">
        <v>3446</v>
      </c>
      <c r="M1213" s="1"/>
      <c r="N1213" s="1"/>
      <c r="O1213" s="1"/>
      <c r="P1213" s="1"/>
      <c r="Q1213" s="1"/>
      <c r="R1213" s="1"/>
      <c r="S1213" s="1"/>
      <c r="T1213" s="1"/>
      <c r="U1213" s="1"/>
      <c r="V1213" s="1"/>
      <c r="W1213" s="1"/>
      <c r="X1213" s="1"/>
      <c r="Y1213" s="1"/>
      <c r="Z1213" s="1"/>
    </row>
    <row r="1214" spans="1:26" ht="33.75" customHeight="1">
      <c r="A1214" s="1">
        <v>1193</v>
      </c>
      <c r="B1214" s="1" t="s">
        <v>3447</v>
      </c>
      <c r="C1214" s="1" t="s">
        <v>3156</v>
      </c>
      <c r="D1214" s="4">
        <v>39886.927777777775</v>
      </c>
      <c r="E1214" s="1" t="s">
        <v>1528</v>
      </c>
      <c r="F1214" s="1"/>
      <c r="G1214" s="5" t="s">
        <v>26</v>
      </c>
      <c r="H1214" s="5" t="s">
        <v>133</v>
      </c>
      <c r="I1214" s="1" t="s">
        <v>28</v>
      </c>
      <c r="J1214" s="1" t="s">
        <v>134</v>
      </c>
      <c r="K1214" s="1"/>
      <c r="L1214" s="2" t="s">
        <v>3448</v>
      </c>
      <c r="M1214" s="1"/>
      <c r="N1214" s="1"/>
      <c r="O1214" s="1"/>
      <c r="P1214" s="1"/>
      <c r="Q1214" s="1"/>
      <c r="R1214" s="1"/>
      <c r="S1214" s="1"/>
      <c r="T1214" s="1"/>
      <c r="U1214" s="1"/>
      <c r="V1214" s="1"/>
      <c r="W1214" s="1"/>
      <c r="X1214" s="1"/>
      <c r="Y1214" s="1"/>
      <c r="Z1214" s="1"/>
    </row>
    <row r="1215" spans="1:26" ht="33.75" customHeight="1">
      <c r="A1215" s="1">
        <v>1259</v>
      </c>
      <c r="B1215" s="1" t="s">
        <v>3449</v>
      </c>
      <c r="C1215" s="1" t="s">
        <v>3255</v>
      </c>
      <c r="D1215" s="4">
        <v>39883.817361111112</v>
      </c>
      <c r="E1215" s="1" t="s">
        <v>3437</v>
      </c>
      <c r="F1215" s="1"/>
      <c r="G1215" s="5" t="s">
        <v>15</v>
      </c>
      <c r="H1215" s="5" t="s">
        <v>50</v>
      </c>
      <c r="I1215" s="1" t="s">
        <v>166</v>
      </c>
      <c r="J1215" s="1"/>
      <c r="K1215" s="1" t="s">
        <v>3450</v>
      </c>
      <c r="L1215" s="2" t="s">
        <v>3451</v>
      </c>
      <c r="M1215" s="1"/>
      <c r="N1215" s="1"/>
      <c r="O1215" s="1"/>
      <c r="P1215" s="1"/>
      <c r="Q1215" s="1"/>
      <c r="R1215" s="1"/>
      <c r="S1215" s="1"/>
      <c r="T1215" s="1"/>
      <c r="U1215" s="1"/>
      <c r="V1215" s="1"/>
      <c r="W1215" s="1"/>
      <c r="X1215" s="1"/>
      <c r="Y1215" s="1"/>
      <c r="Z1215" s="1"/>
    </row>
    <row r="1216" spans="1:26" ht="33.75" customHeight="1">
      <c r="A1216" s="1">
        <v>1257</v>
      </c>
      <c r="B1216" s="1" t="s">
        <v>3452</v>
      </c>
      <c r="C1216" s="1" t="s">
        <v>3255</v>
      </c>
      <c r="D1216" s="4">
        <v>39883.817361111112</v>
      </c>
      <c r="E1216" s="1" t="s">
        <v>14</v>
      </c>
      <c r="F1216" s="1"/>
      <c r="G1216" s="5" t="s">
        <v>39</v>
      </c>
      <c r="H1216" s="5" t="s">
        <v>3453</v>
      </c>
      <c r="I1216" s="1" t="s">
        <v>166</v>
      </c>
      <c r="J1216" s="1"/>
      <c r="K1216" s="1" t="s">
        <v>3454</v>
      </c>
      <c r="L1216" s="2" t="s">
        <v>3455</v>
      </c>
      <c r="M1216" s="1"/>
      <c r="N1216" s="1"/>
      <c r="O1216" s="1"/>
      <c r="P1216" s="1"/>
      <c r="Q1216" s="1"/>
      <c r="R1216" s="1"/>
      <c r="S1216" s="1"/>
      <c r="T1216" s="1"/>
      <c r="U1216" s="1"/>
      <c r="V1216" s="1"/>
      <c r="W1216" s="1"/>
      <c r="X1216" s="1"/>
      <c r="Y1216" s="1"/>
      <c r="Z1216" s="1"/>
    </row>
    <row r="1217" spans="1:26" ht="33.75" customHeight="1">
      <c r="A1217" s="1">
        <v>1142</v>
      </c>
      <c r="B1217" s="1" t="s">
        <v>3456</v>
      </c>
      <c r="C1217" s="1" t="s">
        <v>3156</v>
      </c>
      <c r="D1217" s="4">
        <v>39883.818749999999</v>
      </c>
      <c r="E1217" s="1" t="s">
        <v>314</v>
      </c>
      <c r="F1217" s="1"/>
      <c r="G1217" s="5" t="s">
        <v>15</v>
      </c>
      <c r="H1217" s="5" t="s">
        <v>55</v>
      </c>
      <c r="I1217" s="1" t="s">
        <v>3457</v>
      </c>
      <c r="J1217" s="1"/>
      <c r="K1217" s="1" t="s">
        <v>3458</v>
      </c>
      <c r="L1217" s="2" t="s">
        <v>3459</v>
      </c>
      <c r="M1217" s="1"/>
      <c r="N1217" s="1"/>
      <c r="O1217" s="1"/>
      <c r="P1217" s="1"/>
      <c r="Q1217" s="1"/>
      <c r="R1217" s="1"/>
      <c r="S1217" s="1"/>
      <c r="T1217" s="1"/>
      <c r="U1217" s="1"/>
      <c r="V1217" s="1"/>
      <c r="W1217" s="1"/>
      <c r="X1217" s="1"/>
      <c r="Y1217" s="1"/>
      <c r="Z1217" s="1"/>
    </row>
    <row r="1218" spans="1:26" ht="33.75" customHeight="1">
      <c r="A1218" s="1">
        <v>1260</v>
      </c>
      <c r="B1218" s="1" t="s">
        <v>3460</v>
      </c>
      <c r="C1218" s="1" t="s">
        <v>3255</v>
      </c>
      <c r="D1218" s="4">
        <v>39883.820833333331</v>
      </c>
      <c r="E1218" s="1" t="s">
        <v>3461</v>
      </c>
      <c r="F1218" s="1"/>
      <c r="G1218" s="5" t="s">
        <v>15</v>
      </c>
      <c r="H1218" s="5" t="s">
        <v>50</v>
      </c>
      <c r="I1218" s="1" t="s">
        <v>166</v>
      </c>
      <c r="J1218" s="1"/>
      <c r="K1218" s="1" t="s">
        <v>3462</v>
      </c>
      <c r="L1218" s="2" t="s">
        <v>3463</v>
      </c>
      <c r="M1218" s="1"/>
      <c r="N1218" s="1"/>
      <c r="O1218" s="1"/>
      <c r="P1218" s="1"/>
      <c r="Q1218" s="1"/>
      <c r="R1218" s="1"/>
      <c r="S1218" s="1"/>
      <c r="T1218" s="1"/>
      <c r="U1218" s="1"/>
      <c r="V1218" s="1"/>
      <c r="W1218" s="1"/>
      <c r="X1218" s="1"/>
      <c r="Y1218" s="1"/>
      <c r="Z1218" s="1"/>
    </row>
    <row r="1219" spans="1:26" ht="33.75" customHeight="1">
      <c r="A1219" s="1">
        <v>1143</v>
      </c>
      <c r="B1219" s="1" t="s">
        <v>3464</v>
      </c>
      <c r="C1219" s="1" t="s">
        <v>3156</v>
      </c>
      <c r="D1219" s="4">
        <v>39883.825694444444</v>
      </c>
      <c r="E1219" s="1" t="s">
        <v>14</v>
      </c>
      <c r="F1219" s="1" t="s">
        <v>3456</v>
      </c>
      <c r="G1219" s="5" t="s">
        <v>64</v>
      </c>
      <c r="H1219" s="5" t="s">
        <v>1053</v>
      </c>
      <c r="I1219" s="1" t="s">
        <v>2382</v>
      </c>
      <c r="J1219" s="1"/>
      <c r="K1219" s="1"/>
      <c r="L1219" s="2" t="s">
        <v>3465</v>
      </c>
      <c r="M1219" s="1"/>
      <c r="N1219" s="1"/>
      <c r="O1219" s="1"/>
      <c r="P1219" s="1"/>
      <c r="Q1219" s="1"/>
      <c r="R1219" s="1"/>
      <c r="S1219" s="1"/>
      <c r="T1219" s="1"/>
      <c r="U1219" s="1"/>
      <c r="V1219" s="1"/>
      <c r="W1219" s="1"/>
      <c r="X1219" s="1"/>
      <c r="Y1219" s="1"/>
      <c r="Z1219" s="1"/>
    </row>
    <row r="1220" spans="1:26" ht="33.75" customHeight="1">
      <c r="A1220" s="1">
        <v>1139</v>
      </c>
      <c r="B1220" s="1" t="s">
        <v>3466</v>
      </c>
      <c r="C1220" s="1" t="s">
        <v>3156</v>
      </c>
      <c r="D1220" s="4">
        <v>39883.832638888889</v>
      </c>
      <c r="E1220" s="1" t="s">
        <v>196</v>
      </c>
      <c r="F1220" s="1"/>
      <c r="G1220" s="5" t="s">
        <v>26</v>
      </c>
      <c r="H1220" s="5" t="s">
        <v>27</v>
      </c>
      <c r="I1220" s="1" t="s">
        <v>3467</v>
      </c>
      <c r="J1220" s="1"/>
      <c r="K1220" s="1"/>
      <c r="L1220" s="2" t="s">
        <v>3468</v>
      </c>
      <c r="M1220" s="1"/>
      <c r="N1220" s="1"/>
      <c r="O1220" s="1"/>
      <c r="P1220" s="1"/>
      <c r="Q1220" s="1"/>
      <c r="R1220" s="1"/>
      <c r="S1220" s="1"/>
      <c r="T1220" s="1"/>
      <c r="U1220" s="1"/>
      <c r="V1220" s="1"/>
      <c r="W1220" s="1"/>
      <c r="X1220" s="1"/>
      <c r="Y1220" s="1"/>
      <c r="Z1220" s="1"/>
    </row>
    <row r="1221" spans="1:26" ht="33.75" customHeight="1">
      <c r="A1221" s="1">
        <v>1140</v>
      </c>
      <c r="B1221" s="1" t="s">
        <v>3469</v>
      </c>
      <c r="C1221" s="1" t="s">
        <v>3156</v>
      </c>
      <c r="D1221" s="4">
        <v>39883.834722222222</v>
      </c>
      <c r="E1221" s="1" t="s">
        <v>14</v>
      </c>
      <c r="F1221" s="1" t="s">
        <v>3466</v>
      </c>
      <c r="G1221" s="5" t="s">
        <v>26</v>
      </c>
      <c r="H1221" s="5" t="s">
        <v>27</v>
      </c>
      <c r="I1221" s="1" t="s">
        <v>28</v>
      </c>
      <c r="J1221" s="1" t="s">
        <v>259</v>
      </c>
      <c r="K1221" s="1"/>
      <c r="L1221" s="2" t="s">
        <v>3470</v>
      </c>
      <c r="M1221" s="1"/>
      <c r="N1221" s="1"/>
      <c r="O1221" s="1"/>
      <c r="P1221" s="1"/>
      <c r="Q1221" s="1"/>
      <c r="R1221" s="1"/>
      <c r="S1221" s="1"/>
      <c r="T1221" s="1"/>
      <c r="U1221" s="1"/>
      <c r="V1221" s="1"/>
      <c r="W1221" s="1"/>
      <c r="X1221" s="1"/>
      <c r="Y1221" s="1"/>
      <c r="Z1221" s="1"/>
    </row>
    <row r="1222" spans="1:26" ht="33.75" customHeight="1">
      <c r="A1222" s="1">
        <v>1261</v>
      </c>
      <c r="B1222" s="1" t="s">
        <v>3471</v>
      </c>
      <c r="C1222" s="1" t="s">
        <v>3255</v>
      </c>
      <c r="D1222" s="4">
        <v>39883.836805555555</v>
      </c>
      <c r="E1222" s="1" t="s">
        <v>314</v>
      </c>
      <c r="F1222" s="1"/>
      <c r="G1222" s="5" t="s">
        <v>15</v>
      </c>
      <c r="H1222" s="5" t="s">
        <v>50</v>
      </c>
      <c r="I1222" s="1" t="s">
        <v>166</v>
      </c>
      <c r="J1222" s="1"/>
      <c r="K1222" s="1" t="s">
        <v>3472</v>
      </c>
      <c r="L1222" s="2" t="s">
        <v>3473</v>
      </c>
      <c r="M1222" s="1"/>
      <c r="N1222" s="1"/>
      <c r="O1222" s="1"/>
      <c r="P1222" s="1"/>
      <c r="Q1222" s="1"/>
      <c r="R1222" s="1"/>
      <c r="S1222" s="1"/>
      <c r="T1222" s="1"/>
      <c r="U1222" s="1"/>
      <c r="V1222" s="1"/>
      <c r="W1222" s="1"/>
      <c r="X1222" s="1"/>
      <c r="Y1222" s="1"/>
      <c r="Z1222" s="1"/>
    </row>
    <row r="1223" spans="1:26" ht="33.75" customHeight="1">
      <c r="A1223" s="1">
        <v>1144</v>
      </c>
      <c r="B1223" s="1" t="s">
        <v>3474</v>
      </c>
      <c r="C1223" s="1" t="s">
        <v>3156</v>
      </c>
      <c r="D1223" s="4">
        <v>39883.841666666667</v>
      </c>
      <c r="E1223" s="1" t="s">
        <v>14</v>
      </c>
      <c r="F1223" s="1" t="s">
        <v>3366</v>
      </c>
      <c r="G1223" s="5" t="s">
        <v>26</v>
      </c>
      <c r="H1223" s="5" t="s">
        <v>133</v>
      </c>
      <c r="I1223" s="1" t="s">
        <v>28</v>
      </c>
      <c r="J1223" s="1" t="s">
        <v>134</v>
      </c>
      <c r="K1223" s="1"/>
      <c r="L1223" s="2" t="s">
        <v>3475</v>
      </c>
      <c r="M1223" s="1"/>
      <c r="N1223" s="1"/>
      <c r="O1223" s="1"/>
      <c r="P1223" s="1"/>
      <c r="Q1223" s="1"/>
      <c r="R1223" s="1"/>
      <c r="S1223" s="1"/>
      <c r="T1223" s="1"/>
      <c r="U1223" s="1"/>
      <c r="V1223" s="1"/>
      <c r="W1223" s="1"/>
      <c r="X1223" s="1"/>
      <c r="Y1223" s="1"/>
      <c r="Z1223" s="1"/>
    </row>
    <row r="1224" spans="1:26" ht="33.75" customHeight="1">
      <c r="A1224" s="1">
        <v>1262</v>
      </c>
      <c r="B1224" s="1" t="s">
        <v>3476</v>
      </c>
      <c r="C1224" s="1" t="s">
        <v>3255</v>
      </c>
      <c r="D1224" s="4">
        <v>39883.844444444447</v>
      </c>
      <c r="E1224" s="1" t="s">
        <v>14</v>
      </c>
      <c r="F1224" s="1" t="s">
        <v>3471</v>
      </c>
      <c r="G1224" s="5" t="s">
        <v>15</v>
      </c>
      <c r="H1224" s="5" t="s">
        <v>50</v>
      </c>
      <c r="I1224" s="1" t="s">
        <v>2382</v>
      </c>
      <c r="J1224" s="1"/>
      <c r="K1224" s="1" t="s">
        <v>3477</v>
      </c>
      <c r="L1224" s="2" t="s">
        <v>3478</v>
      </c>
      <c r="M1224" s="1"/>
      <c r="N1224" s="1"/>
      <c r="O1224" s="1"/>
      <c r="P1224" s="1"/>
      <c r="Q1224" s="1"/>
      <c r="R1224" s="1"/>
      <c r="S1224" s="1"/>
      <c r="T1224" s="1"/>
      <c r="U1224" s="1"/>
      <c r="V1224" s="1"/>
      <c r="W1224" s="1"/>
      <c r="X1224" s="1"/>
      <c r="Y1224" s="1"/>
      <c r="Z1224" s="1"/>
    </row>
    <row r="1225" spans="1:26" ht="33.75" customHeight="1">
      <c r="A1225" s="1">
        <v>1145</v>
      </c>
      <c r="B1225" s="1" t="s">
        <v>3479</v>
      </c>
      <c r="C1225" s="1" t="s">
        <v>3156</v>
      </c>
      <c r="D1225" s="4">
        <v>39883.869444444441</v>
      </c>
      <c r="E1225" s="1" t="s">
        <v>196</v>
      </c>
      <c r="F1225" s="1" t="s">
        <v>3474</v>
      </c>
      <c r="G1225" s="5" t="s">
        <v>26</v>
      </c>
      <c r="H1225" s="5" t="s">
        <v>27</v>
      </c>
      <c r="I1225" s="1" t="s">
        <v>28</v>
      </c>
      <c r="J1225" s="1" t="s">
        <v>259</v>
      </c>
      <c r="K1225" s="1"/>
      <c r="L1225" s="2" t="s">
        <v>3480</v>
      </c>
      <c r="M1225" s="1"/>
      <c r="N1225" s="1"/>
      <c r="O1225" s="1"/>
      <c r="P1225" s="1"/>
      <c r="Q1225" s="1"/>
      <c r="R1225" s="1"/>
      <c r="S1225" s="1"/>
      <c r="T1225" s="1"/>
      <c r="U1225" s="1"/>
      <c r="V1225" s="1"/>
      <c r="W1225" s="1"/>
      <c r="X1225" s="1"/>
      <c r="Y1225" s="1"/>
      <c r="Z1225" s="1"/>
    </row>
    <row r="1226" spans="1:26" ht="33.75" customHeight="1">
      <c r="A1226" s="1">
        <v>1265</v>
      </c>
      <c r="B1226" s="1" t="s">
        <v>3481</v>
      </c>
      <c r="C1226" s="1" t="s">
        <v>3255</v>
      </c>
      <c r="D1226" s="4">
        <v>39883.908333333333</v>
      </c>
      <c r="E1226" s="1" t="s">
        <v>54</v>
      </c>
      <c r="F1226" s="1"/>
      <c r="G1226" s="5" t="s">
        <v>39</v>
      </c>
      <c r="H1226" s="5" t="s">
        <v>3453</v>
      </c>
      <c r="I1226" s="1" t="s">
        <v>166</v>
      </c>
      <c r="J1226" s="1"/>
      <c r="K1226" s="1" t="s">
        <v>3482</v>
      </c>
      <c r="L1226" s="2" t="s">
        <v>3483</v>
      </c>
      <c r="M1226" s="1"/>
      <c r="N1226" s="1"/>
      <c r="O1226" s="1"/>
      <c r="P1226" s="1"/>
      <c r="Q1226" s="1"/>
      <c r="R1226" s="1"/>
      <c r="S1226" s="1"/>
      <c r="T1226" s="1"/>
      <c r="U1226" s="1"/>
      <c r="V1226" s="1"/>
      <c r="W1226" s="1"/>
      <c r="X1226" s="1"/>
      <c r="Y1226" s="1"/>
      <c r="Z1226" s="1"/>
    </row>
    <row r="1227" spans="1:26" ht="33.75" customHeight="1">
      <c r="A1227" s="1">
        <v>1267</v>
      </c>
      <c r="B1227" s="1" t="s">
        <v>3484</v>
      </c>
      <c r="C1227" s="1" t="s">
        <v>3255</v>
      </c>
      <c r="D1227" s="4">
        <v>39883.911111111112</v>
      </c>
      <c r="E1227" s="1" t="s">
        <v>3485</v>
      </c>
      <c r="F1227" s="1"/>
      <c r="G1227" s="5" t="s">
        <v>15</v>
      </c>
      <c r="H1227" s="5" t="s">
        <v>22</v>
      </c>
      <c r="I1227" s="1" t="s">
        <v>166</v>
      </c>
      <c r="J1227" s="1"/>
      <c r="K1227" s="1" t="s">
        <v>3486</v>
      </c>
      <c r="L1227" s="2" t="s">
        <v>3487</v>
      </c>
      <c r="M1227" s="1"/>
      <c r="N1227" s="1"/>
      <c r="O1227" s="1"/>
      <c r="P1227" s="1"/>
      <c r="Q1227" s="1"/>
      <c r="R1227" s="1"/>
      <c r="S1227" s="1"/>
      <c r="T1227" s="1"/>
      <c r="U1227" s="1"/>
      <c r="V1227" s="1"/>
      <c r="W1227" s="1"/>
      <c r="X1227" s="1"/>
      <c r="Y1227" s="1"/>
      <c r="Z1227" s="1"/>
    </row>
    <row r="1228" spans="1:26" ht="33.75" customHeight="1">
      <c r="A1228" s="1">
        <v>1268</v>
      </c>
      <c r="B1228" s="1" t="s">
        <v>3488</v>
      </c>
      <c r="C1228" s="1" t="s">
        <v>3255</v>
      </c>
      <c r="D1228" s="4">
        <v>39883.929861111108</v>
      </c>
      <c r="E1228" s="1" t="s">
        <v>14</v>
      </c>
      <c r="F1228" s="1" t="s">
        <v>3484</v>
      </c>
      <c r="G1228" s="5" t="s">
        <v>15</v>
      </c>
      <c r="H1228" s="5" t="s">
        <v>16</v>
      </c>
      <c r="I1228" s="1" t="s">
        <v>166</v>
      </c>
      <c r="J1228" s="1"/>
      <c r="K1228" s="1" t="s">
        <v>259</v>
      </c>
      <c r="L1228" s="2" t="s">
        <v>3489</v>
      </c>
      <c r="M1228" s="1"/>
      <c r="N1228" s="1"/>
      <c r="O1228" s="1"/>
      <c r="P1228" s="1"/>
      <c r="Q1228" s="1"/>
      <c r="R1228" s="1"/>
      <c r="S1228" s="1"/>
      <c r="T1228" s="1"/>
      <c r="U1228" s="1"/>
      <c r="V1228" s="1"/>
      <c r="W1228" s="1"/>
      <c r="X1228" s="1"/>
      <c r="Y1228" s="1"/>
      <c r="Z1228" s="1"/>
    </row>
    <row r="1229" spans="1:26" ht="33.75" customHeight="1">
      <c r="A1229" s="1">
        <v>1146</v>
      </c>
      <c r="B1229" s="1" t="s">
        <v>3490</v>
      </c>
      <c r="C1229" s="1" t="s">
        <v>3156</v>
      </c>
      <c r="D1229" s="4">
        <v>39883.944444444445</v>
      </c>
      <c r="E1229" s="1" t="s">
        <v>196</v>
      </c>
      <c r="F1229" s="1"/>
      <c r="G1229" s="5" t="s">
        <v>64</v>
      </c>
      <c r="H1229" s="5" t="s">
        <v>684</v>
      </c>
      <c r="I1229" s="1" t="s">
        <v>3491</v>
      </c>
      <c r="J1229" s="1"/>
      <c r="K1229" s="1"/>
      <c r="L1229" s="2" t="s">
        <v>3492</v>
      </c>
      <c r="M1229" s="1"/>
      <c r="N1229" s="1"/>
      <c r="O1229" s="1"/>
      <c r="P1229" s="1"/>
      <c r="Q1229" s="1"/>
      <c r="R1229" s="1"/>
      <c r="S1229" s="1"/>
      <c r="T1229" s="1"/>
      <c r="U1229" s="1"/>
      <c r="V1229" s="1"/>
      <c r="W1229" s="1"/>
      <c r="X1229" s="1"/>
      <c r="Y1229" s="1"/>
      <c r="Z1229" s="1"/>
    </row>
    <row r="1230" spans="1:26" ht="33.75" customHeight="1">
      <c r="A1230" s="1">
        <v>1150</v>
      </c>
      <c r="B1230" s="1" t="s">
        <v>3493</v>
      </c>
      <c r="C1230" s="1" t="s">
        <v>3156</v>
      </c>
      <c r="D1230" s="4">
        <v>39883.946527777778</v>
      </c>
      <c r="E1230" s="1" t="s">
        <v>320</v>
      </c>
      <c r="F1230" s="1">
        <v>1010.1</v>
      </c>
      <c r="G1230" s="5" t="s">
        <v>15</v>
      </c>
      <c r="H1230" s="5" t="s">
        <v>55</v>
      </c>
      <c r="I1230" s="1" t="s">
        <v>3494</v>
      </c>
      <c r="J1230" s="1"/>
      <c r="K1230" s="1"/>
      <c r="L1230" s="2" t="s">
        <v>3495</v>
      </c>
      <c r="M1230" s="1"/>
      <c r="N1230" s="1"/>
      <c r="O1230" s="1"/>
      <c r="P1230" s="1"/>
      <c r="Q1230" s="1"/>
      <c r="R1230" s="1"/>
      <c r="S1230" s="1"/>
      <c r="T1230" s="1"/>
      <c r="U1230" s="1"/>
      <c r="V1230" s="1"/>
      <c r="W1230" s="1"/>
      <c r="X1230" s="1"/>
      <c r="Y1230" s="1"/>
      <c r="Z1230" s="1"/>
    </row>
    <row r="1231" spans="1:26" ht="33.75" customHeight="1">
      <c r="A1231" s="1">
        <v>1147</v>
      </c>
      <c r="B1231" s="1" t="s">
        <v>3496</v>
      </c>
      <c r="C1231" s="1" t="s">
        <v>3156</v>
      </c>
      <c r="D1231" s="4">
        <v>39883.950694444444</v>
      </c>
      <c r="E1231" s="1" t="s">
        <v>14</v>
      </c>
      <c r="F1231" s="1"/>
      <c r="G1231" s="5" t="s">
        <v>64</v>
      </c>
      <c r="H1231" s="1"/>
      <c r="I1231" s="1" t="s">
        <v>64</v>
      </c>
      <c r="J1231" s="1"/>
      <c r="K1231" s="1"/>
      <c r="L1231" s="2" t="s">
        <v>3497</v>
      </c>
      <c r="M1231" s="1"/>
      <c r="N1231" s="1"/>
      <c r="O1231" s="1"/>
      <c r="P1231" s="1"/>
      <c r="Q1231" s="1"/>
      <c r="R1231" s="1"/>
      <c r="S1231" s="1"/>
      <c r="T1231" s="1"/>
      <c r="U1231" s="1"/>
      <c r="V1231" s="1"/>
      <c r="W1231" s="1"/>
      <c r="X1231" s="1"/>
      <c r="Y1231" s="1"/>
      <c r="Z1231" s="1"/>
    </row>
    <row r="1232" spans="1:26" ht="33.75" customHeight="1">
      <c r="A1232" s="1">
        <v>1151</v>
      </c>
      <c r="B1232" s="1" t="s">
        <v>3498</v>
      </c>
      <c r="C1232" s="1" t="s">
        <v>3156</v>
      </c>
      <c r="D1232" s="4">
        <v>39883.951388888891</v>
      </c>
      <c r="E1232" s="1" t="s">
        <v>14</v>
      </c>
      <c r="F1232" s="1" t="s">
        <v>3493</v>
      </c>
      <c r="G1232" s="5" t="s">
        <v>39</v>
      </c>
      <c r="H1232" s="5" t="s">
        <v>3499</v>
      </c>
      <c r="I1232" s="1" t="s">
        <v>3500</v>
      </c>
      <c r="J1232" s="1"/>
      <c r="K1232" s="1"/>
      <c r="L1232" s="2" t="s">
        <v>3501</v>
      </c>
      <c r="M1232" s="1"/>
      <c r="N1232" s="1"/>
      <c r="O1232" s="1"/>
      <c r="P1232" s="1"/>
      <c r="Q1232" s="1"/>
      <c r="R1232" s="1"/>
      <c r="S1232" s="1"/>
      <c r="T1232" s="1"/>
      <c r="U1232" s="1"/>
      <c r="V1232" s="1"/>
      <c r="W1232" s="1"/>
      <c r="X1232" s="1"/>
      <c r="Y1232" s="1"/>
      <c r="Z1232" s="1"/>
    </row>
    <row r="1233" spans="1:26" ht="33.75" customHeight="1">
      <c r="A1233" s="1">
        <v>1272</v>
      </c>
      <c r="B1233" s="1" t="s">
        <v>3502</v>
      </c>
      <c r="C1233" s="1" t="s">
        <v>3255</v>
      </c>
      <c r="D1233" s="4">
        <v>39883.96597222222</v>
      </c>
      <c r="E1233" s="1" t="s">
        <v>393</v>
      </c>
      <c r="F1233" s="1"/>
      <c r="G1233" s="5" t="s">
        <v>15</v>
      </c>
      <c r="H1233" s="5" t="s">
        <v>50</v>
      </c>
      <c r="I1233" s="1" t="s">
        <v>166</v>
      </c>
      <c r="J1233" s="1"/>
      <c r="K1233" s="1" t="s">
        <v>3503</v>
      </c>
      <c r="L1233" s="2" t="s">
        <v>3504</v>
      </c>
      <c r="M1233" s="1"/>
      <c r="N1233" s="1"/>
      <c r="O1233" s="1"/>
      <c r="P1233" s="1"/>
      <c r="Q1233" s="1"/>
      <c r="R1233" s="1"/>
      <c r="S1233" s="1"/>
      <c r="T1233" s="1"/>
      <c r="U1233" s="1"/>
      <c r="V1233" s="1"/>
      <c r="W1233" s="1"/>
      <c r="X1233" s="1"/>
      <c r="Y1233" s="1"/>
      <c r="Z1233" s="1"/>
    </row>
    <row r="1234" spans="1:26" ht="33.75" customHeight="1">
      <c r="A1234" s="1">
        <v>1275</v>
      </c>
      <c r="B1234" s="1" t="s">
        <v>3505</v>
      </c>
      <c r="C1234" s="1" t="s">
        <v>3255</v>
      </c>
      <c r="D1234" s="4">
        <v>39883.970833333333</v>
      </c>
      <c r="E1234" s="1" t="s">
        <v>54</v>
      </c>
      <c r="F1234" s="1"/>
      <c r="G1234" s="5" t="s">
        <v>15</v>
      </c>
      <c r="H1234" s="5" t="s">
        <v>50</v>
      </c>
      <c r="I1234" s="1" t="s">
        <v>166</v>
      </c>
      <c r="J1234" s="1"/>
      <c r="K1234" s="1" t="s">
        <v>3506</v>
      </c>
      <c r="L1234" s="2" t="s">
        <v>3507</v>
      </c>
      <c r="M1234" s="1"/>
      <c r="N1234" s="1"/>
      <c r="O1234" s="1"/>
      <c r="P1234" s="1"/>
      <c r="Q1234" s="1"/>
      <c r="R1234" s="1"/>
      <c r="S1234" s="1"/>
      <c r="T1234" s="1"/>
      <c r="U1234" s="1"/>
      <c r="V1234" s="1"/>
      <c r="W1234" s="1"/>
      <c r="X1234" s="1"/>
      <c r="Y1234" s="1"/>
      <c r="Z1234" s="1"/>
    </row>
    <row r="1235" spans="1:26" ht="33.75" customHeight="1">
      <c r="A1235" s="1">
        <v>1152</v>
      </c>
      <c r="B1235" s="1" t="s">
        <v>3508</v>
      </c>
      <c r="C1235" s="1" t="s">
        <v>3156</v>
      </c>
      <c r="D1235" s="4">
        <v>39883.986111111109</v>
      </c>
      <c r="E1235" s="1" t="s">
        <v>320</v>
      </c>
      <c r="F1235" s="1"/>
      <c r="G1235" s="5" t="s">
        <v>64</v>
      </c>
      <c r="H1235" s="1"/>
      <c r="I1235" s="1" t="s">
        <v>64</v>
      </c>
      <c r="J1235" s="1"/>
      <c r="K1235" s="1"/>
      <c r="L1235" s="2" t="s">
        <v>3509</v>
      </c>
      <c r="M1235" s="1"/>
      <c r="N1235" s="1"/>
      <c r="O1235" s="1"/>
      <c r="P1235" s="1"/>
      <c r="Q1235" s="1"/>
      <c r="R1235" s="1"/>
      <c r="S1235" s="1"/>
      <c r="T1235" s="1"/>
      <c r="U1235" s="1"/>
      <c r="V1235" s="1"/>
      <c r="W1235" s="1"/>
      <c r="X1235" s="1"/>
      <c r="Y1235" s="1"/>
      <c r="Z1235" s="1"/>
    </row>
    <row r="1236" spans="1:26" ht="33.75" customHeight="1">
      <c r="A1236" s="1">
        <v>1148</v>
      </c>
      <c r="B1236" s="1" t="s">
        <v>3510</v>
      </c>
      <c r="C1236" s="1" t="s">
        <v>3156</v>
      </c>
      <c r="D1236" s="4">
        <v>39883.987500000003</v>
      </c>
      <c r="E1236" s="1" t="s">
        <v>196</v>
      </c>
      <c r="F1236" s="1"/>
      <c r="G1236" s="5" t="s">
        <v>15</v>
      </c>
      <c r="H1236" s="5" t="s">
        <v>150</v>
      </c>
      <c r="I1236" s="1" t="s">
        <v>3511</v>
      </c>
      <c r="J1236" s="1"/>
      <c r="K1236" s="1"/>
      <c r="L1236" s="2" t="s">
        <v>3512</v>
      </c>
      <c r="M1236" s="1"/>
      <c r="N1236" s="1"/>
      <c r="O1236" s="1"/>
      <c r="P1236" s="1"/>
      <c r="Q1236" s="1"/>
      <c r="R1236" s="1"/>
      <c r="S1236" s="1"/>
      <c r="T1236" s="1"/>
      <c r="U1236" s="1"/>
      <c r="V1236" s="1"/>
      <c r="W1236" s="1"/>
      <c r="X1236" s="1"/>
      <c r="Y1236" s="1"/>
      <c r="Z1236" s="1"/>
    </row>
    <row r="1237" spans="1:26" ht="33.75" customHeight="1">
      <c r="A1237" s="1">
        <v>1153</v>
      </c>
      <c r="B1237" s="1" t="s">
        <v>3513</v>
      </c>
      <c r="C1237" s="1" t="s">
        <v>3156</v>
      </c>
      <c r="D1237" s="4">
        <v>39883.995138888888</v>
      </c>
      <c r="E1237" s="1" t="s">
        <v>320</v>
      </c>
      <c r="F1237" s="1" t="s">
        <v>3508</v>
      </c>
      <c r="G1237" s="5" t="s">
        <v>15</v>
      </c>
      <c r="H1237" s="5" t="s">
        <v>150</v>
      </c>
      <c r="I1237" s="1" t="s">
        <v>2382</v>
      </c>
      <c r="J1237" s="1"/>
      <c r="K1237" s="1" t="s">
        <v>3514</v>
      </c>
      <c r="L1237" s="2" t="s">
        <v>3515</v>
      </c>
      <c r="M1237" s="1"/>
      <c r="N1237" s="1"/>
      <c r="O1237" s="1"/>
      <c r="P1237" s="1"/>
      <c r="Q1237" s="1"/>
      <c r="R1237" s="1"/>
      <c r="S1237" s="1"/>
      <c r="T1237" s="1"/>
      <c r="U1237" s="1"/>
      <c r="V1237" s="1"/>
      <c r="W1237" s="1"/>
      <c r="X1237" s="1"/>
      <c r="Y1237" s="1"/>
      <c r="Z1237" s="1"/>
    </row>
    <row r="1238" spans="1:26" ht="33.75" customHeight="1">
      <c r="A1238" s="1">
        <v>1874</v>
      </c>
      <c r="B1238" s="1" t="s">
        <v>3516</v>
      </c>
      <c r="C1238" s="1" t="s">
        <v>2870</v>
      </c>
      <c r="D1238" s="4">
        <v>39884.025694444441</v>
      </c>
      <c r="E1238" s="1" t="s">
        <v>1887</v>
      </c>
      <c r="F1238" s="1" t="s">
        <v>3381</v>
      </c>
      <c r="G1238" s="5" t="s">
        <v>64</v>
      </c>
      <c r="H1238" s="5" t="s">
        <v>375</v>
      </c>
      <c r="I1238" s="1" t="s">
        <v>900</v>
      </c>
      <c r="J1238" s="1"/>
      <c r="K1238" s="1"/>
      <c r="L1238" s="2" t="s">
        <v>3517</v>
      </c>
      <c r="M1238" s="1"/>
      <c r="N1238" s="1"/>
      <c r="O1238" s="1"/>
      <c r="P1238" s="1"/>
      <c r="Q1238" s="1"/>
      <c r="R1238" s="1"/>
      <c r="S1238" s="1"/>
      <c r="T1238" s="1"/>
      <c r="U1238" s="1"/>
      <c r="V1238" s="1"/>
      <c r="W1238" s="1"/>
      <c r="X1238" s="1"/>
      <c r="Y1238" s="1"/>
      <c r="Z1238" s="1"/>
    </row>
    <row r="1239" spans="1:26" ht="33.75" customHeight="1">
      <c r="A1239" s="1">
        <v>1269</v>
      </c>
      <c r="B1239" s="1" t="s">
        <v>3518</v>
      </c>
      <c r="C1239" s="1" t="s">
        <v>3255</v>
      </c>
      <c r="D1239" s="4">
        <v>39884.027083333334</v>
      </c>
      <c r="E1239" s="1" t="s">
        <v>3485</v>
      </c>
      <c r="F1239" s="1"/>
      <c r="G1239" s="5" t="s">
        <v>15</v>
      </c>
      <c r="H1239" s="5" t="s">
        <v>50</v>
      </c>
      <c r="I1239" s="1" t="s">
        <v>166</v>
      </c>
      <c r="J1239" s="1"/>
      <c r="K1239" s="1" t="s">
        <v>3519</v>
      </c>
      <c r="L1239" s="2" t="s">
        <v>3520</v>
      </c>
      <c r="M1239" s="1"/>
      <c r="N1239" s="1"/>
      <c r="O1239" s="1"/>
      <c r="P1239" s="1"/>
      <c r="Q1239" s="1"/>
      <c r="R1239" s="1"/>
      <c r="S1239" s="1"/>
      <c r="T1239" s="1"/>
      <c r="U1239" s="1"/>
      <c r="V1239" s="1"/>
      <c r="W1239" s="1"/>
      <c r="X1239" s="1"/>
      <c r="Y1239" s="1"/>
      <c r="Z1239" s="1"/>
    </row>
    <row r="1240" spans="1:26" ht="33.75" customHeight="1">
      <c r="A1240" s="1">
        <v>1276</v>
      </c>
      <c r="B1240" s="1" t="s">
        <v>3521</v>
      </c>
      <c r="C1240" s="1" t="s">
        <v>3255</v>
      </c>
      <c r="D1240" s="4">
        <v>39884.031944444447</v>
      </c>
      <c r="E1240" s="1" t="s">
        <v>84</v>
      </c>
      <c r="F1240" s="1"/>
      <c r="G1240" s="5" t="s">
        <v>64</v>
      </c>
      <c r="H1240" s="5" t="s">
        <v>1053</v>
      </c>
      <c r="I1240" s="1" t="s">
        <v>3522</v>
      </c>
      <c r="J1240" s="1"/>
      <c r="K1240" s="1" t="s">
        <v>3523</v>
      </c>
      <c r="L1240" s="2" t="s">
        <v>3524</v>
      </c>
      <c r="M1240" s="1"/>
      <c r="N1240" s="1"/>
      <c r="O1240" s="1"/>
      <c r="P1240" s="1"/>
      <c r="Q1240" s="1"/>
      <c r="R1240" s="1"/>
      <c r="S1240" s="1"/>
      <c r="T1240" s="1"/>
      <c r="U1240" s="1"/>
      <c r="V1240" s="1"/>
      <c r="W1240" s="1"/>
      <c r="X1240" s="1"/>
      <c r="Y1240" s="1"/>
      <c r="Z1240" s="1"/>
    </row>
    <row r="1241" spans="1:26" ht="33.75" customHeight="1">
      <c r="A1241" s="1">
        <v>1277</v>
      </c>
      <c r="B1241" s="1" t="s">
        <v>3525</v>
      </c>
      <c r="C1241" s="1" t="s">
        <v>3255</v>
      </c>
      <c r="D1241" s="4">
        <v>39884.040277777778</v>
      </c>
      <c r="E1241" s="1" t="s">
        <v>3280</v>
      </c>
      <c r="F1241" s="1" t="s">
        <v>3476</v>
      </c>
      <c r="G1241" s="5" t="s">
        <v>26</v>
      </c>
      <c r="H1241" s="5" t="s">
        <v>27</v>
      </c>
      <c r="I1241" s="1" t="s">
        <v>28</v>
      </c>
      <c r="J1241" s="1" t="s">
        <v>259</v>
      </c>
      <c r="K1241" s="1"/>
      <c r="L1241" s="2" t="s">
        <v>3526</v>
      </c>
      <c r="M1241" s="1"/>
      <c r="N1241" s="1"/>
      <c r="O1241" s="1"/>
      <c r="P1241" s="1"/>
      <c r="Q1241" s="1"/>
      <c r="R1241" s="1"/>
      <c r="S1241" s="1"/>
      <c r="T1241" s="1"/>
      <c r="U1241" s="1"/>
      <c r="V1241" s="1"/>
      <c r="W1241" s="1"/>
      <c r="X1241" s="1"/>
      <c r="Y1241" s="1"/>
      <c r="Z1241" s="1"/>
    </row>
    <row r="1242" spans="1:26" ht="33.75" customHeight="1">
      <c r="A1242" s="1">
        <v>1278</v>
      </c>
      <c r="B1242" s="1" t="s">
        <v>3527</v>
      </c>
      <c r="C1242" s="1" t="s">
        <v>3255</v>
      </c>
      <c r="D1242" s="4">
        <v>39884.061805555553</v>
      </c>
      <c r="E1242" s="1" t="s">
        <v>14</v>
      </c>
      <c r="F1242" s="1" t="s">
        <v>3525</v>
      </c>
      <c r="G1242" s="5" t="s">
        <v>26</v>
      </c>
      <c r="H1242" s="5" t="s">
        <v>27</v>
      </c>
      <c r="I1242" s="1" t="s">
        <v>28</v>
      </c>
      <c r="J1242" s="1" t="s">
        <v>259</v>
      </c>
      <c r="K1242" s="1"/>
      <c r="L1242" s="2" t="s">
        <v>3528</v>
      </c>
      <c r="M1242" s="1"/>
      <c r="N1242" s="1"/>
      <c r="O1242" s="1"/>
      <c r="P1242" s="1"/>
      <c r="Q1242" s="1"/>
      <c r="R1242" s="1"/>
      <c r="S1242" s="1"/>
      <c r="T1242" s="1"/>
      <c r="U1242" s="1"/>
      <c r="V1242" s="1"/>
      <c r="W1242" s="1"/>
      <c r="X1242" s="1"/>
      <c r="Y1242" s="1"/>
      <c r="Z1242" s="1"/>
    </row>
    <row r="1243" spans="1:26" ht="33.75" customHeight="1">
      <c r="A1243" s="1">
        <v>1149</v>
      </c>
      <c r="B1243" s="1" t="s">
        <v>3529</v>
      </c>
      <c r="C1243" s="1" t="s">
        <v>3156</v>
      </c>
      <c r="D1243" s="4">
        <v>39884.066666666666</v>
      </c>
      <c r="E1243" s="1" t="s">
        <v>14</v>
      </c>
      <c r="F1243" s="1"/>
      <c r="G1243" s="6" t="s">
        <v>78</v>
      </c>
      <c r="H1243" s="5" t="s">
        <v>223</v>
      </c>
      <c r="I1243" s="1" t="s">
        <v>3530</v>
      </c>
      <c r="J1243" s="1"/>
      <c r="K1243" s="1"/>
      <c r="L1243" s="2" t="s">
        <v>3531</v>
      </c>
      <c r="M1243" s="1"/>
      <c r="N1243" s="1"/>
      <c r="O1243" s="1"/>
      <c r="P1243" s="1"/>
      <c r="Q1243" s="1"/>
      <c r="R1243" s="1"/>
      <c r="S1243" s="1"/>
      <c r="T1243" s="1"/>
      <c r="U1243" s="1"/>
      <c r="V1243" s="1"/>
      <c r="W1243" s="1"/>
      <c r="X1243" s="1"/>
      <c r="Y1243" s="1"/>
      <c r="Z1243" s="1"/>
    </row>
    <row r="1244" spans="1:26" ht="33.75" customHeight="1">
      <c r="A1244" s="1">
        <v>1263</v>
      </c>
      <c r="B1244" s="1" t="s">
        <v>3532</v>
      </c>
      <c r="C1244" s="1" t="s">
        <v>3255</v>
      </c>
      <c r="D1244" s="4">
        <v>39884.213888888888</v>
      </c>
      <c r="E1244" s="1" t="s">
        <v>3533</v>
      </c>
      <c r="F1244" s="1" t="s">
        <v>3476</v>
      </c>
      <c r="G1244" s="5" t="s">
        <v>26</v>
      </c>
      <c r="H1244" s="5" t="s">
        <v>27</v>
      </c>
      <c r="I1244" s="1" t="s">
        <v>28</v>
      </c>
      <c r="J1244" s="1" t="s">
        <v>259</v>
      </c>
      <c r="K1244" s="1"/>
      <c r="L1244" s="2" t="s">
        <v>3534</v>
      </c>
      <c r="M1244" s="1"/>
      <c r="N1244" s="1"/>
      <c r="O1244" s="1"/>
      <c r="P1244" s="1"/>
      <c r="Q1244" s="1"/>
      <c r="R1244" s="1"/>
      <c r="S1244" s="1"/>
      <c r="T1244" s="1"/>
      <c r="U1244" s="1"/>
      <c r="V1244" s="1"/>
      <c r="W1244" s="1"/>
      <c r="X1244" s="1"/>
      <c r="Y1244" s="1"/>
      <c r="Z1244" s="1"/>
    </row>
    <row r="1245" spans="1:26" ht="33.75" customHeight="1">
      <c r="A1245" s="1">
        <v>1258</v>
      </c>
      <c r="B1245" s="1" t="s">
        <v>3535</v>
      </c>
      <c r="C1245" s="1" t="s">
        <v>3255</v>
      </c>
      <c r="D1245" s="4">
        <v>39884.222222222219</v>
      </c>
      <c r="E1245" s="1" t="s">
        <v>320</v>
      </c>
      <c r="F1245" s="1"/>
      <c r="G1245" s="5" t="s">
        <v>26</v>
      </c>
      <c r="H1245" s="5" t="s">
        <v>133</v>
      </c>
      <c r="I1245" s="1" t="s">
        <v>28</v>
      </c>
      <c r="J1245" s="1" t="s">
        <v>134</v>
      </c>
      <c r="K1245" s="1"/>
      <c r="L1245" s="2" t="s">
        <v>3536</v>
      </c>
      <c r="M1245" s="1"/>
      <c r="N1245" s="1"/>
      <c r="O1245" s="1"/>
      <c r="P1245" s="1"/>
      <c r="Q1245" s="1"/>
      <c r="R1245" s="1"/>
      <c r="S1245" s="1"/>
      <c r="T1245" s="1"/>
      <c r="U1245" s="1"/>
      <c r="V1245" s="1"/>
      <c r="W1245" s="1"/>
      <c r="X1245" s="1"/>
      <c r="Y1245" s="1"/>
      <c r="Z1245" s="1"/>
    </row>
    <row r="1246" spans="1:26" ht="33.75" customHeight="1">
      <c r="A1246" s="1">
        <v>1875</v>
      </c>
      <c r="B1246" s="1" t="s">
        <v>3537</v>
      </c>
      <c r="C1246" s="1" t="s">
        <v>2870</v>
      </c>
      <c r="D1246" s="4">
        <v>39884.242361111108</v>
      </c>
      <c r="E1246" s="1" t="s">
        <v>84</v>
      </c>
      <c r="F1246" s="1" t="s">
        <v>3538</v>
      </c>
      <c r="G1246" s="5" t="s">
        <v>64</v>
      </c>
      <c r="H1246" s="1"/>
      <c r="I1246" s="1" t="s">
        <v>64</v>
      </c>
      <c r="J1246" s="1"/>
      <c r="K1246" s="1"/>
      <c r="L1246" s="2" t="s">
        <v>3539</v>
      </c>
      <c r="M1246" s="1"/>
      <c r="N1246" s="1"/>
      <c r="O1246" s="1"/>
      <c r="P1246" s="1"/>
      <c r="Q1246" s="1"/>
      <c r="R1246" s="1"/>
      <c r="S1246" s="1"/>
      <c r="T1246" s="1"/>
      <c r="U1246" s="1"/>
      <c r="V1246" s="1"/>
      <c r="W1246" s="1"/>
      <c r="X1246" s="1"/>
      <c r="Y1246" s="1"/>
      <c r="Z1246" s="1"/>
    </row>
    <row r="1247" spans="1:26" ht="33.75" customHeight="1">
      <c r="A1247" s="1">
        <v>1154</v>
      </c>
      <c r="B1247" s="1" t="s">
        <v>3540</v>
      </c>
      <c r="C1247" s="1" t="s">
        <v>3156</v>
      </c>
      <c r="D1247" s="4">
        <v>39884.25</v>
      </c>
      <c r="E1247" s="1" t="s">
        <v>320</v>
      </c>
      <c r="F1247" s="1" t="s">
        <v>3508</v>
      </c>
      <c r="G1247" s="5" t="s">
        <v>15</v>
      </c>
      <c r="H1247" s="5" t="s">
        <v>55</v>
      </c>
      <c r="I1247" s="1" t="s">
        <v>2382</v>
      </c>
      <c r="J1247" s="1"/>
      <c r="K1247" s="1"/>
      <c r="L1247" s="2" t="s">
        <v>3541</v>
      </c>
      <c r="M1247" s="1"/>
      <c r="N1247" s="1"/>
      <c r="O1247" s="1"/>
      <c r="P1247" s="1"/>
      <c r="Q1247" s="1"/>
      <c r="R1247" s="1"/>
      <c r="S1247" s="1"/>
      <c r="T1247" s="1"/>
      <c r="U1247" s="1"/>
      <c r="V1247" s="1"/>
      <c r="W1247" s="1"/>
      <c r="X1247" s="1"/>
      <c r="Y1247" s="1"/>
      <c r="Z1247" s="1"/>
    </row>
    <row r="1248" spans="1:26" ht="33.75" customHeight="1">
      <c r="A1248" s="1">
        <v>1155</v>
      </c>
      <c r="B1248" s="1" t="s">
        <v>3542</v>
      </c>
      <c r="C1248" s="1" t="s">
        <v>3156</v>
      </c>
      <c r="D1248" s="4">
        <v>39884.270138888889</v>
      </c>
      <c r="E1248" s="1" t="s">
        <v>320</v>
      </c>
      <c r="F1248" s="1"/>
      <c r="G1248" s="5" t="s">
        <v>15</v>
      </c>
      <c r="H1248" s="5" t="s">
        <v>150</v>
      </c>
      <c r="I1248" s="1" t="s">
        <v>3543</v>
      </c>
      <c r="J1248" s="1"/>
      <c r="K1248" s="1"/>
      <c r="L1248" s="2" t="s">
        <v>3544</v>
      </c>
      <c r="M1248" s="1"/>
      <c r="N1248" s="1"/>
      <c r="O1248" s="1"/>
      <c r="P1248" s="1"/>
      <c r="Q1248" s="1"/>
      <c r="R1248" s="1"/>
      <c r="S1248" s="1"/>
      <c r="T1248" s="1"/>
      <c r="U1248" s="1"/>
      <c r="V1248" s="1"/>
      <c r="W1248" s="1"/>
      <c r="X1248" s="1"/>
      <c r="Y1248" s="1"/>
      <c r="Z1248" s="1"/>
    </row>
    <row r="1249" spans="1:26" ht="33.75" customHeight="1">
      <c r="A1249" s="1">
        <v>1156</v>
      </c>
      <c r="B1249" s="1" t="s">
        <v>3545</v>
      </c>
      <c r="C1249" s="1" t="s">
        <v>3156</v>
      </c>
      <c r="D1249" s="4">
        <v>39884.270833333336</v>
      </c>
      <c r="E1249" s="1" t="s">
        <v>320</v>
      </c>
      <c r="F1249" s="1" t="s">
        <v>3542</v>
      </c>
      <c r="G1249" s="5" t="s">
        <v>64</v>
      </c>
      <c r="H1249" s="5" t="s">
        <v>179</v>
      </c>
      <c r="I1249" s="1" t="s">
        <v>179</v>
      </c>
      <c r="J1249" s="1"/>
      <c r="K1249" s="1"/>
      <c r="L1249" s="2" t="s">
        <v>3546</v>
      </c>
      <c r="M1249" s="1"/>
      <c r="N1249" s="1"/>
      <c r="O1249" s="1"/>
      <c r="P1249" s="1"/>
      <c r="Q1249" s="1"/>
      <c r="R1249" s="1"/>
      <c r="S1249" s="1"/>
      <c r="T1249" s="1"/>
      <c r="U1249" s="1"/>
      <c r="V1249" s="1"/>
      <c r="W1249" s="1"/>
      <c r="X1249" s="1"/>
      <c r="Y1249" s="1"/>
      <c r="Z1249" s="1"/>
    </row>
    <row r="1250" spans="1:26" ht="33.75" customHeight="1">
      <c r="A1250" s="1">
        <v>1157</v>
      </c>
      <c r="B1250" s="1" t="s">
        <v>3547</v>
      </c>
      <c r="C1250" s="1" t="s">
        <v>3156</v>
      </c>
      <c r="D1250" s="4">
        <v>39884.300694444442</v>
      </c>
      <c r="E1250" s="1" t="s">
        <v>320</v>
      </c>
      <c r="F1250" s="1" t="s">
        <v>3542</v>
      </c>
      <c r="G1250" s="6" t="s">
        <v>78</v>
      </c>
      <c r="H1250" s="5" t="s">
        <v>79</v>
      </c>
      <c r="I1250" s="1" t="s">
        <v>3548</v>
      </c>
      <c r="J1250" s="1"/>
      <c r="K1250" s="1"/>
      <c r="L1250" s="2" t="s">
        <v>3549</v>
      </c>
      <c r="M1250" s="1"/>
      <c r="N1250" s="1"/>
      <c r="O1250" s="1"/>
      <c r="P1250" s="1"/>
      <c r="Q1250" s="1"/>
      <c r="R1250" s="1"/>
      <c r="S1250" s="1"/>
      <c r="T1250" s="1"/>
      <c r="U1250" s="1"/>
      <c r="V1250" s="1"/>
      <c r="W1250" s="1"/>
      <c r="X1250" s="1"/>
      <c r="Y1250" s="1"/>
      <c r="Z1250" s="1"/>
    </row>
    <row r="1251" spans="1:26" ht="33.75" customHeight="1">
      <c r="A1251" s="1">
        <v>1279</v>
      </c>
      <c r="B1251" s="1" t="s">
        <v>3550</v>
      </c>
      <c r="C1251" s="1" t="s">
        <v>3255</v>
      </c>
      <c r="D1251" s="4">
        <v>39884.347916666666</v>
      </c>
      <c r="E1251" s="1" t="s">
        <v>3551</v>
      </c>
      <c r="F1251" s="1" t="s">
        <v>3527</v>
      </c>
      <c r="G1251" s="5" t="s">
        <v>26</v>
      </c>
      <c r="H1251" s="5" t="s">
        <v>27</v>
      </c>
      <c r="I1251" s="1" t="s">
        <v>28</v>
      </c>
      <c r="J1251" s="1" t="s">
        <v>259</v>
      </c>
      <c r="K1251" s="1" t="s">
        <v>3552</v>
      </c>
      <c r="L1251" s="2" t="s">
        <v>3553</v>
      </c>
      <c r="M1251" s="1"/>
      <c r="N1251" s="1"/>
      <c r="O1251" s="1"/>
      <c r="P1251" s="1"/>
      <c r="Q1251" s="1"/>
      <c r="R1251" s="1"/>
      <c r="S1251" s="1"/>
      <c r="T1251" s="1"/>
      <c r="U1251" s="1"/>
      <c r="V1251" s="1"/>
      <c r="W1251" s="1"/>
      <c r="X1251" s="1"/>
      <c r="Y1251" s="1"/>
      <c r="Z1251" s="1"/>
    </row>
    <row r="1252" spans="1:26" ht="33.75" customHeight="1">
      <c r="A1252" s="1">
        <v>1876</v>
      </c>
      <c r="B1252" s="1" t="s">
        <v>3554</v>
      </c>
      <c r="C1252" s="1" t="s">
        <v>2870</v>
      </c>
      <c r="D1252" s="4">
        <v>39884.373611111114</v>
      </c>
      <c r="E1252" s="1" t="s">
        <v>54</v>
      </c>
      <c r="F1252" s="1"/>
      <c r="G1252" s="5" t="s">
        <v>64</v>
      </c>
      <c r="H1252" s="5" t="s">
        <v>431</v>
      </c>
      <c r="I1252" s="1" t="s">
        <v>3555</v>
      </c>
      <c r="J1252" s="1"/>
      <c r="K1252" s="1" t="s">
        <v>3556</v>
      </c>
      <c r="L1252" s="2" t="s">
        <v>3557</v>
      </c>
      <c r="M1252" s="1"/>
      <c r="N1252" s="1"/>
      <c r="O1252" s="1"/>
      <c r="P1252" s="1"/>
      <c r="Q1252" s="1"/>
      <c r="R1252" s="1"/>
      <c r="S1252" s="1"/>
      <c r="T1252" s="1"/>
      <c r="U1252" s="1"/>
      <c r="V1252" s="1"/>
      <c r="W1252" s="1"/>
      <c r="X1252" s="1"/>
      <c r="Y1252" s="1"/>
      <c r="Z1252" s="1"/>
    </row>
    <row r="1253" spans="1:26" ht="33.75" customHeight="1">
      <c r="A1253" s="1">
        <v>1280</v>
      </c>
      <c r="B1253" s="1" t="s">
        <v>3558</v>
      </c>
      <c r="C1253" s="1" t="s">
        <v>3255</v>
      </c>
      <c r="D1253" s="4">
        <v>39884.375</v>
      </c>
      <c r="E1253" s="1" t="s">
        <v>830</v>
      </c>
      <c r="F1253" s="1"/>
      <c r="G1253" s="5" t="s">
        <v>33</v>
      </c>
      <c r="H1253" s="5" t="s">
        <v>34</v>
      </c>
      <c r="I1253" s="1" t="s">
        <v>35</v>
      </c>
      <c r="J1253" s="1"/>
      <c r="K1253" s="1" t="s">
        <v>3559</v>
      </c>
      <c r="L1253" s="2" t="s">
        <v>3560</v>
      </c>
      <c r="M1253" s="1"/>
      <c r="N1253" s="1"/>
      <c r="O1253" s="1"/>
      <c r="P1253" s="1"/>
      <c r="Q1253" s="1"/>
      <c r="R1253" s="1"/>
      <c r="S1253" s="1"/>
      <c r="T1253" s="1"/>
      <c r="U1253" s="1"/>
      <c r="V1253" s="1"/>
      <c r="W1253" s="1"/>
      <c r="X1253" s="1"/>
      <c r="Y1253" s="1"/>
      <c r="Z1253" s="1"/>
    </row>
    <row r="1254" spans="1:26" ht="33.75" customHeight="1">
      <c r="A1254" s="1">
        <v>1158</v>
      </c>
      <c r="B1254" s="1" t="s">
        <v>3561</v>
      </c>
      <c r="C1254" s="1" t="s">
        <v>3156</v>
      </c>
      <c r="D1254" s="4">
        <v>39884.431250000001</v>
      </c>
      <c r="E1254" s="1" t="s">
        <v>14</v>
      </c>
      <c r="F1254" s="1"/>
      <c r="G1254" s="5" t="s">
        <v>26</v>
      </c>
      <c r="H1254" s="5" t="s">
        <v>27</v>
      </c>
      <c r="I1254" s="1" t="s">
        <v>28</v>
      </c>
      <c r="J1254" s="1" t="s">
        <v>29</v>
      </c>
      <c r="K1254" s="1" t="s">
        <v>3562</v>
      </c>
      <c r="L1254" s="2" t="s">
        <v>3563</v>
      </c>
      <c r="M1254" s="1"/>
      <c r="N1254" s="1"/>
      <c r="O1254" s="1"/>
      <c r="P1254" s="1"/>
      <c r="Q1254" s="1"/>
      <c r="R1254" s="1"/>
      <c r="S1254" s="1"/>
      <c r="T1254" s="1"/>
      <c r="U1254" s="1"/>
      <c r="V1254" s="1"/>
      <c r="W1254" s="1"/>
      <c r="X1254" s="1"/>
      <c r="Y1254" s="1"/>
      <c r="Z1254" s="1"/>
    </row>
    <row r="1255" spans="1:26" ht="33.75" customHeight="1">
      <c r="A1255" s="1">
        <v>1877</v>
      </c>
      <c r="B1255" s="1" t="s">
        <v>3564</v>
      </c>
      <c r="C1255" s="1" t="s">
        <v>2870</v>
      </c>
      <c r="D1255" s="4">
        <v>39884.436805555553</v>
      </c>
      <c r="E1255" s="1" t="s">
        <v>84</v>
      </c>
      <c r="F1255" s="1"/>
      <c r="G1255" s="5" t="s">
        <v>15</v>
      </c>
      <c r="H1255" s="5" t="s">
        <v>792</v>
      </c>
      <c r="I1255" s="1" t="s">
        <v>3565</v>
      </c>
      <c r="J1255" s="1"/>
      <c r="K1255" s="1" t="s">
        <v>3566</v>
      </c>
      <c r="L1255" s="2" t="s">
        <v>3567</v>
      </c>
      <c r="M1255" s="1"/>
      <c r="N1255" s="1"/>
      <c r="O1255" s="1"/>
      <c r="P1255" s="1"/>
      <c r="Q1255" s="1"/>
      <c r="R1255" s="1"/>
      <c r="S1255" s="1"/>
      <c r="T1255" s="1"/>
      <c r="U1255" s="1"/>
      <c r="V1255" s="1"/>
      <c r="W1255" s="1"/>
      <c r="X1255" s="1"/>
      <c r="Y1255" s="1"/>
      <c r="Z1255" s="1"/>
    </row>
    <row r="1256" spans="1:26" ht="33.75" customHeight="1">
      <c r="A1256" s="1">
        <v>1878</v>
      </c>
      <c r="B1256" s="1" t="s">
        <v>3568</v>
      </c>
      <c r="C1256" s="1" t="s">
        <v>2870</v>
      </c>
      <c r="D1256" s="4">
        <v>39884.461805555555</v>
      </c>
      <c r="E1256" s="1" t="s">
        <v>772</v>
      </c>
      <c r="F1256" s="1"/>
      <c r="G1256" s="5" t="s">
        <v>64</v>
      </c>
      <c r="H1256" s="5" t="s">
        <v>263</v>
      </c>
      <c r="I1256" s="1" t="s">
        <v>1803</v>
      </c>
      <c r="J1256" s="1"/>
      <c r="K1256" s="1"/>
      <c r="L1256" s="2" t="s">
        <v>3569</v>
      </c>
      <c r="M1256" s="1"/>
      <c r="N1256" s="1"/>
      <c r="O1256" s="1"/>
      <c r="P1256" s="1"/>
      <c r="Q1256" s="1"/>
      <c r="R1256" s="1"/>
      <c r="S1256" s="1"/>
      <c r="T1256" s="1"/>
      <c r="U1256" s="1"/>
      <c r="V1256" s="1"/>
      <c r="W1256" s="1"/>
      <c r="X1256" s="1"/>
      <c r="Y1256" s="1"/>
      <c r="Z1256" s="1"/>
    </row>
    <row r="1257" spans="1:26" ht="33.75" customHeight="1">
      <c r="A1257" s="1">
        <v>1879</v>
      </c>
      <c r="B1257" s="1" t="s">
        <v>3570</v>
      </c>
      <c r="C1257" s="1" t="s">
        <v>2870</v>
      </c>
      <c r="D1257" s="4">
        <v>39884.466666666667</v>
      </c>
      <c r="E1257" s="1" t="s">
        <v>1887</v>
      </c>
      <c r="F1257" s="1"/>
      <c r="G1257" s="5" t="s">
        <v>64</v>
      </c>
      <c r="H1257" s="1"/>
      <c r="I1257" s="1" t="s">
        <v>64</v>
      </c>
      <c r="J1257" s="1"/>
      <c r="K1257" s="1"/>
      <c r="L1257" s="2" t="s">
        <v>3571</v>
      </c>
      <c r="M1257" s="1"/>
      <c r="N1257" s="1"/>
      <c r="O1257" s="1"/>
      <c r="P1257" s="1"/>
      <c r="Q1257" s="1"/>
      <c r="R1257" s="1"/>
      <c r="S1257" s="1"/>
      <c r="T1257" s="1"/>
      <c r="U1257" s="1"/>
      <c r="V1257" s="1"/>
      <c r="W1257" s="1"/>
      <c r="X1257" s="1"/>
      <c r="Y1257" s="1"/>
      <c r="Z1257" s="1"/>
    </row>
    <row r="1258" spans="1:26" ht="33.75" customHeight="1">
      <c r="A1258" s="1">
        <v>1281</v>
      </c>
      <c r="B1258" s="1" t="s">
        <v>3572</v>
      </c>
      <c r="C1258" s="1" t="s">
        <v>3255</v>
      </c>
      <c r="D1258" s="4">
        <v>39884.492361111108</v>
      </c>
      <c r="E1258" s="1" t="s">
        <v>14</v>
      </c>
      <c r="F1258" s="1"/>
      <c r="G1258" s="5" t="s">
        <v>15</v>
      </c>
      <c r="H1258" s="5" t="s">
        <v>22</v>
      </c>
      <c r="I1258" s="1" t="s">
        <v>166</v>
      </c>
      <c r="J1258" s="1"/>
      <c r="K1258" s="1" t="s">
        <v>3573</v>
      </c>
      <c r="L1258" s="2" t="s">
        <v>3574</v>
      </c>
      <c r="M1258" s="1"/>
      <c r="N1258" s="1"/>
      <c r="O1258" s="1"/>
      <c r="P1258" s="1"/>
      <c r="Q1258" s="1"/>
      <c r="R1258" s="1"/>
      <c r="S1258" s="1"/>
      <c r="T1258" s="1"/>
      <c r="U1258" s="1"/>
      <c r="V1258" s="1"/>
      <c r="W1258" s="1"/>
      <c r="X1258" s="1"/>
      <c r="Y1258" s="1"/>
      <c r="Z1258" s="1"/>
    </row>
    <row r="1259" spans="1:26" ht="33.75" customHeight="1">
      <c r="A1259" s="1">
        <v>1285</v>
      </c>
      <c r="B1259" s="1" t="s">
        <v>3575</v>
      </c>
      <c r="C1259" s="1" t="s">
        <v>3255</v>
      </c>
      <c r="D1259" s="4">
        <v>39884.542361111111</v>
      </c>
      <c r="E1259" s="1" t="s">
        <v>3576</v>
      </c>
      <c r="F1259" s="1"/>
      <c r="G1259" s="1" t="s">
        <v>15</v>
      </c>
      <c r="H1259" s="1" t="s">
        <v>50</v>
      </c>
      <c r="I1259" s="1" t="s">
        <v>166</v>
      </c>
      <c r="J1259" s="1"/>
      <c r="K1259" s="1" t="s">
        <v>3577</v>
      </c>
      <c r="L1259" s="2" t="s">
        <v>3578</v>
      </c>
      <c r="M1259" s="1"/>
      <c r="N1259" s="1"/>
      <c r="O1259" s="1"/>
      <c r="P1259" s="1"/>
      <c r="Q1259" s="1"/>
      <c r="R1259" s="1"/>
      <c r="S1259" s="1"/>
      <c r="T1259" s="1"/>
      <c r="U1259" s="1"/>
      <c r="V1259" s="1"/>
      <c r="W1259" s="1"/>
      <c r="X1259" s="1"/>
      <c r="Y1259" s="1"/>
      <c r="Z1259" s="1"/>
    </row>
    <row r="1260" spans="1:26" ht="33.75" customHeight="1">
      <c r="A1260" s="1">
        <v>1286</v>
      </c>
      <c r="B1260" s="1" t="s">
        <v>3579</v>
      </c>
      <c r="C1260" s="1" t="s">
        <v>3255</v>
      </c>
      <c r="D1260" s="4">
        <v>39884.574999999997</v>
      </c>
      <c r="E1260" s="1" t="s">
        <v>14</v>
      </c>
      <c r="F1260" s="1" t="s">
        <v>3575</v>
      </c>
      <c r="G1260" s="5" t="s">
        <v>26</v>
      </c>
      <c r="H1260" s="5" t="s">
        <v>27</v>
      </c>
      <c r="I1260" s="1" t="s">
        <v>28</v>
      </c>
      <c r="J1260" s="1" t="s">
        <v>259</v>
      </c>
      <c r="K1260" s="1"/>
      <c r="L1260" s="2" t="s">
        <v>3580</v>
      </c>
      <c r="M1260" s="1"/>
      <c r="N1260" s="1"/>
      <c r="O1260" s="1"/>
      <c r="P1260" s="1"/>
      <c r="Q1260" s="1"/>
      <c r="R1260" s="1"/>
      <c r="S1260" s="1"/>
      <c r="T1260" s="1"/>
      <c r="U1260" s="1"/>
      <c r="V1260" s="1"/>
      <c r="W1260" s="1"/>
      <c r="X1260" s="1"/>
      <c r="Y1260" s="1"/>
      <c r="Z1260" s="1"/>
    </row>
    <row r="1261" spans="1:26" ht="33.75" customHeight="1">
      <c r="A1261" s="1">
        <v>1264</v>
      </c>
      <c r="B1261" s="1" t="s">
        <v>3581</v>
      </c>
      <c r="C1261" s="1" t="s">
        <v>3255</v>
      </c>
      <c r="D1261" s="4">
        <v>39884.640972222223</v>
      </c>
      <c r="E1261" s="1" t="s">
        <v>3582</v>
      </c>
      <c r="F1261" s="1"/>
      <c r="G1261" s="5" t="s">
        <v>15</v>
      </c>
      <c r="H1261" s="5" t="s">
        <v>50</v>
      </c>
      <c r="I1261" s="1" t="s">
        <v>166</v>
      </c>
      <c r="J1261" s="1"/>
      <c r="K1261" s="1" t="s">
        <v>3583</v>
      </c>
      <c r="L1261" s="2" t="s">
        <v>3584</v>
      </c>
      <c r="M1261" s="1"/>
      <c r="N1261" s="1"/>
      <c r="O1261" s="1"/>
      <c r="P1261" s="1"/>
      <c r="Q1261" s="1"/>
      <c r="R1261" s="1"/>
      <c r="S1261" s="1"/>
      <c r="T1261" s="1"/>
      <c r="U1261" s="1"/>
      <c r="V1261" s="1"/>
      <c r="W1261" s="1"/>
      <c r="X1261" s="1"/>
      <c r="Y1261" s="1"/>
      <c r="Z1261" s="1"/>
    </row>
    <row r="1262" spans="1:26" ht="33.75" customHeight="1">
      <c r="A1262" s="1">
        <v>1287</v>
      </c>
      <c r="B1262" s="1" t="s">
        <v>3585</v>
      </c>
      <c r="C1262" s="1" t="s">
        <v>3255</v>
      </c>
      <c r="D1262" s="4">
        <v>39884.660416666666</v>
      </c>
      <c r="E1262" s="1" t="s">
        <v>84</v>
      </c>
      <c r="F1262" s="1"/>
      <c r="G1262" s="5" t="s">
        <v>15</v>
      </c>
      <c r="H1262" s="5" t="s">
        <v>50</v>
      </c>
      <c r="I1262" s="1" t="s">
        <v>166</v>
      </c>
      <c r="J1262" s="1"/>
      <c r="K1262" s="1" t="s">
        <v>3586</v>
      </c>
      <c r="L1262" s="2" t="s">
        <v>3587</v>
      </c>
      <c r="M1262" s="1"/>
      <c r="N1262" s="1"/>
      <c r="O1262" s="1"/>
      <c r="P1262" s="1"/>
      <c r="Q1262" s="1"/>
      <c r="R1262" s="1"/>
      <c r="S1262" s="1"/>
      <c r="T1262" s="1"/>
      <c r="U1262" s="1"/>
      <c r="V1262" s="1"/>
      <c r="W1262" s="1"/>
      <c r="X1262" s="1"/>
      <c r="Y1262" s="1"/>
      <c r="Z1262" s="1"/>
    </row>
    <row r="1263" spans="1:26" ht="33.75" customHeight="1">
      <c r="A1263" s="1">
        <v>1159</v>
      </c>
      <c r="B1263" s="1" t="s">
        <v>3588</v>
      </c>
      <c r="C1263" s="1" t="s">
        <v>3156</v>
      </c>
      <c r="D1263" s="4">
        <v>39884.698611111111</v>
      </c>
      <c r="E1263" s="1" t="s">
        <v>320</v>
      </c>
      <c r="F1263" s="1"/>
      <c r="G1263" s="5" t="s">
        <v>15</v>
      </c>
      <c r="H1263" s="5" t="s">
        <v>150</v>
      </c>
      <c r="I1263" s="1" t="s">
        <v>3589</v>
      </c>
      <c r="J1263" s="1"/>
      <c r="K1263" s="1" t="s">
        <v>3590</v>
      </c>
      <c r="L1263" s="2" t="s">
        <v>3591</v>
      </c>
      <c r="M1263" s="1"/>
      <c r="N1263" s="1"/>
      <c r="O1263" s="1"/>
      <c r="P1263" s="1"/>
      <c r="Q1263" s="1"/>
      <c r="R1263" s="1"/>
      <c r="S1263" s="1"/>
      <c r="T1263" s="1"/>
      <c r="U1263" s="1"/>
      <c r="V1263" s="1"/>
      <c r="W1263" s="1"/>
      <c r="X1263" s="1"/>
      <c r="Y1263" s="1"/>
      <c r="Z1263" s="1"/>
    </row>
    <row r="1264" spans="1:26" ht="33.75" customHeight="1">
      <c r="A1264" s="1">
        <v>1288</v>
      </c>
      <c r="B1264" s="1" t="s">
        <v>3592</v>
      </c>
      <c r="C1264" s="1" t="s">
        <v>3255</v>
      </c>
      <c r="D1264" s="4">
        <v>39884.699305555558</v>
      </c>
      <c r="E1264" s="1" t="s">
        <v>14</v>
      </c>
      <c r="F1264" s="1" t="s">
        <v>3585</v>
      </c>
      <c r="G1264" s="5" t="s">
        <v>33</v>
      </c>
      <c r="H1264" s="5" t="s">
        <v>34</v>
      </c>
      <c r="I1264" s="1" t="s">
        <v>166</v>
      </c>
      <c r="J1264" s="1"/>
      <c r="K1264" s="1" t="s">
        <v>3593</v>
      </c>
      <c r="L1264" s="2" t="s">
        <v>3594</v>
      </c>
      <c r="M1264" s="1"/>
      <c r="N1264" s="1"/>
      <c r="O1264" s="1"/>
      <c r="P1264" s="1"/>
      <c r="Q1264" s="1"/>
      <c r="R1264" s="1"/>
      <c r="S1264" s="1"/>
      <c r="T1264" s="1"/>
      <c r="U1264" s="1"/>
      <c r="V1264" s="1"/>
      <c r="W1264" s="1"/>
      <c r="X1264" s="1"/>
      <c r="Y1264" s="1"/>
      <c r="Z1264" s="1"/>
    </row>
    <row r="1265" spans="1:26" ht="33.75" customHeight="1">
      <c r="A1265" s="1">
        <v>1160</v>
      </c>
      <c r="B1265" s="1" t="s">
        <v>3595</v>
      </c>
      <c r="C1265" s="1" t="s">
        <v>3156</v>
      </c>
      <c r="D1265" s="4">
        <v>39884.70208333333</v>
      </c>
      <c r="E1265" s="1" t="s">
        <v>320</v>
      </c>
      <c r="F1265" s="1" t="s">
        <v>3588</v>
      </c>
      <c r="G1265" s="5" t="s">
        <v>64</v>
      </c>
      <c r="H1265" s="5" t="s">
        <v>179</v>
      </c>
      <c r="I1265" s="1" t="s">
        <v>179</v>
      </c>
      <c r="J1265" s="1"/>
      <c r="K1265" s="1"/>
      <c r="L1265" s="2" t="s">
        <v>3596</v>
      </c>
      <c r="M1265" s="1"/>
      <c r="N1265" s="1"/>
      <c r="O1265" s="1"/>
      <c r="P1265" s="1"/>
      <c r="Q1265" s="1"/>
      <c r="R1265" s="1"/>
      <c r="S1265" s="1"/>
      <c r="T1265" s="1"/>
      <c r="U1265" s="1"/>
      <c r="V1265" s="1"/>
      <c r="W1265" s="1"/>
      <c r="X1265" s="1"/>
      <c r="Y1265" s="1"/>
      <c r="Z1265" s="1"/>
    </row>
    <row r="1266" spans="1:26" ht="33.75" customHeight="1">
      <c r="A1266" s="1">
        <v>1266</v>
      </c>
      <c r="B1266" s="1" t="s">
        <v>3597</v>
      </c>
      <c r="C1266" s="1" t="s">
        <v>3255</v>
      </c>
      <c r="D1266" s="4">
        <v>39884.71597222222</v>
      </c>
      <c r="E1266" s="1" t="s">
        <v>320</v>
      </c>
      <c r="F1266" s="1"/>
      <c r="G1266" s="5" t="s">
        <v>26</v>
      </c>
      <c r="H1266" s="5" t="s">
        <v>27</v>
      </c>
      <c r="I1266" s="1" t="s">
        <v>28</v>
      </c>
      <c r="J1266" s="1" t="s">
        <v>259</v>
      </c>
      <c r="K1266" s="1" t="s">
        <v>3598</v>
      </c>
      <c r="L1266" s="2" t="s">
        <v>3599</v>
      </c>
      <c r="M1266" s="1"/>
      <c r="N1266" s="1"/>
      <c r="O1266" s="1"/>
      <c r="P1266" s="1"/>
      <c r="Q1266" s="1"/>
      <c r="R1266" s="1"/>
      <c r="S1266" s="1"/>
      <c r="T1266" s="1"/>
      <c r="U1266" s="1"/>
      <c r="V1266" s="1"/>
      <c r="W1266" s="1"/>
      <c r="X1266" s="1"/>
      <c r="Y1266" s="1"/>
      <c r="Z1266" s="1"/>
    </row>
    <row r="1267" spans="1:26" ht="33.75" customHeight="1">
      <c r="A1267" s="1">
        <v>1282</v>
      </c>
      <c r="B1267" s="1" t="s">
        <v>3600</v>
      </c>
      <c r="C1267" s="1" t="s">
        <v>3255</v>
      </c>
      <c r="D1267" s="4">
        <v>39884.738194444442</v>
      </c>
      <c r="E1267" s="1" t="s">
        <v>3321</v>
      </c>
      <c r="F1267" s="1"/>
      <c r="G1267" s="5" t="s">
        <v>15</v>
      </c>
      <c r="H1267" s="5" t="s">
        <v>50</v>
      </c>
      <c r="I1267" s="1" t="s">
        <v>166</v>
      </c>
      <c r="J1267" s="1"/>
      <c r="K1267" s="1" t="s">
        <v>3601</v>
      </c>
      <c r="L1267" s="2" t="s">
        <v>3602</v>
      </c>
      <c r="M1267" s="1"/>
      <c r="N1267" s="1"/>
      <c r="O1267" s="1"/>
      <c r="P1267" s="1"/>
      <c r="Q1267" s="1"/>
      <c r="R1267" s="1"/>
      <c r="S1267" s="1"/>
      <c r="T1267" s="1"/>
      <c r="U1267" s="1"/>
      <c r="V1267" s="1"/>
      <c r="W1267" s="1"/>
      <c r="X1267" s="1"/>
      <c r="Y1267" s="1"/>
      <c r="Z1267" s="1"/>
    </row>
    <row r="1268" spans="1:26" ht="33.75" customHeight="1">
      <c r="A1268" s="1">
        <v>1283</v>
      </c>
      <c r="B1268" s="1" t="s">
        <v>3603</v>
      </c>
      <c r="C1268" s="1" t="s">
        <v>3255</v>
      </c>
      <c r="D1268" s="4">
        <v>39884.747916666667</v>
      </c>
      <c r="E1268" s="1" t="s">
        <v>14</v>
      </c>
      <c r="F1268" s="1"/>
      <c r="G1268" s="5" t="s">
        <v>15</v>
      </c>
      <c r="H1268" s="5" t="s">
        <v>50</v>
      </c>
      <c r="I1268" s="1" t="s">
        <v>166</v>
      </c>
      <c r="J1268" s="1"/>
      <c r="K1268" s="1" t="s">
        <v>3604</v>
      </c>
      <c r="L1268" s="2" t="s">
        <v>3605</v>
      </c>
      <c r="M1268" s="1"/>
      <c r="N1268" s="1"/>
      <c r="O1268" s="1"/>
      <c r="P1268" s="1"/>
      <c r="Q1268" s="1"/>
      <c r="R1268" s="1"/>
      <c r="S1268" s="1"/>
      <c r="T1268" s="1"/>
      <c r="U1268" s="1"/>
      <c r="V1268" s="1"/>
      <c r="W1268" s="1"/>
      <c r="X1268" s="1"/>
      <c r="Y1268" s="1"/>
      <c r="Z1268" s="1"/>
    </row>
    <row r="1269" spans="1:26" ht="33.75" customHeight="1">
      <c r="A1269" s="1">
        <v>1289</v>
      </c>
      <c r="B1269" s="1" t="s">
        <v>3606</v>
      </c>
      <c r="C1269" s="1" t="s">
        <v>3255</v>
      </c>
      <c r="D1269" s="4">
        <v>39884.753472222219</v>
      </c>
      <c r="E1269" s="1" t="s">
        <v>84</v>
      </c>
      <c r="F1269" s="1"/>
      <c r="G1269" s="5" t="s">
        <v>15</v>
      </c>
      <c r="H1269" s="5" t="s">
        <v>50</v>
      </c>
      <c r="I1269" s="1" t="s">
        <v>166</v>
      </c>
      <c r="J1269" s="1"/>
      <c r="K1269" s="1" t="s">
        <v>3607</v>
      </c>
      <c r="L1269" s="2" t="s">
        <v>3608</v>
      </c>
      <c r="M1269" s="1"/>
      <c r="N1269" s="1"/>
      <c r="O1269" s="1"/>
      <c r="P1269" s="1"/>
      <c r="Q1269" s="1"/>
      <c r="R1269" s="1"/>
      <c r="S1269" s="1"/>
      <c r="T1269" s="1"/>
      <c r="U1269" s="1"/>
      <c r="V1269" s="1"/>
      <c r="W1269" s="1"/>
      <c r="X1269" s="1"/>
      <c r="Y1269" s="1"/>
      <c r="Z1269" s="1"/>
    </row>
    <row r="1270" spans="1:26" ht="33.75" customHeight="1">
      <c r="A1270" s="1">
        <v>1293</v>
      </c>
      <c r="B1270" s="1" t="s">
        <v>3609</v>
      </c>
      <c r="C1270" s="1" t="s">
        <v>3255</v>
      </c>
      <c r="D1270" s="4">
        <v>39884.756249999999</v>
      </c>
      <c r="E1270" s="1" t="s">
        <v>3610</v>
      </c>
      <c r="F1270" s="1"/>
      <c r="G1270" s="5" t="s">
        <v>15</v>
      </c>
      <c r="H1270" s="5" t="s">
        <v>50</v>
      </c>
      <c r="I1270" s="1" t="s">
        <v>166</v>
      </c>
      <c r="J1270" s="1"/>
      <c r="K1270" s="1" t="s">
        <v>3611</v>
      </c>
      <c r="L1270" s="2" t="s">
        <v>3612</v>
      </c>
      <c r="M1270" s="1"/>
      <c r="N1270" s="1"/>
      <c r="O1270" s="1"/>
      <c r="P1270" s="1"/>
      <c r="Q1270" s="1"/>
      <c r="R1270" s="1"/>
      <c r="S1270" s="1"/>
      <c r="T1270" s="1"/>
      <c r="U1270" s="1"/>
      <c r="V1270" s="1"/>
      <c r="W1270" s="1"/>
      <c r="X1270" s="1"/>
      <c r="Y1270" s="1"/>
      <c r="Z1270" s="1"/>
    </row>
    <row r="1271" spans="1:26" ht="33.75" customHeight="1">
      <c r="A1271" s="1">
        <v>1880</v>
      </c>
      <c r="B1271" s="1" t="s">
        <v>3613</v>
      </c>
      <c r="C1271" s="1" t="s">
        <v>2870</v>
      </c>
      <c r="D1271" s="4">
        <v>39884.770138888889</v>
      </c>
      <c r="E1271" s="1" t="s">
        <v>84</v>
      </c>
      <c r="F1271" s="1"/>
      <c r="G1271" s="5" t="s">
        <v>64</v>
      </c>
      <c r="H1271" s="5" t="s">
        <v>684</v>
      </c>
      <c r="I1271" s="1" t="s">
        <v>3614</v>
      </c>
      <c r="J1271" s="1"/>
      <c r="K1271" s="1"/>
      <c r="L1271" s="2" t="s">
        <v>3615</v>
      </c>
      <c r="M1271" s="1"/>
      <c r="N1271" s="1"/>
      <c r="O1271" s="1"/>
      <c r="P1271" s="1"/>
      <c r="Q1271" s="1"/>
      <c r="R1271" s="1"/>
      <c r="S1271" s="1"/>
      <c r="T1271" s="1"/>
      <c r="U1271" s="1"/>
      <c r="V1271" s="1"/>
      <c r="W1271" s="1"/>
      <c r="X1271" s="1"/>
      <c r="Y1271" s="1"/>
      <c r="Z1271" s="1"/>
    </row>
    <row r="1272" spans="1:26" ht="33.75" customHeight="1">
      <c r="A1272" s="1">
        <v>1294</v>
      </c>
      <c r="B1272" s="1" t="s">
        <v>3616</v>
      </c>
      <c r="C1272" s="1" t="s">
        <v>3255</v>
      </c>
      <c r="D1272" s="4">
        <v>39884.851388888892</v>
      </c>
      <c r="E1272" s="1" t="s">
        <v>14</v>
      </c>
      <c r="F1272" s="1"/>
      <c r="G1272" s="5" t="s">
        <v>15</v>
      </c>
      <c r="H1272" s="5" t="s">
        <v>140</v>
      </c>
      <c r="I1272" s="1" t="s">
        <v>166</v>
      </c>
      <c r="J1272" s="1"/>
      <c r="K1272" s="1" t="s">
        <v>3617</v>
      </c>
      <c r="L1272" s="2" t="s">
        <v>3618</v>
      </c>
      <c r="M1272" s="1"/>
      <c r="N1272" s="1"/>
      <c r="O1272" s="1"/>
      <c r="P1272" s="1"/>
      <c r="Q1272" s="1"/>
      <c r="R1272" s="1"/>
      <c r="S1272" s="1"/>
      <c r="T1272" s="1"/>
      <c r="U1272" s="1"/>
      <c r="V1272" s="1"/>
      <c r="W1272" s="1"/>
      <c r="X1272" s="1"/>
      <c r="Y1272" s="1"/>
      <c r="Z1272" s="1"/>
    </row>
    <row r="1273" spans="1:26" ht="33.75" customHeight="1">
      <c r="A1273" s="1">
        <v>1290</v>
      </c>
      <c r="B1273" s="1" t="s">
        <v>3619</v>
      </c>
      <c r="C1273" s="1" t="s">
        <v>3255</v>
      </c>
      <c r="D1273" s="4">
        <v>39884.852083333331</v>
      </c>
      <c r="E1273" s="1" t="s">
        <v>3297</v>
      </c>
      <c r="F1273" s="1"/>
      <c r="G1273" s="5" t="s">
        <v>33</v>
      </c>
      <c r="H1273" s="5" t="s">
        <v>34</v>
      </c>
      <c r="I1273" s="1" t="s">
        <v>166</v>
      </c>
      <c r="J1273" s="1"/>
      <c r="K1273" s="1" t="s">
        <v>3620</v>
      </c>
      <c r="L1273" s="2" t="s">
        <v>3621</v>
      </c>
      <c r="M1273" s="1"/>
      <c r="N1273" s="1"/>
      <c r="O1273" s="1"/>
      <c r="P1273" s="1"/>
      <c r="Q1273" s="1"/>
      <c r="R1273" s="1"/>
      <c r="S1273" s="1"/>
      <c r="T1273" s="1"/>
      <c r="U1273" s="1"/>
      <c r="V1273" s="1"/>
      <c r="W1273" s="1"/>
      <c r="X1273" s="1"/>
      <c r="Y1273" s="1"/>
      <c r="Z1273" s="1"/>
    </row>
    <row r="1274" spans="1:26" ht="33.75" customHeight="1">
      <c r="A1274" s="1">
        <v>1295</v>
      </c>
      <c r="B1274" s="1" t="s">
        <v>3622</v>
      </c>
      <c r="C1274" s="1" t="s">
        <v>3255</v>
      </c>
      <c r="D1274" s="4">
        <v>39884.882638888892</v>
      </c>
      <c r="E1274" s="1" t="s">
        <v>584</v>
      </c>
      <c r="F1274" s="1"/>
      <c r="G1274" s="5" t="s">
        <v>15</v>
      </c>
      <c r="H1274" s="5" t="s">
        <v>50</v>
      </c>
      <c r="I1274" s="1" t="s">
        <v>166</v>
      </c>
      <c r="J1274" s="1"/>
      <c r="K1274" s="1" t="s">
        <v>3623</v>
      </c>
      <c r="L1274" s="2" t="s">
        <v>3624</v>
      </c>
      <c r="M1274" s="1"/>
      <c r="N1274" s="1"/>
      <c r="O1274" s="1"/>
      <c r="P1274" s="1"/>
      <c r="Q1274" s="1"/>
      <c r="R1274" s="1"/>
      <c r="S1274" s="1"/>
      <c r="T1274" s="1"/>
      <c r="U1274" s="1"/>
      <c r="V1274" s="1"/>
      <c r="W1274" s="1"/>
      <c r="X1274" s="1"/>
      <c r="Y1274" s="1"/>
      <c r="Z1274" s="1"/>
    </row>
    <row r="1275" spans="1:26" ht="33.75" customHeight="1">
      <c r="A1275" s="1">
        <v>1296</v>
      </c>
      <c r="B1275" s="1" t="s">
        <v>3625</v>
      </c>
      <c r="C1275" s="1" t="s">
        <v>3255</v>
      </c>
      <c r="D1275" s="4">
        <v>39884.882638888892</v>
      </c>
      <c r="E1275" s="1" t="s">
        <v>772</v>
      </c>
      <c r="F1275" s="1"/>
      <c r="G1275" s="7" t="s">
        <v>15</v>
      </c>
      <c r="H1275" s="5" t="s">
        <v>55</v>
      </c>
      <c r="I1275" s="1" t="s">
        <v>3234</v>
      </c>
      <c r="J1275" s="1"/>
      <c r="K1275" s="1"/>
      <c r="L1275" s="2" t="s">
        <v>3626</v>
      </c>
      <c r="M1275" s="1"/>
      <c r="N1275" s="1"/>
      <c r="O1275" s="1"/>
      <c r="P1275" s="1"/>
      <c r="Q1275" s="1"/>
      <c r="R1275" s="1"/>
      <c r="S1275" s="1"/>
      <c r="T1275" s="1"/>
      <c r="U1275" s="1"/>
      <c r="V1275" s="1"/>
      <c r="W1275" s="1"/>
      <c r="X1275" s="1"/>
      <c r="Y1275" s="1"/>
      <c r="Z1275" s="1"/>
    </row>
    <row r="1276" spans="1:26" ht="33.75" customHeight="1">
      <c r="A1276" s="1">
        <v>1881</v>
      </c>
      <c r="B1276" s="1" t="s">
        <v>3627</v>
      </c>
      <c r="C1276" s="1" t="s">
        <v>2870</v>
      </c>
      <c r="D1276" s="4">
        <v>39884.890972222223</v>
      </c>
      <c r="E1276" s="1" t="s">
        <v>54</v>
      </c>
      <c r="F1276" s="1" t="s">
        <v>3628</v>
      </c>
      <c r="G1276" s="6" t="s">
        <v>78</v>
      </c>
      <c r="H1276" s="5" t="s">
        <v>197</v>
      </c>
      <c r="I1276" s="1" t="s">
        <v>3629</v>
      </c>
      <c r="J1276" s="1"/>
      <c r="K1276" s="1" t="s">
        <v>3630</v>
      </c>
      <c r="L1276" s="2" t="s">
        <v>3631</v>
      </c>
      <c r="M1276" s="1"/>
      <c r="N1276" s="1"/>
      <c r="O1276" s="1"/>
      <c r="P1276" s="1"/>
      <c r="Q1276" s="1"/>
      <c r="R1276" s="1"/>
      <c r="S1276" s="1"/>
      <c r="T1276" s="1"/>
      <c r="U1276" s="1"/>
      <c r="V1276" s="1"/>
      <c r="W1276" s="1"/>
      <c r="X1276" s="1"/>
      <c r="Y1276" s="1"/>
      <c r="Z1276" s="1"/>
    </row>
    <row r="1277" spans="1:26" ht="33.75" customHeight="1">
      <c r="A1277" s="1">
        <v>1270</v>
      </c>
      <c r="B1277" s="1" t="s">
        <v>3632</v>
      </c>
      <c r="C1277" s="1" t="s">
        <v>3255</v>
      </c>
      <c r="D1277" s="4">
        <v>39884.919444444444</v>
      </c>
      <c r="E1277" s="1" t="s">
        <v>435</v>
      </c>
      <c r="F1277" s="1"/>
      <c r="G1277" s="5" t="s">
        <v>15</v>
      </c>
      <c r="H1277" s="5" t="s">
        <v>22</v>
      </c>
      <c r="I1277" s="1" t="s">
        <v>23</v>
      </c>
      <c r="J1277" s="1"/>
      <c r="K1277" s="1" t="s">
        <v>3633</v>
      </c>
      <c r="L1277" s="2" t="s">
        <v>3634</v>
      </c>
      <c r="M1277" s="1"/>
      <c r="N1277" s="1"/>
      <c r="O1277" s="1"/>
      <c r="P1277" s="1"/>
      <c r="Q1277" s="1"/>
      <c r="R1277" s="1"/>
      <c r="S1277" s="1"/>
      <c r="T1277" s="1"/>
      <c r="U1277" s="1"/>
      <c r="V1277" s="1"/>
      <c r="W1277" s="1"/>
      <c r="X1277" s="1"/>
      <c r="Y1277" s="1"/>
      <c r="Z1277" s="1"/>
    </row>
    <row r="1278" spans="1:26" ht="33.75" customHeight="1">
      <c r="A1278" s="1">
        <v>1271</v>
      </c>
      <c r="B1278" s="1" t="s">
        <v>3635</v>
      </c>
      <c r="C1278" s="1" t="s">
        <v>3255</v>
      </c>
      <c r="D1278" s="4">
        <v>39884.931250000001</v>
      </c>
      <c r="E1278" s="1" t="s">
        <v>435</v>
      </c>
      <c r="F1278" s="1"/>
      <c r="G1278" s="5" t="s">
        <v>15</v>
      </c>
      <c r="H1278" s="5" t="s">
        <v>50</v>
      </c>
      <c r="I1278" s="1" t="s">
        <v>166</v>
      </c>
      <c r="J1278" s="1"/>
      <c r="K1278" s="1" t="s">
        <v>3636</v>
      </c>
      <c r="L1278" s="2" t="s">
        <v>3637</v>
      </c>
      <c r="M1278" s="1"/>
      <c r="N1278" s="1"/>
      <c r="O1278" s="1"/>
      <c r="P1278" s="1"/>
      <c r="Q1278" s="1"/>
      <c r="R1278" s="1"/>
      <c r="S1278" s="1"/>
      <c r="T1278" s="1"/>
      <c r="U1278" s="1"/>
      <c r="V1278" s="1"/>
      <c r="W1278" s="1"/>
      <c r="X1278" s="1"/>
      <c r="Y1278" s="1"/>
      <c r="Z1278" s="1"/>
    </row>
    <row r="1279" spans="1:26" ht="33.75" customHeight="1">
      <c r="A1279" s="1">
        <v>1161</v>
      </c>
      <c r="B1279" s="1" t="s">
        <v>3638</v>
      </c>
      <c r="C1279" s="1" t="s">
        <v>3156</v>
      </c>
      <c r="D1279" s="4">
        <v>39884.956944444442</v>
      </c>
      <c r="E1279" s="1" t="s">
        <v>14</v>
      </c>
      <c r="F1279" s="1"/>
      <c r="G1279" s="5" t="s">
        <v>64</v>
      </c>
      <c r="H1279" s="5" t="s">
        <v>263</v>
      </c>
      <c r="I1279" s="1" t="s">
        <v>277</v>
      </c>
      <c r="J1279" s="1" t="s">
        <v>3040</v>
      </c>
      <c r="K1279" s="1" t="s">
        <v>3639</v>
      </c>
      <c r="L1279" s="2" t="s">
        <v>3640</v>
      </c>
      <c r="M1279" s="1"/>
      <c r="N1279" s="1"/>
      <c r="O1279" s="1"/>
      <c r="P1279" s="1"/>
      <c r="Q1279" s="1"/>
      <c r="R1279" s="1"/>
      <c r="S1279" s="1"/>
      <c r="T1279" s="1"/>
      <c r="U1279" s="1"/>
      <c r="V1279" s="1"/>
      <c r="W1279" s="1"/>
      <c r="X1279" s="1"/>
      <c r="Y1279" s="1"/>
      <c r="Z1279" s="1"/>
    </row>
    <row r="1280" spans="1:26" ht="33.75" customHeight="1">
      <c r="A1280" s="1">
        <v>1297</v>
      </c>
      <c r="B1280" s="1" t="s">
        <v>3641</v>
      </c>
      <c r="C1280" s="1" t="s">
        <v>3255</v>
      </c>
      <c r="D1280" s="4">
        <v>39884.964583333334</v>
      </c>
      <c r="E1280" s="1" t="s">
        <v>54</v>
      </c>
      <c r="F1280" s="1"/>
      <c r="G1280" s="5" t="s">
        <v>15</v>
      </c>
      <c r="H1280" s="5" t="s">
        <v>22</v>
      </c>
      <c r="I1280" s="1" t="s">
        <v>23</v>
      </c>
      <c r="J1280" s="1"/>
      <c r="K1280" s="1"/>
      <c r="L1280" s="2" t="s">
        <v>3642</v>
      </c>
      <c r="M1280" s="1"/>
      <c r="N1280" s="1"/>
      <c r="O1280" s="1"/>
      <c r="P1280" s="1"/>
      <c r="Q1280" s="1"/>
      <c r="R1280" s="1"/>
      <c r="S1280" s="1"/>
      <c r="T1280" s="1"/>
      <c r="U1280" s="1"/>
      <c r="V1280" s="1"/>
      <c r="W1280" s="1"/>
      <c r="X1280" s="1"/>
      <c r="Y1280" s="1"/>
      <c r="Z1280" s="1"/>
    </row>
    <row r="1281" spans="1:26" ht="33.75" customHeight="1">
      <c r="A1281" s="1">
        <v>1298</v>
      </c>
      <c r="B1281" s="1" t="s">
        <v>3643</v>
      </c>
      <c r="C1281" s="1" t="s">
        <v>3255</v>
      </c>
      <c r="D1281" s="4">
        <v>39884.976388888892</v>
      </c>
      <c r="E1281" s="1" t="s">
        <v>14</v>
      </c>
      <c r="F1281" s="1"/>
      <c r="G1281" s="5" t="s">
        <v>15</v>
      </c>
      <c r="H1281" s="5" t="s">
        <v>22</v>
      </c>
      <c r="I1281" s="1" t="s">
        <v>23</v>
      </c>
      <c r="J1281" s="1"/>
      <c r="K1281" s="1" t="s">
        <v>3644</v>
      </c>
      <c r="L1281" s="2" t="s">
        <v>3645</v>
      </c>
      <c r="M1281" s="1"/>
      <c r="N1281" s="1"/>
      <c r="O1281" s="1"/>
      <c r="P1281" s="1"/>
      <c r="Q1281" s="1"/>
      <c r="R1281" s="1"/>
      <c r="S1281" s="1"/>
      <c r="T1281" s="1"/>
      <c r="U1281" s="1"/>
      <c r="V1281" s="1"/>
      <c r="W1281" s="1"/>
      <c r="X1281" s="1"/>
      <c r="Y1281" s="1"/>
      <c r="Z1281" s="1"/>
    </row>
    <row r="1282" spans="1:26" ht="33.75" customHeight="1">
      <c r="A1282" s="1">
        <v>1162</v>
      </c>
      <c r="B1282" s="1" t="s">
        <v>3646</v>
      </c>
      <c r="C1282" s="1" t="s">
        <v>3156</v>
      </c>
      <c r="D1282" s="4">
        <v>39884.986111111109</v>
      </c>
      <c r="E1282" s="1" t="s">
        <v>14</v>
      </c>
      <c r="F1282" s="1" t="s">
        <v>3638</v>
      </c>
      <c r="G1282" s="5" t="s">
        <v>64</v>
      </c>
      <c r="H1282" s="5" t="s">
        <v>263</v>
      </c>
      <c r="I1282" s="1" t="s">
        <v>277</v>
      </c>
      <c r="J1282" s="1" t="s">
        <v>3040</v>
      </c>
      <c r="K1282" s="1" t="s">
        <v>3639</v>
      </c>
      <c r="L1282" s="2" t="s">
        <v>3647</v>
      </c>
      <c r="M1282" s="1"/>
      <c r="N1282" s="1"/>
      <c r="O1282" s="1"/>
      <c r="P1282" s="1"/>
      <c r="Q1282" s="1"/>
      <c r="R1282" s="1"/>
      <c r="S1282" s="1"/>
      <c r="T1282" s="1"/>
      <c r="U1282" s="1"/>
      <c r="V1282" s="1"/>
      <c r="W1282" s="1"/>
      <c r="X1282" s="1"/>
      <c r="Y1282" s="1"/>
      <c r="Z1282" s="1"/>
    </row>
    <row r="1283" spans="1:26" ht="33.75" customHeight="1">
      <c r="A1283" s="1">
        <v>1163</v>
      </c>
      <c r="B1283" s="1" t="s">
        <v>3648</v>
      </c>
      <c r="C1283" s="1" t="s">
        <v>3156</v>
      </c>
      <c r="D1283" s="4">
        <v>39884.986805555556</v>
      </c>
      <c r="E1283" s="1" t="s">
        <v>14</v>
      </c>
      <c r="F1283" s="1" t="s">
        <v>3646</v>
      </c>
      <c r="G1283" s="5" t="s">
        <v>64</v>
      </c>
      <c r="H1283" s="5" t="s">
        <v>179</v>
      </c>
      <c r="I1283" s="1" t="s">
        <v>2382</v>
      </c>
      <c r="J1283" s="1"/>
      <c r="K1283" s="1"/>
      <c r="L1283" s="2" t="s">
        <v>3649</v>
      </c>
      <c r="M1283" s="1"/>
      <c r="N1283" s="1"/>
      <c r="O1283" s="1"/>
      <c r="P1283" s="1"/>
      <c r="Q1283" s="1"/>
      <c r="R1283" s="1"/>
      <c r="S1283" s="1"/>
      <c r="T1283" s="1"/>
      <c r="U1283" s="1"/>
      <c r="V1283" s="1"/>
      <c r="W1283" s="1"/>
      <c r="X1283" s="1"/>
      <c r="Y1283" s="1"/>
      <c r="Z1283" s="1"/>
    </row>
    <row r="1284" spans="1:26" ht="33.75" customHeight="1">
      <c r="A1284" s="1">
        <v>1164</v>
      </c>
      <c r="B1284" s="1" t="s">
        <v>3650</v>
      </c>
      <c r="C1284" s="1" t="s">
        <v>3156</v>
      </c>
      <c r="D1284" s="4">
        <v>39884.989583333336</v>
      </c>
      <c r="E1284" s="1" t="s">
        <v>54</v>
      </c>
      <c r="F1284" s="1"/>
      <c r="G1284" s="5" t="s">
        <v>64</v>
      </c>
      <c r="H1284" s="5" t="s">
        <v>1053</v>
      </c>
      <c r="I1284" s="1" t="s">
        <v>3040</v>
      </c>
      <c r="J1284" s="1" t="s">
        <v>3651</v>
      </c>
      <c r="K1284" s="1" t="s">
        <v>3652</v>
      </c>
      <c r="L1284" s="2" t="s">
        <v>3653</v>
      </c>
      <c r="M1284" s="1"/>
      <c r="N1284" s="1"/>
      <c r="O1284" s="1"/>
      <c r="P1284" s="1"/>
      <c r="Q1284" s="1"/>
      <c r="R1284" s="1"/>
      <c r="S1284" s="1"/>
      <c r="T1284" s="1"/>
      <c r="U1284" s="1"/>
      <c r="V1284" s="1"/>
      <c r="W1284" s="1"/>
      <c r="X1284" s="1"/>
      <c r="Y1284" s="1"/>
      <c r="Z1284" s="1"/>
    </row>
    <row r="1285" spans="1:26" ht="33.75" customHeight="1">
      <c r="A1285" s="1">
        <v>1166</v>
      </c>
      <c r="B1285" s="1" t="s">
        <v>3654</v>
      </c>
      <c r="C1285" s="1" t="s">
        <v>3156</v>
      </c>
      <c r="D1285" s="4">
        <v>39884.990972222222</v>
      </c>
      <c r="E1285" s="1" t="s">
        <v>320</v>
      </c>
      <c r="F1285" s="1">
        <v>1006</v>
      </c>
      <c r="G1285" s="1" t="s">
        <v>64</v>
      </c>
      <c r="H1285" s="1" t="s">
        <v>263</v>
      </c>
      <c r="I1285" s="1" t="s">
        <v>3655</v>
      </c>
      <c r="J1285" s="1"/>
      <c r="K1285" s="1"/>
      <c r="L1285" s="2" t="s">
        <v>3656</v>
      </c>
      <c r="M1285" s="1"/>
      <c r="N1285" s="1"/>
      <c r="O1285" s="1"/>
      <c r="P1285" s="1"/>
      <c r="Q1285" s="1"/>
      <c r="R1285" s="1"/>
      <c r="S1285" s="1"/>
      <c r="T1285" s="1"/>
      <c r="U1285" s="1"/>
      <c r="V1285" s="1"/>
      <c r="W1285" s="1"/>
      <c r="X1285" s="1"/>
      <c r="Y1285" s="1"/>
      <c r="Z1285" s="1"/>
    </row>
    <row r="1286" spans="1:26" ht="33.75" customHeight="1">
      <c r="A1286" s="1">
        <v>1167</v>
      </c>
      <c r="B1286" s="1" t="s">
        <v>3657</v>
      </c>
      <c r="C1286" s="1" t="s">
        <v>3156</v>
      </c>
      <c r="D1286" s="4">
        <v>39884.995833333334</v>
      </c>
      <c r="E1286" s="1" t="s">
        <v>14</v>
      </c>
      <c r="F1286" s="1" t="s">
        <v>3654</v>
      </c>
      <c r="G1286" s="5" t="s">
        <v>15</v>
      </c>
      <c r="H1286" s="5" t="s">
        <v>792</v>
      </c>
      <c r="I1286" s="1" t="s">
        <v>2382</v>
      </c>
      <c r="J1286" s="1"/>
      <c r="K1286" s="1" t="s">
        <v>3658</v>
      </c>
      <c r="L1286" s="2" t="s">
        <v>3659</v>
      </c>
      <c r="M1286" s="1"/>
      <c r="N1286" s="1"/>
      <c r="O1286" s="1"/>
      <c r="P1286" s="1"/>
      <c r="Q1286" s="1"/>
      <c r="R1286" s="1"/>
      <c r="S1286" s="1"/>
      <c r="T1286" s="1"/>
      <c r="U1286" s="1"/>
      <c r="V1286" s="1"/>
      <c r="W1286" s="1"/>
      <c r="X1286" s="1"/>
      <c r="Y1286" s="1"/>
      <c r="Z1286" s="1"/>
    </row>
    <row r="1287" spans="1:26" ht="33.75" customHeight="1">
      <c r="A1287" s="1">
        <v>1165</v>
      </c>
      <c r="B1287" s="1" t="s">
        <v>3660</v>
      </c>
      <c r="C1287" s="1" t="s">
        <v>3156</v>
      </c>
      <c r="D1287" s="4">
        <v>39884.996527777781</v>
      </c>
      <c r="E1287" s="1" t="s">
        <v>54</v>
      </c>
      <c r="F1287" s="1" t="s">
        <v>3650</v>
      </c>
      <c r="G1287" s="6" t="s">
        <v>78</v>
      </c>
      <c r="H1287" s="5" t="s">
        <v>79</v>
      </c>
      <c r="I1287" s="1" t="s">
        <v>2382</v>
      </c>
      <c r="J1287" s="1"/>
      <c r="K1287" s="1"/>
      <c r="L1287" s="2" t="s">
        <v>3661</v>
      </c>
      <c r="M1287" s="1"/>
      <c r="N1287" s="1"/>
      <c r="O1287" s="1"/>
      <c r="P1287" s="1"/>
      <c r="Q1287" s="1"/>
      <c r="R1287" s="1"/>
      <c r="S1287" s="1"/>
      <c r="T1287" s="1"/>
      <c r="U1287" s="1"/>
      <c r="V1287" s="1"/>
      <c r="W1287" s="1"/>
      <c r="X1287" s="1"/>
      <c r="Y1287" s="1"/>
      <c r="Z1287" s="1"/>
    </row>
    <row r="1288" spans="1:26" ht="33.75" customHeight="1">
      <c r="A1288" s="1">
        <v>1302</v>
      </c>
      <c r="B1288" s="1" t="s">
        <v>3662</v>
      </c>
      <c r="C1288" s="1" t="s">
        <v>3255</v>
      </c>
      <c r="D1288" s="4">
        <v>39885</v>
      </c>
      <c r="E1288" s="1" t="s">
        <v>320</v>
      </c>
      <c r="F1288" s="1"/>
      <c r="G1288" s="5" t="s">
        <v>64</v>
      </c>
      <c r="H1288" s="5" t="s">
        <v>3663</v>
      </c>
      <c r="I1288" s="1" t="s">
        <v>3664</v>
      </c>
      <c r="J1288" s="1" t="s">
        <v>3665</v>
      </c>
      <c r="K1288" s="1"/>
      <c r="L1288" s="2" t="s">
        <v>3666</v>
      </c>
      <c r="M1288" s="1"/>
      <c r="N1288" s="1"/>
      <c r="O1288" s="1"/>
      <c r="P1288" s="1"/>
      <c r="Q1288" s="1"/>
      <c r="R1288" s="1"/>
      <c r="S1288" s="1"/>
      <c r="T1288" s="1"/>
      <c r="U1288" s="1"/>
      <c r="V1288" s="1"/>
      <c r="W1288" s="1"/>
      <c r="X1288" s="1"/>
      <c r="Y1288" s="1"/>
      <c r="Z1288" s="1"/>
    </row>
    <row r="1289" spans="1:26" ht="33.75" customHeight="1">
      <c r="A1289" s="1">
        <v>1303</v>
      </c>
      <c r="B1289" s="1" t="s">
        <v>3667</v>
      </c>
      <c r="C1289" s="1" t="s">
        <v>3255</v>
      </c>
      <c r="D1289" s="4">
        <v>39885.002083333333</v>
      </c>
      <c r="E1289" s="1" t="s">
        <v>14</v>
      </c>
      <c r="F1289" s="1" t="s">
        <v>3662</v>
      </c>
      <c r="G1289" s="5" t="s">
        <v>15</v>
      </c>
      <c r="H1289" s="5" t="s">
        <v>55</v>
      </c>
      <c r="I1289" s="1" t="s">
        <v>2382</v>
      </c>
      <c r="J1289" s="1"/>
      <c r="K1289" s="1" t="s">
        <v>3668</v>
      </c>
      <c r="L1289" s="2" t="s">
        <v>3669</v>
      </c>
      <c r="M1289" s="1"/>
      <c r="N1289" s="1"/>
      <c r="O1289" s="1"/>
      <c r="P1289" s="1"/>
      <c r="Q1289" s="1"/>
      <c r="R1289" s="1"/>
      <c r="S1289" s="1"/>
      <c r="T1289" s="1"/>
      <c r="U1289" s="1"/>
      <c r="V1289" s="1"/>
      <c r="W1289" s="1"/>
      <c r="X1289" s="1"/>
      <c r="Y1289" s="1"/>
      <c r="Z1289" s="1"/>
    </row>
    <row r="1290" spans="1:26" ht="33.75" customHeight="1">
      <c r="A1290" s="1">
        <v>1299</v>
      </c>
      <c r="B1290" s="1" t="s">
        <v>3670</v>
      </c>
      <c r="C1290" s="1" t="s">
        <v>3255</v>
      </c>
      <c r="D1290" s="4">
        <v>39885.008333333331</v>
      </c>
      <c r="E1290" s="1" t="s">
        <v>3461</v>
      </c>
      <c r="F1290" s="1"/>
      <c r="G1290" s="5" t="s">
        <v>15</v>
      </c>
      <c r="H1290" s="5" t="s">
        <v>22</v>
      </c>
      <c r="I1290" s="1" t="s">
        <v>23</v>
      </c>
      <c r="J1290" s="1"/>
      <c r="K1290" s="1" t="s">
        <v>3671</v>
      </c>
      <c r="L1290" s="2" t="s">
        <v>3672</v>
      </c>
      <c r="M1290" s="1"/>
      <c r="N1290" s="1"/>
      <c r="O1290" s="1"/>
      <c r="P1290" s="1"/>
      <c r="Q1290" s="1"/>
      <c r="R1290" s="1"/>
      <c r="S1290" s="1"/>
      <c r="T1290" s="1"/>
      <c r="U1290" s="1"/>
      <c r="V1290" s="1"/>
      <c r="W1290" s="1"/>
      <c r="X1290" s="1"/>
      <c r="Y1290" s="1"/>
      <c r="Z1290" s="1"/>
    </row>
    <row r="1291" spans="1:26" ht="33.75" customHeight="1">
      <c r="A1291" s="1">
        <v>1300</v>
      </c>
      <c r="B1291" s="1" t="s">
        <v>3673</v>
      </c>
      <c r="C1291" s="1" t="s">
        <v>3255</v>
      </c>
      <c r="D1291" s="4">
        <v>39885.008333333331</v>
      </c>
      <c r="E1291" s="1" t="s">
        <v>320</v>
      </c>
      <c r="F1291" s="1"/>
      <c r="G1291" s="5" t="s">
        <v>15</v>
      </c>
      <c r="H1291" s="5" t="s">
        <v>22</v>
      </c>
      <c r="I1291" s="1" t="s">
        <v>23</v>
      </c>
      <c r="J1291" s="1"/>
      <c r="K1291" s="1"/>
      <c r="L1291" s="2" t="s">
        <v>3674</v>
      </c>
      <c r="M1291" s="1"/>
      <c r="N1291" s="1"/>
      <c r="O1291" s="1"/>
      <c r="P1291" s="1"/>
      <c r="Q1291" s="1"/>
      <c r="R1291" s="1"/>
      <c r="S1291" s="1"/>
      <c r="T1291" s="1"/>
      <c r="U1291" s="1"/>
      <c r="V1291" s="1"/>
      <c r="W1291" s="1"/>
      <c r="X1291" s="1"/>
      <c r="Y1291" s="1"/>
      <c r="Z1291" s="1"/>
    </row>
    <row r="1292" spans="1:26" ht="33.75" customHeight="1">
      <c r="A1292" s="1">
        <v>1304</v>
      </c>
      <c r="B1292" s="1" t="s">
        <v>3675</v>
      </c>
      <c r="C1292" s="1" t="s">
        <v>3255</v>
      </c>
      <c r="D1292" s="4">
        <v>39885.010416666664</v>
      </c>
      <c r="E1292" s="1" t="s">
        <v>320</v>
      </c>
      <c r="F1292" s="1" t="s">
        <v>3662</v>
      </c>
      <c r="G1292" s="5" t="s">
        <v>15</v>
      </c>
      <c r="H1292" s="5" t="s">
        <v>150</v>
      </c>
      <c r="I1292" s="1" t="s">
        <v>2382</v>
      </c>
      <c r="J1292" s="1"/>
      <c r="K1292" s="1"/>
      <c r="L1292" s="2" t="s">
        <v>3676</v>
      </c>
      <c r="M1292" s="1"/>
      <c r="N1292" s="1"/>
      <c r="O1292" s="1"/>
      <c r="P1292" s="1"/>
      <c r="Q1292" s="1"/>
      <c r="R1292" s="1"/>
      <c r="S1292" s="1"/>
      <c r="T1292" s="1"/>
      <c r="U1292" s="1"/>
      <c r="V1292" s="1"/>
      <c r="W1292" s="1"/>
      <c r="X1292" s="1"/>
      <c r="Y1292" s="1"/>
      <c r="Z1292" s="1"/>
    </row>
    <row r="1293" spans="1:26" ht="33.75" customHeight="1">
      <c r="A1293" s="1">
        <v>1168</v>
      </c>
      <c r="B1293" s="1" t="s">
        <v>3677</v>
      </c>
      <c r="C1293" s="1" t="s">
        <v>3156</v>
      </c>
      <c r="D1293" s="4">
        <v>39885.018055555556</v>
      </c>
      <c r="E1293" s="1" t="s">
        <v>14</v>
      </c>
      <c r="F1293" s="1"/>
      <c r="G1293" s="5" t="s">
        <v>15</v>
      </c>
      <c r="H1293" s="5" t="s">
        <v>150</v>
      </c>
      <c r="I1293" s="1" t="s">
        <v>295</v>
      </c>
      <c r="J1293" s="1"/>
      <c r="K1293" s="1" t="s">
        <v>3678</v>
      </c>
      <c r="L1293" s="2" t="s">
        <v>3679</v>
      </c>
      <c r="M1293" s="1"/>
      <c r="N1293" s="1"/>
      <c r="O1293" s="1"/>
      <c r="P1293" s="1"/>
      <c r="Q1293" s="1"/>
      <c r="R1293" s="1"/>
      <c r="S1293" s="1"/>
      <c r="T1293" s="1"/>
      <c r="U1293" s="1"/>
      <c r="V1293" s="1"/>
      <c r="W1293" s="1"/>
      <c r="X1293" s="1"/>
      <c r="Y1293" s="1"/>
      <c r="Z1293" s="1"/>
    </row>
    <row r="1294" spans="1:26" ht="33.75" customHeight="1">
      <c r="A1294" s="1">
        <v>1284</v>
      </c>
      <c r="B1294" s="1" t="s">
        <v>3680</v>
      </c>
      <c r="C1294" s="1" t="s">
        <v>3255</v>
      </c>
      <c r="D1294" s="4">
        <v>39885.038194444445</v>
      </c>
      <c r="E1294" s="1" t="s">
        <v>3681</v>
      </c>
      <c r="F1294" s="1"/>
      <c r="G1294" s="5" t="s">
        <v>26</v>
      </c>
      <c r="H1294" s="5" t="s">
        <v>27</v>
      </c>
      <c r="I1294" s="1" t="s">
        <v>28</v>
      </c>
      <c r="J1294" s="1" t="s">
        <v>259</v>
      </c>
      <c r="K1294" s="1" t="s">
        <v>3682</v>
      </c>
      <c r="L1294" s="2" t="s">
        <v>3683</v>
      </c>
      <c r="M1294" s="1"/>
      <c r="N1294" s="1"/>
      <c r="O1294" s="1"/>
      <c r="P1294" s="1"/>
      <c r="Q1294" s="1"/>
      <c r="R1294" s="1"/>
      <c r="S1294" s="1"/>
      <c r="T1294" s="1"/>
      <c r="U1294" s="1"/>
      <c r="V1294" s="1"/>
      <c r="W1294" s="1"/>
      <c r="X1294" s="1"/>
      <c r="Y1294" s="1"/>
      <c r="Z1294" s="1"/>
    </row>
    <row r="1295" spans="1:26" ht="33.75" customHeight="1">
      <c r="A1295" s="1">
        <v>1169</v>
      </c>
      <c r="B1295" s="1" t="s">
        <v>3684</v>
      </c>
      <c r="C1295" s="1" t="s">
        <v>3156</v>
      </c>
      <c r="D1295" s="4">
        <v>39885.046527777777</v>
      </c>
      <c r="E1295" s="1" t="s">
        <v>196</v>
      </c>
      <c r="F1295" s="1" t="s">
        <v>3677</v>
      </c>
      <c r="G1295" s="5" t="s">
        <v>15</v>
      </c>
      <c r="H1295" s="5" t="s">
        <v>150</v>
      </c>
      <c r="I1295" s="1" t="s">
        <v>295</v>
      </c>
      <c r="J1295" s="1"/>
      <c r="K1295" s="1" t="s">
        <v>3685</v>
      </c>
      <c r="L1295" s="2" t="s">
        <v>3686</v>
      </c>
      <c r="M1295" s="1"/>
      <c r="N1295" s="1"/>
      <c r="O1295" s="1"/>
      <c r="P1295" s="1"/>
      <c r="Q1295" s="1"/>
      <c r="R1295" s="1"/>
      <c r="S1295" s="1"/>
      <c r="T1295" s="1"/>
      <c r="U1295" s="1"/>
      <c r="V1295" s="1"/>
      <c r="W1295" s="1"/>
      <c r="X1295" s="1"/>
      <c r="Y1295" s="1"/>
      <c r="Z1295" s="1"/>
    </row>
    <row r="1296" spans="1:26" ht="33.75" customHeight="1">
      <c r="A1296" s="1">
        <v>1170</v>
      </c>
      <c r="B1296" s="1" t="s">
        <v>3687</v>
      </c>
      <c r="C1296" s="1" t="s">
        <v>3156</v>
      </c>
      <c r="D1296" s="4">
        <v>39885.053472222222</v>
      </c>
      <c r="E1296" s="1" t="s">
        <v>14</v>
      </c>
      <c r="F1296" s="1" t="s">
        <v>3677</v>
      </c>
      <c r="G1296" s="5" t="s">
        <v>26</v>
      </c>
      <c r="H1296" s="5" t="s">
        <v>133</v>
      </c>
      <c r="I1296" s="1" t="s">
        <v>295</v>
      </c>
      <c r="J1296" s="1"/>
      <c r="K1296" s="1" t="s">
        <v>3688</v>
      </c>
      <c r="L1296" s="2" t="s">
        <v>3689</v>
      </c>
      <c r="M1296" s="1"/>
      <c r="N1296" s="1"/>
      <c r="O1296" s="1"/>
      <c r="P1296" s="1"/>
      <c r="Q1296" s="1"/>
      <c r="R1296" s="1"/>
      <c r="S1296" s="1"/>
      <c r="T1296" s="1"/>
      <c r="U1296" s="1"/>
      <c r="V1296" s="1"/>
      <c r="W1296" s="1"/>
      <c r="X1296" s="1"/>
      <c r="Y1296" s="1"/>
      <c r="Z1296" s="1"/>
    </row>
    <row r="1297" spans="1:26" ht="33.75" customHeight="1">
      <c r="A1297" s="1">
        <v>1171</v>
      </c>
      <c r="B1297" s="1" t="s">
        <v>3690</v>
      </c>
      <c r="C1297" s="1" t="s">
        <v>3156</v>
      </c>
      <c r="D1297" s="4">
        <v>39885.090277777781</v>
      </c>
      <c r="E1297" s="1" t="s">
        <v>196</v>
      </c>
      <c r="F1297" s="1" t="s">
        <v>3677</v>
      </c>
      <c r="G1297" s="5" t="s">
        <v>15</v>
      </c>
      <c r="H1297" s="5" t="s">
        <v>150</v>
      </c>
      <c r="I1297" s="1" t="s">
        <v>295</v>
      </c>
      <c r="J1297" s="1"/>
      <c r="K1297" s="1" t="s">
        <v>3685</v>
      </c>
      <c r="L1297" s="2" t="s">
        <v>3691</v>
      </c>
      <c r="M1297" s="1"/>
      <c r="N1297" s="1"/>
      <c r="O1297" s="1"/>
      <c r="P1297" s="1"/>
      <c r="Q1297" s="1"/>
      <c r="R1297" s="1"/>
      <c r="S1297" s="1"/>
      <c r="T1297" s="1"/>
      <c r="U1297" s="1"/>
      <c r="V1297" s="1"/>
      <c r="W1297" s="1"/>
      <c r="X1297" s="1"/>
      <c r="Y1297" s="1"/>
      <c r="Z1297" s="1"/>
    </row>
    <row r="1298" spans="1:26" ht="33.75" customHeight="1">
      <c r="A1298" s="1">
        <v>1173</v>
      </c>
      <c r="B1298" s="1" t="s">
        <v>3692</v>
      </c>
      <c r="C1298" s="1" t="s">
        <v>3156</v>
      </c>
      <c r="D1298" s="4">
        <v>39885.1</v>
      </c>
      <c r="E1298" s="1" t="s">
        <v>320</v>
      </c>
      <c r="F1298" s="1" t="s">
        <v>3654</v>
      </c>
      <c r="G1298" s="5" t="s">
        <v>64</v>
      </c>
      <c r="H1298" s="5" t="s">
        <v>1053</v>
      </c>
      <c r="I1298" s="1" t="s">
        <v>3693</v>
      </c>
      <c r="J1298" s="1"/>
      <c r="K1298" s="1"/>
      <c r="L1298" s="2" t="s">
        <v>3694</v>
      </c>
      <c r="M1298" s="1"/>
      <c r="N1298" s="1"/>
      <c r="O1298" s="1"/>
      <c r="P1298" s="1"/>
      <c r="Q1298" s="1"/>
      <c r="R1298" s="1"/>
      <c r="S1298" s="1"/>
      <c r="T1298" s="1"/>
      <c r="U1298" s="1"/>
      <c r="V1298" s="1"/>
      <c r="W1298" s="1"/>
      <c r="X1298" s="1"/>
      <c r="Y1298" s="1"/>
      <c r="Z1298" s="1"/>
    </row>
    <row r="1299" spans="1:26" ht="33.75" customHeight="1">
      <c r="A1299" s="1">
        <v>1305</v>
      </c>
      <c r="B1299" s="1" t="s">
        <v>3695</v>
      </c>
      <c r="C1299" s="1" t="s">
        <v>3255</v>
      </c>
      <c r="D1299" s="4">
        <v>39885.113888888889</v>
      </c>
      <c r="E1299" s="1" t="s">
        <v>3696</v>
      </c>
      <c r="F1299" s="1"/>
      <c r="G1299" s="5" t="s">
        <v>15</v>
      </c>
      <c r="H1299" s="5" t="s">
        <v>50</v>
      </c>
      <c r="I1299" s="1" t="s">
        <v>166</v>
      </c>
      <c r="J1299" s="1"/>
      <c r="K1299" s="1" t="s">
        <v>3697</v>
      </c>
      <c r="L1299" s="2" t="s">
        <v>3698</v>
      </c>
      <c r="M1299" s="1"/>
      <c r="N1299" s="1"/>
      <c r="O1299" s="1"/>
      <c r="P1299" s="1"/>
      <c r="Q1299" s="1"/>
      <c r="R1299" s="1"/>
      <c r="S1299" s="1"/>
      <c r="T1299" s="1"/>
      <c r="U1299" s="1"/>
      <c r="V1299" s="1"/>
      <c r="W1299" s="1"/>
      <c r="X1299" s="1"/>
      <c r="Y1299" s="1"/>
      <c r="Z1299" s="1"/>
    </row>
    <row r="1300" spans="1:26" ht="33.75" customHeight="1">
      <c r="A1300" s="1">
        <v>1172</v>
      </c>
      <c r="B1300" s="1" t="s">
        <v>3699</v>
      </c>
      <c r="C1300" s="1" t="s">
        <v>3156</v>
      </c>
      <c r="D1300" s="4">
        <v>39885.145138888889</v>
      </c>
      <c r="E1300" s="1" t="s">
        <v>196</v>
      </c>
      <c r="F1300" s="1" t="s">
        <v>3677</v>
      </c>
      <c r="G1300" s="5" t="s">
        <v>15</v>
      </c>
      <c r="H1300" s="5" t="s">
        <v>150</v>
      </c>
      <c r="I1300" s="1" t="s">
        <v>295</v>
      </c>
      <c r="J1300" s="1"/>
      <c r="K1300" s="1" t="s">
        <v>3685</v>
      </c>
      <c r="L1300" s="2" t="s">
        <v>3700</v>
      </c>
      <c r="M1300" s="1"/>
      <c r="N1300" s="1"/>
      <c r="O1300" s="1"/>
      <c r="P1300" s="1"/>
      <c r="Q1300" s="1"/>
      <c r="R1300" s="1"/>
      <c r="S1300" s="1"/>
      <c r="T1300" s="1"/>
      <c r="U1300" s="1"/>
      <c r="V1300" s="1"/>
      <c r="W1300" s="1"/>
      <c r="X1300" s="1"/>
      <c r="Y1300" s="1"/>
      <c r="Z1300" s="1"/>
    </row>
    <row r="1301" spans="1:26" ht="33.75" customHeight="1">
      <c r="A1301" s="1">
        <v>1882</v>
      </c>
      <c r="B1301" s="1" t="s">
        <v>3701</v>
      </c>
      <c r="C1301" s="1" t="s">
        <v>2870</v>
      </c>
      <c r="D1301" s="4">
        <v>39885.299305555556</v>
      </c>
      <c r="E1301" s="1" t="s">
        <v>381</v>
      </c>
      <c r="F1301" s="1" t="s">
        <v>3702</v>
      </c>
      <c r="G1301" s="5" t="s">
        <v>64</v>
      </c>
      <c r="H1301" s="1"/>
      <c r="I1301" s="1" t="s">
        <v>64</v>
      </c>
      <c r="J1301" s="1"/>
      <c r="K1301" s="1"/>
      <c r="L1301" s="2" t="s">
        <v>3703</v>
      </c>
      <c r="M1301" s="1"/>
      <c r="N1301" s="1"/>
      <c r="O1301" s="1"/>
      <c r="P1301" s="1"/>
      <c r="Q1301" s="1"/>
      <c r="R1301" s="1"/>
      <c r="S1301" s="1"/>
      <c r="T1301" s="1"/>
      <c r="U1301" s="1"/>
      <c r="V1301" s="1"/>
      <c r="W1301" s="1"/>
      <c r="X1301" s="1"/>
      <c r="Y1301" s="1"/>
      <c r="Z1301" s="1"/>
    </row>
    <row r="1302" spans="1:26" ht="33.75" customHeight="1">
      <c r="A1302" s="1">
        <v>1174</v>
      </c>
      <c r="B1302" s="1" t="s">
        <v>3704</v>
      </c>
      <c r="C1302" s="1" t="s">
        <v>3156</v>
      </c>
      <c r="D1302" s="4">
        <v>39885.306944444441</v>
      </c>
      <c r="E1302" s="1" t="s">
        <v>320</v>
      </c>
      <c r="F1302" s="1" t="s">
        <v>3692</v>
      </c>
      <c r="G1302" s="5" t="s">
        <v>64</v>
      </c>
      <c r="H1302" s="5" t="s">
        <v>1053</v>
      </c>
      <c r="I1302" s="1" t="s">
        <v>2382</v>
      </c>
      <c r="J1302" s="1"/>
      <c r="K1302" s="1"/>
      <c r="L1302" s="2" t="s">
        <v>3705</v>
      </c>
      <c r="M1302" s="1"/>
      <c r="N1302" s="1"/>
      <c r="O1302" s="1"/>
      <c r="P1302" s="1"/>
      <c r="Q1302" s="1"/>
      <c r="R1302" s="1"/>
      <c r="S1302" s="1"/>
      <c r="T1302" s="1"/>
      <c r="U1302" s="1"/>
      <c r="V1302" s="1"/>
      <c r="W1302" s="1"/>
      <c r="X1302" s="1"/>
      <c r="Y1302" s="1"/>
      <c r="Z1302" s="1"/>
    </row>
    <row r="1303" spans="1:26" ht="33.75" customHeight="1">
      <c r="A1303" s="1">
        <v>1883</v>
      </c>
      <c r="B1303" s="1" t="s">
        <v>3706</v>
      </c>
      <c r="C1303" s="1" t="s">
        <v>2870</v>
      </c>
      <c r="D1303" s="4">
        <v>39885.352777777778</v>
      </c>
      <c r="E1303" s="1" t="s">
        <v>54</v>
      </c>
      <c r="F1303" s="1" t="s">
        <v>3701</v>
      </c>
      <c r="G1303" s="5" t="s">
        <v>64</v>
      </c>
      <c r="H1303" s="1"/>
      <c r="I1303" s="1" t="s">
        <v>64</v>
      </c>
      <c r="J1303" s="1"/>
      <c r="K1303" s="1"/>
      <c r="L1303" s="2" t="s">
        <v>3707</v>
      </c>
      <c r="M1303" s="1"/>
      <c r="N1303" s="1"/>
      <c r="O1303" s="1"/>
      <c r="P1303" s="1"/>
      <c r="Q1303" s="1"/>
      <c r="R1303" s="1"/>
      <c r="S1303" s="1"/>
      <c r="T1303" s="1"/>
      <c r="U1303" s="1"/>
      <c r="V1303" s="1"/>
      <c r="W1303" s="1"/>
      <c r="X1303" s="1"/>
      <c r="Y1303" s="1"/>
      <c r="Z1303" s="1"/>
    </row>
    <row r="1304" spans="1:26" ht="33.75" customHeight="1">
      <c r="A1304" s="1">
        <v>1307</v>
      </c>
      <c r="B1304" s="1" t="s">
        <v>3708</v>
      </c>
      <c r="C1304" s="1" t="s">
        <v>3255</v>
      </c>
      <c r="D1304" s="4">
        <v>39885.385416666664</v>
      </c>
      <c r="E1304" s="1" t="s">
        <v>14</v>
      </c>
      <c r="F1304" s="1"/>
      <c r="G1304" s="5" t="s">
        <v>15</v>
      </c>
      <c r="H1304" s="5" t="s">
        <v>140</v>
      </c>
      <c r="I1304" s="1" t="s">
        <v>166</v>
      </c>
      <c r="J1304" s="1"/>
      <c r="K1304" s="1" t="s">
        <v>3709</v>
      </c>
      <c r="L1304" s="2" t="s">
        <v>3710</v>
      </c>
      <c r="M1304" s="1"/>
      <c r="N1304" s="1"/>
      <c r="O1304" s="1"/>
      <c r="P1304" s="1"/>
      <c r="Q1304" s="1"/>
      <c r="R1304" s="1"/>
      <c r="S1304" s="1"/>
      <c r="T1304" s="1"/>
      <c r="U1304" s="1"/>
      <c r="V1304" s="1"/>
      <c r="W1304" s="1"/>
      <c r="X1304" s="1"/>
      <c r="Y1304" s="1"/>
      <c r="Z1304" s="1"/>
    </row>
    <row r="1305" spans="1:26" ht="33.75" customHeight="1">
      <c r="A1305" s="1">
        <v>1306</v>
      </c>
      <c r="B1305" s="1" t="s">
        <v>3711</v>
      </c>
      <c r="C1305" s="1" t="s">
        <v>3255</v>
      </c>
      <c r="D1305" s="4">
        <v>39885.388194444444</v>
      </c>
      <c r="E1305" s="1" t="s">
        <v>14</v>
      </c>
      <c r="F1305" s="1"/>
      <c r="G1305" s="1" t="s">
        <v>15</v>
      </c>
      <c r="H1305" s="1" t="s">
        <v>50</v>
      </c>
      <c r="I1305" s="1" t="s">
        <v>166</v>
      </c>
      <c r="J1305" s="1"/>
      <c r="K1305" s="1" t="s">
        <v>3712</v>
      </c>
      <c r="L1305" s="2" t="s">
        <v>3713</v>
      </c>
      <c r="M1305" s="1"/>
      <c r="N1305" s="1"/>
      <c r="O1305" s="1"/>
      <c r="P1305" s="1"/>
      <c r="Q1305" s="1"/>
      <c r="R1305" s="1"/>
      <c r="S1305" s="1"/>
      <c r="T1305" s="1"/>
      <c r="U1305" s="1"/>
      <c r="V1305" s="1"/>
      <c r="W1305" s="1"/>
      <c r="X1305" s="1"/>
      <c r="Y1305" s="1"/>
      <c r="Z1305" s="1"/>
    </row>
    <row r="1306" spans="1:26" ht="33.75" customHeight="1">
      <c r="A1306" s="1">
        <v>1175</v>
      </c>
      <c r="B1306" s="1" t="s">
        <v>3714</v>
      </c>
      <c r="C1306" s="1" t="s">
        <v>3156</v>
      </c>
      <c r="D1306" s="4">
        <v>39885.395833333336</v>
      </c>
      <c r="E1306" s="1" t="s">
        <v>1887</v>
      </c>
      <c r="F1306" s="1"/>
      <c r="G1306" s="5" t="s">
        <v>26</v>
      </c>
      <c r="H1306" s="5" t="s">
        <v>133</v>
      </c>
      <c r="I1306" s="1" t="s">
        <v>28</v>
      </c>
      <c r="J1306" s="1" t="s">
        <v>134</v>
      </c>
      <c r="K1306" s="1" t="s">
        <v>955</v>
      </c>
      <c r="L1306" s="2" t="s">
        <v>3715</v>
      </c>
      <c r="M1306" s="1"/>
      <c r="N1306" s="1"/>
      <c r="O1306" s="1"/>
      <c r="P1306" s="1"/>
      <c r="Q1306" s="1"/>
      <c r="R1306" s="1"/>
      <c r="S1306" s="1"/>
      <c r="T1306" s="1"/>
      <c r="U1306" s="1"/>
      <c r="V1306" s="1"/>
      <c r="W1306" s="1"/>
      <c r="X1306" s="1"/>
      <c r="Y1306" s="1"/>
      <c r="Z1306" s="1"/>
    </row>
    <row r="1307" spans="1:26" ht="33.75" customHeight="1">
      <c r="A1307" s="1">
        <v>1176</v>
      </c>
      <c r="B1307" s="1" t="s">
        <v>3716</v>
      </c>
      <c r="C1307" s="1" t="s">
        <v>3156</v>
      </c>
      <c r="D1307" s="4">
        <v>39885.415972222225</v>
      </c>
      <c r="E1307" s="1" t="s">
        <v>14</v>
      </c>
      <c r="F1307" s="1" t="s">
        <v>3714</v>
      </c>
      <c r="G1307" s="5" t="s">
        <v>26</v>
      </c>
      <c r="H1307" s="5" t="s">
        <v>27</v>
      </c>
      <c r="I1307" s="1" t="s">
        <v>28</v>
      </c>
      <c r="J1307" s="1" t="s">
        <v>259</v>
      </c>
      <c r="K1307" s="1" t="s">
        <v>3717</v>
      </c>
      <c r="L1307" s="2" t="s">
        <v>3718</v>
      </c>
      <c r="M1307" s="1"/>
      <c r="N1307" s="1"/>
      <c r="O1307" s="1"/>
      <c r="P1307" s="1"/>
      <c r="Q1307" s="1"/>
      <c r="R1307" s="1"/>
      <c r="S1307" s="1"/>
      <c r="T1307" s="1"/>
      <c r="U1307" s="1"/>
      <c r="V1307" s="1"/>
      <c r="W1307" s="1"/>
      <c r="X1307" s="1"/>
      <c r="Y1307" s="1"/>
      <c r="Z1307" s="1"/>
    </row>
    <row r="1308" spans="1:26" ht="33.75" customHeight="1">
      <c r="A1308" s="1">
        <v>1273</v>
      </c>
      <c r="B1308" s="1" t="s">
        <v>3719</v>
      </c>
      <c r="C1308" s="1" t="s">
        <v>3255</v>
      </c>
      <c r="D1308" s="4">
        <v>39885.421527777777</v>
      </c>
      <c r="E1308" s="1" t="s">
        <v>14</v>
      </c>
      <c r="F1308" s="1" t="s">
        <v>3502</v>
      </c>
      <c r="G1308" s="5" t="s">
        <v>26</v>
      </c>
      <c r="H1308" s="5" t="s">
        <v>27</v>
      </c>
      <c r="I1308" s="1" t="s">
        <v>28</v>
      </c>
      <c r="J1308" s="1" t="s">
        <v>259</v>
      </c>
      <c r="K1308" s="1" t="s">
        <v>3720</v>
      </c>
      <c r="L1308" s="2" t="s">
        <v>3721</v>
      </c>
      <c r="M1308" s="1"/>
      <c r="N1308" s="1"/>
      <c r="O1308" s="1"/>
      <c r="P1308" s="1"/>
      <c r="Q1308" s="1"/>
      <c r="R1308" s="1"/>
      <c r="S1308" s="1"/>
      <c r="T1308" s="1"/>
      <c r="U1308" s="1"/>
      <c r="V1308" s="1"/>
      <c r="W1308" s="1"/>
      <c r="X1308" s="1"/>
      <c r="Y1308" s="1"/>
      <c r="Z1308" s="1"/>
    </row>
    <row r="1309" spans="1:26" ht="33.75" customHeight="1">
      <c r="A1309" s="1">
        <v>1884</v>
      </c>
      <c r="B1309" s="1" t="s">
        <v>3722</v>
      </c>
      <c r="C1309" s="1" t="s">
        <v>2870</v>
      </c>
      <c r="D1309" s="4">
        <v>39885.438888888886</v>
      </c>
      <c r="E1309" s="1" t="s">
        <v>1089</v>
      </c>
      <c r="F1309" s="1"/>
      <c r="G1309" s="5" t="s">
        <v>64</v>
      </c>
      <c r="H1309" s="1"/>
      <c r="I1309" s="1" t="s">
        <v>64</v>
      </c>
      <c r="J1309" s="1"/>
      <c r="K1309" s="1"/>
      <c r="L1309" s="2" t="s">
        <v>3723</v>
      </c>
      <c r="M1309" s="1"/>
      <c r="N1309" s="1"/>
      <c r="O1309" s="1"/>
      <c r="P1309" s="1"/>
      <c r="Q1309" s="1"/>
      <c r="R1309" s="1"/>
      <c r="S1309" s="1"/>
      <c r="T1309" s="1"/>
      <c r="U1309" s="1"/>
      <c r="V1309" s="1"/>
      <c r="W1309" s="1"/>
      <c r="X1309" s="1"/>
      <c r="Y1309" s="1"/>
      <c r="Z1309" s="1"/>
    </row>
    <row r="1310" spans="1:26" ht="33.75" customHeight="1">
      <c r="A1310" s="1">
        <v>1885</v>
      </c>
      <c r="B1310" s="1" t="s">
        <v>3724</v>
      </c>
      <c r="C1310" s="1" t="s">
        <v>2870</v>
      </c>
      <c r="D1310" s="4">
        <v>39885.445833333331</v>
      </c>
      <c r="E1310" s="1" t="s">
        <v>54</v>
      </c>
      <c r="F1310" s="1" t="s">
        <v>3722</v>
      </c>
      <c r="G1310" s="5" t="s">
        <v>64</v>
      </c>
      <c r="H1310" s="1"/>
      <c r="I1310" s="1" t="s">
        <v>64</v>
      </c>
      <c r="J1310" s="1"/>
      <c r="K1310" s="1"/>
      <c r="L1310" s="2" t="s">
        <v>3725</v>
      </c>
      <c r="M1310" s="1"/>
      <c r="N1310" s="1"/>
      <c r="O1310" s="1"/>
      <c r="P1310" s="1"/>
      <c r="Q1310" s="1"/>
      <c r="R1310" s="1"/>
      <c r="S1310" s="1"/>
      <c r="T1310" s="1"/>
      <c r="U1310" s="1"/>
      <c r="V1310" s="1"/>
      <c r="W1310" s="1"/>
      <c r="X1310" s="1"/>
      <c r="Y1310" s="1"/>
      <c r="Z1310" s="1"/>
    </row>
    <row r="1311" spans="1:26" ht="33.75" customHeight="1">
      <c r="A1311" s="1">
        <v>1886</v>
      </c>
      <c r="B1311" s="1" t="s">
        <v>3726</v>
      </c>
      <c r="C1311" s="1" t="s">
        <v>2870</v>
      </c>
      <c r="D1311" s="4">
        <v>39885.506944444445</v>
      </c>
      <c r="E1311" s="1" t="s">
        <v>760</v>
      </c>
      <c r="F1311" s="1"/>
      <c r="G1311" s="5" t="s">
        <v>64</v>
      </c>
      <c r="H1311" s="5" t="s">
        <v>263</v>
      </c>
      <c r="I1311" s="1" t="s">
        <v>3727</v>
      </c>
      <c r="J1311" s="1"/>
      <c r="K1311" s="1"/>
      <c r="L1311" s="2" t="s">
        <v>3728</v>
      </c>
      <c r="M1311" s="1"/>
      <c r="N1311" s="1"/>
      <c r="O1311" s="1"/>
      <c r="P1311" s="1"/>
      <c r="Q1311" s="1"/>
      <c r="R1311" s="1"/>
      <c r="S1311" s="1"/>
      <c r="T1311" s="1"/>
      <c r="U1311" s="1"/>
      <c r="V1311" s="1"/>
      <c r="W1311" s="1"/>
      <c r="X1311" s="1"/>
      <c r="Y1311" s="1"/>
      <c r="Z1311" s="1"/>
    </row>
    <row r="1312" spans="1:26" ht="33.75" customHeight="1">
      <c r="A1312" s="1">
        <v>1177</v>
      </c>
      <c r="B1312" s="1" t="s">
        <v>3729</v>
      </c>
      <c r="C1312" s="1" t="s">
        <v>3156</v>
      </c>
      <c r="D1312" s="4">
        <v>39885.532638888886</v>
      </c>
      <c r="E1312" s="1" t="s">
        <v>14</v>
      </c>
      <c r="F1312" s="1"/>
      <c r="G1312" s="1" t="s">
        <v>64</v>
      </c>
      <c r="H1312" s="1" t="s">
        <v>263</v>
      </c>
      <c r="I1312" s="1" t="s">
        <v>238</v>
      </c>
      <c r="J1312" s="1" t="s">
        <v>1443</v>
      </c>
      <c r="K1312" s="1"/>
      <c r="L1312" s="2" t="s">
        <v>3730</v>
      </c>
      <c r="M1312" s="1"/>
      <c r="N1312" s="1"/>
      <c r="O1312" s="1"/>
      <c r="P1312" s="1"/>
      <c r="Q1312" s="1"/>
      <c r="R1312" s="1"/>
      <c r="S1312" s="1"/>
      <c r="T1312" s="1"/>
      <c r="U1312" s="1"/>
      <c r="V1312" s="1"/>
      <c r="W1312" s="1"/>
      <c r="X1312" s="1"/>
      <c r="Y1312" s="1"/>
      <c r="Z1312" s="1"/>
    </row>
    <row r="1313" spans="1:26" ht="33.75" customHeight="1">
      <c r="A1313" s="1">
        <v>1887</v>
      </c>
      <c r="B1313" s="1" t="s">
        <v>3731</v>
      </c>
      <c r="C1313" s="1" t="s">
        <v>2870</v>
      </c>
      <c r="D1313" s="4">
        <v>39885.535416666666</v>
      </c>
      <c r="E1313" s="1" t="s">
        <v>772</v>
      </c>
      <c r="F1313" s="1"/>
      <c r="G1313" s="5" t="s">
        <v>64</v>
      </c>
      <c r="H1313" s="1"/>
      <c r="I1313" s="1" t="s">
        <v>64</v>
      </c>
      <c r="J1313" s="1"/>
      <c r="K1313" s="1"/>
      <c r="L1313" s="2" t="s">
        <v>3732</v>
      </c>
      <c r="M1313" s="1"/>
      <c r="N1313" s="1"/>
      <c r="O1313" s="1"/>
      <c r="P1313" s="1"/>
      <c r="Q1313" s="1"/>
      <c r="R1313" s="1"/>
      <c r="S1313" s="1"/>
      <c r="T1313" s="1"/>
      <c r="U1313" s="1"/>
      <c r="V1313" s="1"/>
      <c r="W1313" s="1"/>
      <c r="X1313" s="1"/>
      <c r="Y1313" s="1"/>
      <c r="Z1313" s="1"/>
    </row>
    <row r="1314" spans="1:26" ht="33.75" customHeight="1">
      <c r="A1314" s="1">
        <v>1888</v>
      </c>
      <c r="B1314" s="1" t="s">
        <v>3733</v>
      </c>
      <c r="C1314" s="1" t="s">
        <v>2870</v>
      </c>
      <c r="D1314" s="4">
        <v>39885.559027777781</v>
      </c>
      <c r="E1314" s="1" t="s">
        <v>772</v>
      </c>
      <c r="F1314" s="1"/>
      <c r="G1314" s="5" t="s">
        <v>64</v>
      </c>
      <c r="H1314" s="1"/>
      <c r="I1314" s="1" t="s">
        <v>64</v>
      </c>
      <c r="J1314" s="1"/>
      <c r="K1314" s="1"/>
      <c r="L1314" s="2" t="s">
        <v>3734</v>
      </c>
      <c r="M1314" s="1"/>
      <c r="N1314" s="1"/>
      <c r="O1314" s="1"/>
      <c r="P1314" s="1"/>
      <c r="Q1314" s="1"/>
      <c r="R1314" s="1"/>
      <c r="S1314" s="1"/>
      <c r="T1314" s="1"/>
      <c r="U1314" s="1"/>
      <c r="V1314" s="1"/>
      <c r="W1314" s="1"/>
      <c r="X1314" s="1"/>
      <c r="Y1314" s="1"/>
      <c r="Z1314" s="1"/>
    </row>
    <row r="1315" spans="1:26" ht="33.75" customHeight="1">
      <c r="A1315" s="1">
        <v>1889</v>
      </c>
      <c r="B1315" s="1" t="s">
        <v>3735</v>
      </c>
      <c r="C1315" s="1" t="s">
        <v>2870</v>
      </c>
      <c r="D1315" s="4">
        <v>39885.570833333331</v>
      </c>
      <c r="E1315" s="1" t="s">
        <v>1089</v>
      </c>
      <c r="F1315" s="1"/>
      <c r="G1315" s="5" t="s">
        <v>64</v>
      </c>
      <c r="H1315" s="1"/>
      <c r="I1315" s="1" t="s">
        <v>64</v>
      </c>
      <c r="J1315" s="1"/>
      <c r="K1315" s="1"/>
      <c r="L1315" s="2" t="s">
        <v>3736</v>
      </c>
      <c r="M1315" s="1"/>
      <c r="N1315" s="1"/>
      <c r="O1315" s="1"/>
      <c r="P1315" s="1"/>
      <c r="Q1315" s="1"/>
      <c r="R1315" s="1"/>
      <c r="S1315" s="1"/>
      <c r="T1315" s="1"/>
      <c r="U1315" s="1"/>
      <c r="V1315" s="1"/>
      <c r="W1315" s="1"/>
      <c r="X1315" s="1"/>
      <c r="Y1315" s="1"/>
      <c r="Z1315" s="1"/>
    </row>
    <row r="1316" spans="1:26" ht="33.75" customHeight="1">
      <c r="A1316" s="1">
        <v>1890</v>
      </c>
      <c r="B1316" s="1" t="s">
        <v>3737</v>
      </c>
      <c r="C1316" s="1" t="s">
        <v>2870</v>
      </c>
      <c r="D1316" s="4">
        <v>39885.588194444441</v>
      </c>
      <c r="E1316" s="1" t="s">
        <v>84</v>
      </c>
      <c r="F1316" s="1"/>
      <c r="G1316" s="5" t="s">
        <v>26</v>
      </c>
      <c r="H1316" s="5" t="s">
        <v>133</v>
      </c>
      <c r="I1316" s="1" t="s">
        <v>28</v>
      </c>
      <c r="J1316" s="1" t="s">
        <v>134</v>
      </c>
      <c r="K1316" s="1" t="s">
        <v>26</v>
      </c>
      <c r="L1316" s="2" t="s">
        <v>3738</v>
      </c>
      <c r="M1316" s="1"/>
      <c r="N1316" s="1"/>
      <c r="O1316" s="1"/>
      <c r="P1316" s="1"/>
      <c r="Q1316" s="1"/>
      <c r="R1316" s="1"/>
      <c r="S1316" s="1"/>
      <c r="T1316" s="1"/>
      <c r="U1316" s="1"/>
      <c r="V1316" s="1"/>
      <c r="W1316" s="1"/>
      <c r="X1316" s="1"/>
      <c r="Y1316" s="1"/>
      <c r="Z1316" s="1"/>
    </row>
    <row r="1317" spans="1:26" ht="33.75" customHeight="1">
      <c r="A1317" s="1">
        <v>1291</v>
      </c>
      <c r="B1317" s="1" t="s">
        <v>3739</v>
      </c>
      <c r="C1317" s="1" t="s">
        <v>3255</v>
      </c>
      <c r="D1317" s="4">
        <v>39885.611805555556</v>
      </c>
      <c r="E1317" s="1" t="s">
        <v>84</v>
      </c>
      <c r="F1317" s="1"/>
      <c r="G1317" s="5" t="s">
        <v>15</v>
      </c>
      <c r="H1317" s="5" t="s">
        <v>50</v>
      </c>
      <c r="I1317" s="1" t="s">
        <v>166</v>
      </c>
      <c r="J1317" s="1"/>
      <c r="K1317" s="1" t="s">
        <v>3740</v>
      </c>
      <c r="L1317" s="2" t="s">
        <v>3741</v>
      </c>
      <c r="M1317" s="1"/>
      <c r="N1317" s="1"/>
      <c r="O1317" s="1"/>
      <c r="P1317" s="1"/>
      <c r="Q1317" s="1"/>
      <c r="R1317" s="1"/>
      <c r="S1317" s="1"/>
      <c r="T1317" s="1"/>
      <c r="U1317" s="1"/>
      <c r="V1317" s="1"/>
      <c r="W1317" s="1"/>
      <c r="X1317" s="1"/>
      <c r="Y1317" s="1"/>
      <c r="Z1317" s="1"/>
    </row>
    <row r="1318" spans="1:26" ht="33.75" customHeight="1">
      <c r="A1318" s="1">
        <v>1891</v>
      </c>
      <c r="B1318" s="1" t="s">
        <v>3742</v>
      </c>
      <c r="C1318" s="1" t="s">
        <v>2870</v>
      </c>
      <c r="D1318" s="4">
        <v>39885.613888888889</v>
      </c>
      <c r="E1318" s="1" t="s">
        <v>84</v>
      </c>
      <c r="F1318" s="1" t="s">
        <v>3743</v>
      </c>
      <c r="G1318" s="5" t="s">
        <v>26</v>
      </c>
      <c r="H1318" s="5" t="s">
        <v>133</v>
      </c>
      <c r="I1318" s="1" t="s">
        <v>28</v>
      </c>
      <c r="J1318" s="1" t="s">
        <v>134</v>
      </c>
      <c r="K1318" s="1"/>
      <c r="L1318" s="2" t="s">
        <v>3744</v>
      </c>
      <c r="M1318" s="1"/>
      <c r="N1318" s="1"/>
      <c r="O1318" s="1"/>
      <c r="P1318" s="1"/>
      <c r="Q1318" s="1"/>
      <c r="R1318" s="1"/>
      <c r="S1318" s="1"/>
      <c r="T1318" s="1"/>
      <c r="U1318" s="1"/>
      <c r="V1318" s="1"/>
      <c r="W1318" s="1"/>
      <c r="X1318" s="1"/>
      <c r="Y1318" s="1"/>
      <c r="Z1318" s="1"/>
    </row>
    <row r="1319" spans="1:26" ht="33.75" customHeight="1">
      <c r="A1319" s="1">
        <v>1892</v>
      </c>
      <c r="B1319" s="1" t="s">
        <v>3745</v>
      </c>
      <c r="C1319" s="1" t="s">
        <v>2870</v>
      </c>
      <c r="D1319" s="4">
        <v>39885.617361111108</v>
      </c>
      <c r="E1319" s="1" t="s">
        <v>1089</v>
      </c>
      <c r="F1319" s="1">
        <v>986</v>
      </c>
      <c r="G1319" s="5" t="s">
        <v>64</v>
      </c>
      <c r="H1319" s="1"/>
      <c r="I1319" s="1" t="s">
        <v>64</v>
      </c>
      <c r="J1319" s="1"/>
      <c r="K1319" s="1"/>
      <c r="L1319" s="2" t="s">
        <v>3746</v>
      </c>
      <c r="M1319" s="1"/>
      <c r="N1319" s="1"/>
      <c r="O1319" s="1"/>
      <c r="P1319" s="1"/>
      <c r="Q1319" s="1"/>
      <c r="R1319" s="1"/>
      <c r="S1319" s="1"/>
      <c r="T1319" s="1"/>
      <c r="U1319" s="1"/>
      <c r="V1319" s="1"/>
      <c r="W1319" s="1"/>
      <c r="X1319" s="1"/>
      <c r="Y1319" s="1"/>
      <c r="Z1319" s="1"/>
    </row>
    <row r="1320" spans="1:26" ht="33.75" customHeight="1">
      <c r="A1320" s="1">
        <v>1835</v>
      </c>
      <c r="B1320" s="1" t="s">
        <v>3747</v>
      </c>
      <c r="C1320" s="1" t="s">
        <v>2870</v>
      </c>
      <c r="D1320" s="4">
        <v>39885.635416666664</v>
      </c>
      <c r="E1320" s="1" t="s">
        <v>54</v>
      </c>
      <c r="F1320" s="1" t="s">
        <v>3745</v>
      </c>
      <c r="G1320" s="5" t="s">
        <v>64</v>
      </c>
      <c r="H1320" s="1"/>
      <c r="I1320" s="1" t="s">
        <v>64</v>
      </c>
      <c r="J1320" s="1"/>
      <c r="K1320" s="1"/>
      <c r="L1320" s="2" t="s">
        <v>3748</v>
      </c>
      <c r="M1320" s="1"/>
      <c r="N1320" s="1"/>
      <c r="O1320" s="1"/>
      <c r="P1320" s="1"/>
      <c r="Q1320" s="1"/>
      <c r="R1320" s="1"/>
      <c r="S1320" s="1"/>
      <c r="T1320" s="1"/>
      <c r="U1320" s="1"/>
      <c r="V1320" s="1"/>
      <c r="W1320" s="1"/>
      <c r="X1320" s="1"/>
      <c r="Y1320" s="1"/>
      <c r="Z1320" s="1"/>
    </row>
    <row r="1321" spans="1:26" ht="33.75" customHeight="1">
      <c r="A1321" s="1">
        <v>1244</v>
      </c>
      <c r="B1321" s="1" t="s">
        <v>3749</v>
      </c>
      <c r="C1321" s="1" t="s">
        <v>3255</v>
      </c>
      <c r="D1321" s="4">
        <v>39885.65</v>
      </c>
      <c r="E1321" s="1" t="s">
        <v>3750</v>
      </c>
      <c r="F1321" s="1"/>
      <c r="G1321" s="5" t="s">
        <v>33</v>
      </c>
      <c r="H1321" s="5" t="s">
        <v>34</v>
      </c>
      <c r="I1321" s="1" t="s">
        <v>2382</v>
      </c>
      <c r="J1321" s="1"/>
      <c r="K1321" s="1" t="s">
        <v>3751</v>
      </c>
      <c r="L1321" s="2" t="s">
        <v>3752</v>
      </c>
      <c r="M1321" s="1"/>
      <c r="N1321" s="1"/>
      <c r="O1321" s="1"/>
      <c r="P1321" s="1"/>
      <c r="Q1321" s="1"/>
      <c r="R1321" s="1"/>
      <c r="S1321" s="1"/>
      <c r="T1321" s="1"/>
      <c r="U1321" s="1"/>
      <c r="V1321" s="1"/>
      <c r="W1321" s="1"/>
      <c r="X1321" s="1"/>
      <c r="Y1321" s="1"/>
      <c r="Z1321" s="1"/>
    </row>
    <row r="1322" spans="1:26" ht="33.75" customHeight="1">
      <c r="A1322" s="1">
        <v>1178</v>
      </c>
      <c r="B1322" s="1" t="s">
        <v>3753</v>
      </c>
      <c r="C1322" s="1" t="s">
        <v>3156</v>
      </c>
      <c r="D1322" s="4">
        <v>39885.665277777778</v>
      </c>
      <c r="E1322" s="1" t="s">
        <v>320</v>
      </c>
      <c r="F1322" s="1"/>
      <c r="G1322" s="5" t="s">
        <v>15</v>
      </c>
      <c r="H1322" s="5" t="s">
        <v>150</v>
      </c>
      <c r="I1322" s="1" t="s">
        <v>3040</v>
      </c>
      <c r="J1322" s="1" t="s">
        <v>3651</v>
      </c>
      <c r="K1322" s="1"/>
      <c r="L1322" s="2" t="s">
        <v>3754</v>
      </c>
      <c r="M1322" s="1"/>
      <c r="N1322" s="1"/>
      <c r="O1322" s="1"/>
      <c r="P1322" s="1"/>
      <c r="Q1322" s="1"/>
      <c r="R1322" s="1"/>
      <c r="S1322" s="1"/>
      <c r="T1322" s="1"/>
      <c r="U1322" s="1"/>
      <c r="V1322" s="1"/>
      <c r="W1322" s="1"/>
      <c r="X1322" s="1"/>
      <c r="Y1322" s="1"/>
      <c r="Z1322" s="1"/>
    </row>
    <row r="1323" spans="1:26" ht="33.75" customHeight="1">
      <c r="A1323" s="1">
        <v>1180</v>
      </c>
      <c r="B1323" s="1" t="s">
        <v>3755</v>
      </c>
      <c r="C1323" s="1" t="s">
        <v>3156</v>
      </c>
      <c r="D1323" s="4">
        <v>39885.672222222223</v>
      </c>
      <c r="E1323" s="1" t="s">
        <v>14</v>
      </c>
      <c r="F1323" s="1"/>
      <c r="G1323" s="5" t="s">
        <v>33</v>
      </c>
      <c r="H1323" s="5" t="s">
        <v>34</v>
      </c>
      <c r="I1323" s="1" t="s">
        <v>1605</v>
      </c>
      <c r="J1323" s="1"/>
      <c r="K1323" s="1"/>
      <c r="L1323" s="2" t="s">
        <v>3756</v>
      </c>
      <c r="M1323" s="1"/>
      <c r="N1323" s="1"/>
      <c r="O1323" s="1"/>
      <c r="P1323" s="1"/>
      <c r="Q1323" s="1"/>
      <c r="R1323" s="1"/>
      <c r="S1323" s="1"/>
      <c r="T1323" s="1"/>
      <c r="U1323" s="1"/>
      <c r="V1323" s="1"/>
      <c r="W1323" s="1"/>
      <c r="X1323" s="1"/>
      <c r="Y1323" s="1"/>
      <c r="Z1323" s="1"/>
    </row>
    <row r="1324" spans="1:26" ht="33.75" customHeight="1">
      <c r="A1324" s="1">
        <v>1181</v>
      </c>
      <c r="B1324" s="1" t="s">
        <v>3757</v>
      </c>
      <c r="C1324" s="1" t="s">
        <v>3156</v>
      </c>
      <c r="D1324" s="4">
        <v>39885.69027777778</v>
      </c>
      <c r="E1324" s="1" t="s">
        <v>196</v>
      </c>
      <c r="F1324" s="1" t="s">
        <v>3755</v>
      </c>
      <c r="G1324" s="5" t="s">
        <v>64</v>
      </c>
      <c r="H1324" s="5" t="s">
        <v>263</v>
      </c>
      <c r="I1324" s="1" t="s">
        <v>2382</v>
      </c>
      <c r="J1324" s="1"/>
      <c r="K1324" s="1"/>
      <c r="L1324" s="2" t="s">
        <v>3758</v>
      </c>
      <c r="M1324" s="1"/>
      <c r="N1324" s="1"/>
      <c r="O1324" s="1"/>
      <c r="P1324" s="1"/>
      <c r="Q1324" s="1"/>
      <c r="R1324" s="1"/>
      <c r="S1324" s="1"/>
      <c r="T1324" s="1"/>
      <c r="U1324" s="1"/>
      <c r="V1324" s="1"/>
      <c r="W1324" s="1"/>
      <c r="X1324" s="1"/>
      <c r="Y1324" s="1"/>
      <c r="Z1324" s="1"/>
    </row>
    <row r="1325" spans="1:26" ht="33.75" customHeight="1">
      <c r="A1325" s="1">
        <v>1292</v>
      </c>
      <c r="B1325" s="1" t="s">
        <v>3759</v>
      </c>
      <c r="C1325" s="1" t="s">
        <v>3255</v>
      </c>
      <c r="D1325" s="4">
        <v>39885.699999999997</v>
      </c>
      <c r="E1325" s="1" t="s">
        <v>54</v>
      </c>
      <c r="F1325" s="1" t="s">
        <v>3760</v>
      </c>
      <c r="G1325" s="5" t="s">
        <v>26</v>
      </c>
      <c r="H1325" s="5" t="s">
        <v>27</v>
      </c>
      <c r="I1325" s="1" t="s">
        <v>28</v>
      </c>
      <c r="J1325" s="1" t="s">
        <v>259</v>
      </c>
      <c r="K1325" s="1" t="s">
        <v>3761</v>
      </c>
      <c r="L1325" s="2" t="s">
        <v>3762</v>
      </c>
      <c r="M1325" s="1"/>
      <c r="N1325" s="1"/>
      <c r="O1325" s="1"/>
      <c r="P1325" s="1"/>
      <c r="Q1325" s="1"/>
      <c r="R1325" s="1"/>
      <c r="S1325" s="1"/>
      <c r="T1325" s="1"/>
      <c r="U1325" s="1"/>
      <c r="V1325" s="1"/>
      <c r="W1325" s="1"/>
      <c r="X1325" s="1"/>
      <c r="Y1325" s="1"/>
      <c r="Z1325" s="1"/>
    </row>
    <row r="1326" spans="1:26" ht="33.75" customHeight="1">
      <c r="A1326" s="1">
        <v>1836</v>
      </c>
      <c r="B1326" s="1" t="s">
        <v>3763</v>
      </c>
      <c r="C1326" s="1" t="s">
        <v>2870</v>
      </c>
      <c r="D1326" s="4">
        <v>39885.715277777781</v>
      </c>
      <c r="E1326" s="1" t="s">
        <v>1089</v>
      </c>
      <c r="F1326" s="1"/>
      <c r="G1326" s="5" t="s">
        <v>64</v>
      </c>
      <c r="H1326" s="1"/>
      <c r="I1326" s="1" t="s">
        <v>64</v>
      </c>
      <c r="J1326" s="1"/>
      <c r="K1326" s="1"/>
      <c r="L1326" s="2" t="s">
        <v>3764</v>
      </c>
      <c r="M1326" s="1"/>
      <c r="N1326" s="1"/>
      <c r="O1326" s="1"/>
      <c r="P1326" s="1"/>
      <c r="Q1326" s="1"/>
      <c r="R1326" s="1"/>
      <c r="S1326" s="1"/>
      <c r="T1326" s="1"/>
      <c r="U1326" s="1"/>
      <c r="V1326" s="1"/>
      <c r="W1326" s="1"/>
      <c r="X1326" s="1"/>
      <c r="Y1326" s="1"/>
      <c r="Z1326" s="1"/>
    </row>
    <row r="1327" spans="1:26" ht="33.75" customHeight="1">
      <c r="A1327" s="1">
        <v>1209</v>
      </c>
      <c r="B1327" s="1" t="s">
        <v>3765</v>
      </c>
      <c r="C1327" s="1" t="s">
        <v>3156</v>
      </c>
      <c r="D1327" s="4">
        <v>39888.769444444442</v>
      </c>
      <c r="E1327" s="1" t="s">
        <v>1528</v>
      </c>
      <c r="F1327" s="1" t="s">
        <v>3766</v>
      </c>
      <c r="G1327" s="5" t="s">
        <v>15</v>
      </c>
      <c r="H1327" s="5" t="s">
        <v>50</v>
      </c>
      <c r="I1327" s="1" t="s">
        <v>2382</v>
      </c>
      <c r="J1327" s="1"/>
      <c r="K1327" s="1"/>
      <c r="L1327" s="2" t="s">
        <v>3767</v>
      </c>
      <c r="M1327" s="1"/>
      <c r="N1327" s="1"/>
      <c r="O1327" s="1"/>
      <c r="P1327" s="1"/>
      <c r="Q1327" s="1"/>
      <c r="R1327" s="1"/>
      <c r="S1327" s="1"/>
      <c r="T1327" s="1"/>
      <c r="U1327" s="1"/>
      <c r="V1327" s="1"/>
      <c r="W1327" s="1"/>
      <c r="X1327" s="1"/>
      <c r="Y1327" s="1"/>
      <c r="Z1327" s="1"/>
    </row>
    <row r="1328" spans="1:26" ht="33.75" customHeight="1">
      <c r="A1328" s="1">
        <v>1182</v>
      </c>
      <c r="B1328" s="1" t="s">
        <v>3768</v>
      </c>
      <c r="C1328" s="1" t="s">
        <v>3156</v>
      </c>
      <c r="D1328" s="4">
        <v>39885.821527777778</v>
      </c>
      <c r="E1328" s="1" t="s">
        <v>14</v>
      </c>
      <c r="F1328" s="1" t="s">
        <v>3755</v>
      </c>
      <c r="G1328" s="5" t="s">
        <v>64</v>
      </c>
      <c r="H1328" s="5" t="s">
        <v>1053</v>
      </c>
      <c r="I1328" s="1" t="s">
        <v>2382</v>
      </c>
      <c r="J1328" s="1"/>
      <c r="K1328" s="1"/>
      <c r="L1328" s="2" t="s">
        <v>3769</v>
      </c>
      <c r="M1328" s="1"/>
      <c r="N1328" s="1"/>
      <c r="O1328" s="1"/>
      <c r="P1328" s="1"/>
      <c r="Q1328" s="1"/>
      <c r="R1328" s="1"/>
      <c r="S1328" s="1"/>
      <c r="T1328" s="1"/>
      <c r="U1328" s="1"/>
      <c r="V1328" s="1"/>
      <c r="W1328" s="1"/>
      <c r="X1328" s="1"/>
      <c r="Y1328" s="1"/>
      <c r="Z1328" s="1"/>
    </row>
    <row r="1329" spans="1:26" ht="33.75" customHeight="1">
      <c r="A1329" s="1">
        <v>1186</v>
      </c>
      <c r="B1329" s="1" t="s">
        <v>3770</v>
      </c>
      <c r="C1329" s="1" t="s">
        <v>3156</v>
      </c>
      <c r="D1329" s="4">
        <v>39885.84375</v>
      </c>
      <c r="E1329" s="1" t="s">
        <v>14</v>
      </c>
      <c r="F1329" s="1"/>
      <c r="G1329" s="5" t="s">
        <v>15</v>
      </c>
      <c r="H1329" s="5" t="s">
        <v>150</v>
      </c>
      <c r="I1329" s="1" t="s">
        <v>295</v>
      </c>
      <c r="J1329" s="1"/>
      <c r="K1329" s="1"/>
      <c r="L1329" s="2" t="s">
        <v>3771</v>
      </c>
      <c r="M1329" s="1"/>
      <c r="N1329" s="1"/>
      <c r="O1329" s="1"/>
      <c r="P1329" s="1"/>
      <c r="Q1329" s="1"/>
      <c r="R1329" s="1"/>
      <c r="S1329" s="1"/>
      <c r="T1329" s="1"/>
      <c r="U1329" s="1"/>
      <c r="V1329" s="1"/>
      <c r="W1329" s="1"/>
      <c r="X1329" s="1"/>
      <c r="Y1329" s="1"/>
      <c r="Z1329" s="1"/>
    </row>
    <row r="1330" spans="1:26" ht="33.75" customHeight="1">
      <c r="A1330" s="1">
        <v>1183</v>
      </c>
      <c r="B1330" s="1" t="s">
        <v>3772</v>
      </c>
      <c r="C1330" s="1" t="s">
        <v>3156</v>
      </c>
      <c r="D1330" s="4">
        <v>39885.845833333333</v>
      </c>
      <c r="E1330" s="1" t="s">
        <v>196</v>
      </c>
      <c r="F1330" s="1" t="s">
        <v>3755</v>
      </c>
      <c r="G1330" s="5" t="s">
        <v>15</v>
      </c>
      <c r="H1330" s="5" t="s">
        <v>150</v>
      </c>
      <c r="I1330" s="1" t="s">
        <v>2382</v>
      </c>
      <c r="J1330" s="1"/>
      <c r="K1330" s="1"/>
      <c r="L1330" s="2" t="s">
        <v>3773</v>
      </c>
      <c r="M1330" s="1"/>
      <c r="N1330" s="1"/>
      <c r="O1330" s="1"/>
      <c r="P1330" s="1"/>
      <c r="Q1330" s="1"/>
      <c r="R1330" s="1"/>
      <c r="S1330" s="1"/>
      <c r="T1330" s="1"/>
      <c r="U1330" s="1"/>
      <c r="V1330" s="1"/>
      <c r="W1330" s="1"/>
      <c r="X1330" s="1"/>
      <c r="Y1330" s="1"/>
      <c r="Z1330" s="1"/>
    </row>
    <row r="1331" spans="1:26" ht="33.75" customHeight="1">
      <c r="A1331" s="1">
        <v>1184</v>
      </c>
      <c r="B1331" s="1" t="s">
        <v>3774</v>
      </c>
      <c r="C1331" s="1" t="s">
        <v>3156</v>
      </c>
      <c r="D1331" s="4">
        <v>39885.853472222225</v>
      </c>
      <c r="E1331" s="1" t="s">
        <v>14</v>
      </c>
      <c r="F1331" s="1" t="s">
        <v>3755</v>
      </c>
      <c r="G1331" s="5" t="s">
        <v>15</v>
      </c>
      <c r="H1331" s="5" t="s">
        <v>150</v>
      </c>
      <c r="I1331" s="1" t="s">
        <v>2382</v>
      </c>
      <c r="J1331" s="1"/>
      <c r="K1331" s="1"/>
      <c r="L1331" s="2" t="s">
        <v>3775</v>
      </c>
      <c r="M1331" s="1"/>
      <c r="N1331" s="1"/>
      <c r="O1331" s="1"/>
      <c r="P1331" s="1"/>
      <c r="Q1331" s="1"/>
      <c r="R1331" s="1"/>
      <c r="S1331" s="1"/>
      <c r="T1331" s="1"/>
      <c r="U1331" s="1"/>
      <c r="V1331" s="1"/>
      <c r="W1331" s="1"/>
      <c r="X1331" s="1"/>
      <c r="Y1331" s="1"/>
      <c r="Z1331" s="1"/>
    </row>
    <row r="1332" spans="1:26" ht="33.75" customHeight="1">
      <c r="A1332" s="1">
        <v>1837</v>
      </c>
      <c r="B1332" s="1" t="s">
        <v>3776</v>
      </c>
      <c r="C1332" s="1" t="s">
        <v>2870</v>
      </c>
      <c r="D1332" s="4">
        <v>39885.86041666667</v>
      </c>
      <c r="E1332" s="1" t="s">
        <v>54</v>
      </c>
      <c r="F1332" s="1" t="s">
        <v>3763</v>
      </c>
      <c r="G1332" s="5" t="s">
        <v>64</v>
      </c>
      <c r="H1332" s="5" t="s">
        <v>431</v>
      </c>
      <c r="I1332" s="1" t="s">
        <v>3777</v>
      </c>
      <c r="J1332" s="1"/>
      <c r="K1332" s="1"/>
      <c r="L1332" s="2" t="s">
        <v>3778</v>
      </c>
      <c r="M1332" s="1"/>
      <c r="N1332" s="1"/>
      <c r="O1332" s="1"/>
      <c r="P1332" s="1"/>
      <c r="Q1332" s="1"/>
      <c r="R1332" s="1"/>
      <c r="S1332" s="1"/>
      <c r="T1332" s="1"/>
      <c r="U1332" s="1"/>
      <c r="V1332" s="1"/>
      <c r="W1332" s="1"/>
      <c r="X1332" s="1"/>
      <c r="Y1332" s="1"/>
      <c r="Z1332" s="1"/>
    </row>
    <row r="1333" spans="1:26" ht="33.75" customHeight="1">
      <c r="A1333" s="1">
        <v>1187</v>
      </c>
      <c r="B1333" s="1" t="s">
        <v>3779</v>
      </c>
      <c r="C1333" s="1" t="s">
        <v>3156</v>
      </c>
      <c r="D1333" s="4">
        <v>39885.865972222222</v>
      </c>
      <c r="E1333" s="1" t="s">
        <v>196</v>
      </c>
      <c r="F1333" s="1" t="s">
        <v>3770</v>
      </c>
      <c r="G1333" s="5" t="s">
        <v>15</v>
      </c>
      <c r="H1333" s="5" t="s">
        <v>150</v>
      </c>
      <c r="I1333" s="1" t="s">
        <v>2382</v>
      </c>
      <c r="J1333" s="1"/>
      <c r="K1333" s="1" t="s">
        <v>3780</v>
      </c>
      <c r="L1333" s="2" t="s">
        <v>3781</v>
      </c>
      <c r="M1333" s="1"/>
      <c r="N1333" s="1"/>
      <c r="O1333" s="1"/>
      <c r="P1333" s="1"/>
      <c r="Q1333" s="1"/>
      <c r="R1333" s="1"/>
      <c r="S1333" s="1"/>
      <c r="T1333" s="1"/>
      <c r="U1333" s="1"/>
      <c r="V1333" s="1"/>
      <c r="W1333" s="1"/>
      <c r="X1333" s="1"/>
      <c r="Y1333" s="1"/>
      <c r="Z1333" s="1"/>
    </row>
    <row r="1334" spans="1:26" ht="33.75" customHeight="1">
      <c r="A1334" s="1">
        <v>1188</v>
      </c>
      <c r="B1334" s="1" t="s">
        <v>3782</v>
      </c>
      <c r="C1334" s="1" t="s">
        <v>3156</v>
      </c>
      <c r="D1334" s="4">
        <v>39885.866666666669</v>
      </c>
      <c r="E1334" s="1" t="s">
        <v>14</v>
      </c>
      <c r="F1334" s="1"/>
      <c r="G1334" s="5" t="s">
        <v>15</v>
      </c>
      <c r="H1334" s="5" t="s">
        <v>150</v>
      </c>
      <c r="I1334" s="1" t="s">
        <v>295</v>
      </c>
      <c r="J1334" s="1"/>
      <c r="K1334" s="1" t="s">
        <v>3783</v>
      </c>
      <c r="L1334" s="2" t="s">
        <v>3784</v>
      </c>
      <c r="M1334" s="1"/>
      <c r="N1334" s="1"/>
      <c r="O1334" s="1"/>
      <c r="P1334" s="1"/>
      <c r="Q1334" s="1"/>
      <c r="R1334" s="1"/>
      <c r="S1334" s="1"/>
      <c r="T1334" s="1"/>
      <c r="U1334" s="1"/>
      <c r="V1334" s="1"/>
      <c r="W1334" s="1"/>
      <c r="X1334" s="1"/>
      <c r="Y1334" s="1"/>
      <c r="Z1334" s="1"/>
    </row>
    <row r="1335" spans="1:26" ht="33.75" customHeight="1">
      <c r="A1335" s="1">
        <v>1838</v>
      </c>
      <c r="B1335" s="1" t="s">
        <v>3785</v>
      </c>
      <c r="C1335" s="1" t="s">
        <v>2870</v>
      </c>
      <c r="D1335" s="4">
        <v>39885.923611111109</v>
      </c>
      <c r="E1335" s="1" t="s">
        <v>760</v>
      </c>
      <c r="F1335" s="1" t="s">
        <v>3786</v>
      </c>
      <c r="G1335" s="5" t="s">
        <v>64</v>
      </c>
      <c r="H1335" s="1"/>
      <c r="I1335" s="1" t="s">
        <v>64</v>
      </c>
      <c r="J1335" s="1"/>
      <c r="K1335" s="1"/>
      <c r="L1335" s="2" t="s">
        <v>3787</v>
      </c>
      <c r="M1335" s="1"/>
      <c r="N1335" s="1"/>
      <c r="O1335" s="1"/>
      <c r="P1335" s="1"/>
      <c r="Q1335" s="1"/>
      <c r="R1335" s="1"/>
      <c r="S1335" s="1"/>
      <c r="T1335" s="1"/>
      <c r="U1335" s="1"/>
      <c r="V1335" s="1"/>
      <c r="W1335" s="1"/>
      <c r="X1335" s="1"/>
      <c r="Y1335" s="1"/>
      <c r="Z1335" s="1"/>
    </row>
    <row r="1336" spans="1:26" ht="33.75" customHeight="1">
      <c r="A1336" s="1">
        <v>1839</v>
      </c>
      <c r="B1336" s="1" t="s">
        <v>3788</v>
      </c>
      <c r="C1336" s="1" t="s">
        <v>2870</v>
      </c>
      <c r="D1336" s="4">
        <v>39885.970833333333</v>
      </c>
      <c r="E1336" s="1" t="s">
        <v>1089</v>
      </c>
      <c r="F1336" s="1" t="s">
        <v>3789</v>
      </c>
      <c r="G1336" s="5" t="s">
        <v>64</v>
      </c>
      <c r="H1336" s="1"/>
      <c r="I1336" s="1" t="s">
        <v>64</v>
      </c>
      <c r="J1336" s="1"/>
      <c r="K1336" s="1"/>
      <c r="L1336" s="2" t="s">
        <v>3790</v>
      </c>
      <c r="M1336" s="1"/>
      <c r="N1336" s="1"/>
      <c r="O1336" s="1"/>
      <c r="P1336" s="1"/>
      <c r="Q1336" s="1"/>
      <c r="R1336" s="1"/>
      <c r="S1336" s="1"/>
      <c r="T1336" s="1"/>
      <c r="U1336" s="1"/>
      <c r="V1336" s="1"/>
      <c r="W1336" s="1"/>
      <c r="X1336" s="1"/>
      <c r="Y1336" s="1"/>
      <c r="Z1336" s="1"/>
    </row>
    <row r="1337" spans="1:26" ht="33.75" customHeight="1">
      <c r="A1337" s="1">
        <v>1189</v>
      </c>
      <c r="B1337" s="1" t="s">
        <v>3791</v>
      </c>
      <c r="C1337" s="1" t="s">
        <v>3156</v>
      </c>
      <c r="D1337" s="4">
        <v>39886.199305555558</v>
      </c>
      <c r="E1337" s="1" t="s">
        <v>54</v>
      </c>
      <c r="F1337" s="1"/>
      <c r="G1337" s="5" t="s">
        <v>64</v>
      </c>
      <c r="H1337" s="5" t="s">
        <v>1053</v>
      </c>
      <c r="I1337" s="1" t="s">
        <v>3040</v>
      </c>
      <c r="J1337" s="1" t="s">
        <v>3651</v>
      </c>
      <c r="K1337" s="1"/>
      <c r="L1337" s="2" t="s">
        <v>3792</v>
      </c>
      <c r="M1337" s="1"/>
      <c r="N1337" s="1"/>
      <c r="O1337" s="1"/>
      <c r="P1337" s="1"/>
      <c r="Q1337" s="1"/>
      <c r="R1337" s="1"/>
      <c r="S1337" s="1"/>
      <c r="T1337" s="1"/>
      <c r="U1337" s="1"/>
      <c r="V1337" s="1"/>
      <c r="W1337" s="1"/>
      <c r="X1337" s="1"/>
      <c r="Y1337" s="1"/>
      <c r="Z1337" s="1"/>
    </row>
    <row r="1338" spans="1:26" ht="33.75" customHeight="1">
      <c r="A1338" s="1">
        <v>1840</v>
      </c>
      <c r="B1338" s="1" t="s">
        <v>3793</v>
      </c>
      <c r="C1338" s="1" t="s">
        <v>2870</v>
      </c>
      <c r="D1338" s="4">
        <v>39886.25277777778</v>
      </c>
      <c r="E1338" s="1" t="s">
        <v>2242</v>
      </c>
      <c r="F1338" s="1"/>
      <c r="G1338" s="5" t="s">
        <v>26</v>
      </c>
      <c r="H1338" s="5" t="s">
        <v>133</v>
      </c>
      <c r="I1338" s="1" t="s">
        <v>28</v>
      </c>
      <c r="J1338" s="1" t="s">
        <v>134</v>
      </c>
      <c r="K1338" s="1" t="s">
        <v>3794</v>
      </c>
      <c r="L1338" s="2" t="s">
        <v>3795</v>
      </c>
      <c r="M1338" s="1"/>
      <c r="N1338" s="1"/>
      <c r="O1338" s="1"/>
      <c r="P1338" s="1"/>
      <c r="Q1338" s="1"/>
      <c r="R1338" s="1"/>
      <c r="S1338" s="1"/>
      <c r="T1338" s="1"/>
      <c r="U1338" s="1"/>
      <c r="V1338" s="1"/>
      <c r="W1338" s="1"/>
      <c r="X1338" s="1"/>
      <c r="Y1338" s="1"/>
      <c r="Z1338" s="1"/>
    </row>
    <row r="1339" spans="1:26" ht="33.75" customHeight="1">
      <c r="A1339" s="1">
        <v>1841</v>
      </c>
      <c r="B1339" s="1" t="s">
        <v>3796</v>
      </c>
      <c r="C1339" s="1" t="s">
        <v>2870</v>
      </c>
      <c r="D1339" s="4">
        <v>39886.359027777777</v>
      </c>
      <c r="E1339" s="1" t="s">
        <v>54</v>
      </c>
      <c r="F1339" s="1"/>
      <c r="G1339" s="5" t="s">
        <v>64</v>
      </c>
      <c r="H1339" s="5" t="s">
        <v>65</v>
      </c>
      <c r="I1339" s="1" t="s">
        <v>886</v>
      </c>
      <c r="J1339" s="1"/>
      <c r="K1339" s="1" t="s">
        <v>3797</v>
      </c>
      <c r="L1339" s="2" t="s">
        <v>3798</v>
      </c>
      <c r="M1339" s="1"/>
      <c r="N1339" s="1"/>
      <c r="O1339" s="1"/>
      <c r="P1339" s="1"/>
      <c r="Q1339" s="1"/>
      <c r="R1339" s="1"/>
      <c r="S1339" s="1"/>
      <c r="T1339" s="1"/>
      <c r="U1339" s="1"/>
      <c r="V1339" s="1"/>
      <c r="W1339" s="1"/>
      <c r="X1339" s="1"/>
      <c r="Y1339" s="1"/>
      <c r="Z1339" s="1"/>
    </row>
    <row r="1340" spans="1:26" ht="33.75" customHeight="1">
      <c r="A1340" s="1">
        <v>2012</v>
      </c>
      <c r="B1340" s="1" t="s">
        <v>3799</v>
      </c>
      <c r="C1340" s="1" t="s">
        <v>3800</v>
      </c>
      <c r="D1340" s="4">
        <v>39886.380555555559</v>
      </c>
      <c r="E1340" s="1" t="s">
        <v>54</v>
      </c>
      <c r="F1340" s="1"/>
      <c r="G1340" s="5" t="s">
        <v>64</v>
      </c>
      <c r="H1340" s="5" t="s">
        <v>65</v>
      </c>
      <c r="I1340" s="1" t="s">
        <v>886</v>
      </c>
      <c r="J1340" s="1"/>
      <c r="K1340" s="1" t="s">
        <v>3801</v>
      </c>
      <c r="L1340" s="2" t="s">
        <v>3802</v>
      </c>
      <c r="M1340" s="1"/>
      <c r="N1340" s="1"/>
      <c r="O1340" s="1"/>
      <c r="P1340" s="1"/>
      <c r="Q1340" s="1"/>
      <c r="R1340" s="1"/>
      <c r="S1340" s="1"/>
      <c r="T1340" s="1"/>
      <c r="U1340" s="1"/>
      <c r="V1340" s="1"/>
      <c r="W1340" s="1"/>
      <c r="X1340" s="1"/>
      <c r="Y1340" s="1"/>
      <c r="Z1340" s="1"/>
    </row>
    <row r="1341" spans="1:26" ht="33.75" customHeight="1">
      <c r="A1341" s="1">
        <v>2013</v>
      </c>
      <c r="B1341" s="1" t="s">
        <v>3803</v>
      </c>
      <c r="C1341" s="1" t="s">
        <v>3800</v>
      </c>
      <c r="D1341" s="4">
        <v>39886.385416666664</v>
      </c>
      <c r="E1341" s="1" t="s">
        <v>54</v>
      </c>
      <c r="F1341" s="1"/>
      <c r="G1341" s="5" t="s">
        <v>33</v>
      </c>
      <c r="H1341" s="5" t="s">
        <v>34</v>
      </c>
      <c r="I1341" s="1" t="s">
        <v>1605</v>
      </c>
      <c r="J1341" s="1"/>
      <c r="K1341" s="1" t="s">
        <v>3804</v>
      </c>
      <c r="L1341" s="2" t="s">
        <v>3805</v>
      </c>
      <c r="M1341" s="1"/>
      <c r="N1341" s="1"/>
      <c r="O1341" s="1"/>
      <c r="P1341" s="1"/>
      <c r="Q1341" s="1"/>
      <c r="R1341" s="1"/>
      <c r="S1341" s="1"/>
      <c r="T1341" s="1"/>
      <c r="U1341" s="1"/>
      <c r="V1341" s="1"/>
      <c r="W1341" s="1"/>
      <c r="X1341" s="1"/>
      <c r="Y1341" s="1"/>
      <c r="Z1341" s="1"/>
    </row>
    <row r="1342" spans="1:26" ht="33.75" customHeight="1">
      <c r="A1342" s="1">
        <v>2014</v>
      </c>
      <c r="B1342" s="1" t="s">
        <v>3806</v>
      </c>
      <c r="C1342" s="1" t="s">
        <v>3800</v>
      </c>
      <c r="D1342" s="4">
        <v>39886.393750000003</v>
      </c>
      <c r="E1342" s="1" t="s">
        <v>54</v>
      </c>
      <c r="F1342" s="1"/>
      <c r="G1342" s="5" t="s">
        <v>33</v>
      </c>
      <c r="H1342" s="5" t="s">
        <v>34</v>
      </c>
      <c r="I1342" s="1" t="s">
        <v>1605</v>
      </c>
      <c r="J1342" s="1"/>
      <c r="K1342" s="1" t="s">
        <v>3807</v>
      </c>
      <c r="L1342" s="2" t="s">
        <v>3808</v>
      </c>
      <c r="M1342" s="1"/>
      <c r="N1342" s="1"/>
      <c r="O1342" s="1"/>
      <c r="P1342" s="1"/>
      <c r="Q1342" s="1"/>
      <c r="R1342" s="1"/>
      <c r="S1342" s="1"/>
      <c r="T1342" s="1"/>
      <c r="U1342" s="1"/>
      <c r="V1342" s="1"/>
      <c r="W1342" s="1"/>
      <c r="X1342" s="1"/>
      <c r="Y1342" s="1"/>
      <c r="Z1342" s="1"/>
    </row>
    <row r="1343" spans="1:26" ht="33.75" customHeight="1">
      <c r="A1343" s="1">
        <v>1179</v>
      </c>
      <c r="B1343" s="1" t="s">
        <v>3809</v>
      </c>
      <c r="C1343" s="1" t="s">
        <v>3156</v>
      </c>
      <c r="D1343" s="4">
        <v>39886.40347222222</v>
      </c>
      <c r="E1343" s="1" t="s">
        <v>14</v>
      </c>
      <c r="F1343" s="1"/>
      <c r="G1343" s="5" t="s">
        <v>64</v>
      </c>
      <c r="H1343" s="5" t="s">
        <v>431</v>
      </c>
      <c r="I1343" s="1" t="s">
        <v>35</v>
      </c>
      <c r="J1343" s="1"/>
      <c r="K1343" s="1" t="s">
        <v>3810</v>
      </c>
      <c r="L1343" s="2" t="s">
        <v>3811</v>
      </c>
      <c r="M1343" s="1"/>
      <c r="N1343" s="1"/>
      <c r="O1343" s="1"/>
      <c r="P1343" s="1"/>
      <c r="Q1343" s="1"/>
      <c r="R1343" s="1"/>
      <c r="S1343" s="1"/>
      <c r="T1343" s="1"/>
      <c r="U1343" s="1"/>
      <c r="V1343" s="1"/>
      <c r="W1343" s="1"/>
      <c r="X1343" s="1"/>
      <c r="Y1343" s="1"/>
      <c r="Z1343" s="1"/>
    </row>
    <row r="1344" spans="1:26" ht="33.75" customHeight="1">
      <c r="A1344" s="1">
        <v>2015</v>
      </c>
      <c r="B1344" s="1" t="s">
        <v>3812</v>
      </c>
      <c r="C1344" s="1" t="s">
        <v>3800</v>
      </c>
      <c r="D1344" s="4">
        <v>39886.40625</v>
      </c>
      <c r="E1344" s="1" t="s">
        <v>54</v>
      </c>
      <c r="F1344" s="1" t="s">
        <v>2242</v>
      </c>
      <c r="G1344" s="5" t="s">
        <v>26</v>
      </c>
      <c r="H1344" s="5" t="s">
        <v>27</v>
      </c>
      <c r="I1344" s="1" t="s">
        <v>28</v>
      </c>
      <c r="J1344" s="1" t="s">
        <v>259</v>
      </c>
      <c r="K1344" s="1" t="s">
        <v>3813</v>
      </c>
      <c r="L1344" s="2" t="s">
        <v>3814</v>
      </c>
      <c r="M1344" s="1"/>
      <c r="N1344" s="1"/>
      <c r="O1344" s="1"/>
      <c r="P1344" s="1"/>
      <c r="Q1344" s="1"/>
      <c r="R1344" s="1"/>
      <c r="S1344" s="1"/>
      <c r="T1344" s="1"/>
      <c r="U1344" s="1"/>
      <c r="V1344" s="1"/>
      <c r="W1344" s="1"/>
      <c r="X1344" s="1"/>
      <c r="Y1344" s="1"/>
      <c r="Z1344" s="1"/>
    </row>
    <row r="1345" spans="1:26" ht="33.75" customHeight="1">
      <c r="A1345" s="1">
        <v>2016</v>
      </c>
      <c r="B1345" s="1" t="s">
        <v>3815</v>
      </c>
      <c r="C1345" s="1" t="s">
        <v>3800</v>
      </c>
      <c r="D1345" s="4">
        <v>39886.4375</v>
      </c>
      <c r="E1345" s="1" t="s">
        <v>2893</v>
      </c>
      <c r="F1345" s="1" t="s">
        <v>3806</v>
      </c>
      <c r="G1345" s="5" t="s">
        <v>64</v>
      </c>
      <c r="H1345" s="5" t="s">
        <v>375</v>
      </c>
      <c r="I1345" s="1" t="s">
        <v>3816</v>
      </c>
      <c r="J1345" s="1"/>
      <c r="K1345" s="1" t="s">
        <v>3807</v>
      </c>
      <c r="L1345" s="2" t="s">
        <v>3817</v>
      </c>
      <c r="M1345" s="1"/>
      <c r="N1345" s="1"/>
      <c r="O1345" s="1"/>
      <c r="P1345" s="1"/>
      <c r="Q1345" s="1"/>
      <c r="R1345" s="1"/>
      <c r="S1345" s="1"/>
      <c r="T1345" s="1"/>
      <c r="U1345" s="1"/>
      <c r="V1345" s="1"/>
      <c r="W1345" s="1"/>
      <c r="X1345" s="1"/>
      <c r="Y1345" s="1"/>
      <c r="Z1345" s="1"/>
    </row>
    <row r="1346" spans="1:26" ht="33.75" customHeight="1">
      <c r="A1346" s="1">
        <v>2017</v>
      </c>
      <c r="B1346" s="1" t="s">
        <v>3818</v>
      </c>
      <c r="C1346" s="1" t="s">
        <v>3800</v>
      </c>
      <c r="D1346" s="4">
        <v>39886.444444444445</v>
      </c>
      <c r="E1346" s="1" t="s">
        <v>772</v>
      </c>
      <c r="F1346" s="1"/>
      <c r="G1346" s="5" t="s">
        <v>64</v>
      </c>
      <c r="H1346" s="1"/>
      <c r="I1346" s="1" t="s">
        <v>64</v>
      </c>
      <c r="J1346" s="1"/>
      <c r="K1346" s="1"/>
      <c r="L1346" s="2" t="s">
        <v>3819</v>
      </c>
      <c r="M1346" s="1"/>
      <c r="N1346" s="1"/>
      <c r="O1346" s="1"/>
      <c r="P1346" s="1"/>
      <c r="Q1346" s="1"/>
      <c r="R1346" s="1"/>
      <c r="S1346" s="1"/>
      <c r="T1346" s="1"/>
      <c r="U1346" s="1"/>
      <c r="V1346" s="1"/>
      <c r="W1346" s="1"/>
      <c r="X1346" s="1"/>
      <c r="Y1346" s="1"/>
      <c r="Z1346" s="1"/>
    </row>
    <row r="1347" spans="1:26" ht="33.75" customHeight="1">
      <c r="A1347" s="1">
        <v>2018</v>
      </c>
      <c r="B1347" s="1" t="s">
        <v>3820</v>
      </c>
      <c r="C1347" s="1" t="s">
        <v>3800</v>
      </c>
      <c r="D1347" s="4">
        <v>39886.509027777778</v>
      </c>
      <c r="E1347" s="1" t="s">
        <v>84</v>
      </c>
      <c r="F1347" s="1"/>
      <c r="G1347" s="5" t="s">
        <v>15</v>
      </c>
      <c r="H1347" s="5" t="s">
        <v>140</v>
      </c>
      <c r="I1347" s="1" t="s">
        <v>166</v>
      </c>
      <c r="J1347" s="1"/>
      <c r="K1347" s="1" t="s">
        <v>3821</v>
      </c>
      <c r="L1347" s="2" t="s">
        <v>3822</v>
      </c>
      <c r="M1347" s="1"/>
      <c r="N1347" s="1"/>
      <c r="O1347" s="1"/>
      <c r="P1347" s="1"/>
      <c r="Q1347" s="1"/>
      <c r="R1347" s="1"/>
      <c r="S1347" s="1"/>
      <c r="T1347" s="1"/>
      <c r="U1347" s="1"/>
      <c r="V1347" s="1"/>
      <c r="W1347" s="1"/>
      <c r="X1347" s="1"/>
      <c r="Y1347" s="1"/>
      <c r="Z1347" s="1"/>
    </row>
    <row r="1348" spans="1:26" ht="33.75" customHeight="1">
      <c r="A1348" s="1">
        <v>2019</v>
      </c>
      <c r="B1348" s="1" t="s">
        <v>3823</v>
      </c>
      <c r="C1348" s="1" t="s">
        <v>3800</v>
      </c>
      <c r="D1348" s="4">
        <v>39886.525694444441</v>
      </c>
      <c r="E1348" s="1" t="s">
        <v>2242</v>
      </c>
      <c r="F1348" s="1"/>
      <c r="G1348" s="5" t="s">
        <v>64</v>
      </c>
      <c r="H1348" s="1"/>
      <c r="I1348" s="1" t="s">
        <v>64</v>
      </c>
      <c r="J1348" s="1"/>
      <c r="K1348" s="1"/>
      <c r="L1348" s="2" t="s">
        <v>3824</v>
      </c>
      <c r="M1348" s="1"/>
      <c r="N1348" s="1"/>
      <c r="O1348" s="1"/>
      <c r="P1348" s="1"/>
      <c r="Q1348" s="1"/>
      <c r="R1348" s="1"/>
      <c r="S1348" s="1"/>
      <c r="T1348" s="1"/>
      <c r="U1348" s="1"/>
      <c r="V1348" s="1"/>
      <c r="W1348" s="1"/>
      <c r="X1348" s="1"/>
      <c r="Y1348" s="1"/>
      <c r="Z1348" s="1"/>
    </row>
    <row r="1349" spans="1:26" ht="33.75" customHeight="1">
      <c r="A1349" s="1">
        <v>1191</v>
      </c>
      <c r="B1349" s="1" t="s">
        <v>3825</v>
      </c>
      <c r="C1349" s="1" t="s">
        <v>3156</v>
      </c>
      <c r="D1349" s="4">
        <v>39886.539583333331</v>
      </c>
      <c r="E1349" s="1" t="s">
        <v>14</v>
      </c>
      <c r="F1349" s="1"/>
      <c r="G1349" s="5" t="s">
        <v>26</v>
      </c>
      <c r="H1349" s="5" t="s">
        <v>133</v>
      </c>
      <c r="I1349" s="1" t="s">
        <v>28</v>
      </c>
      <c r="J1349" s="1" t="s">
        <v>134</v>
      </c>
      <c r="K1349" s="1" t="s">
        <v>3826</v>
      </c>
      <c r="L1349" s="2" t="s">
        <v>3827</v>
      </c>
      <c r="M1349" s="1"/>
      <c r="N1349" s="1"/>
      <c r="O1349" s="1"/>
      <c r="P1349" s="1"/>
      <c r="Q1349" s="1"/>
      <c r="R1349" s="1"/>
      <c r="S1349" s="1"/>
      <c r="T1349" s="1"/>
      <c r="U1349" s="1"/>
      <c r="V1349" s="1"/>
      <c r="W1349" s="1"/>
      <c r="X1349" s="1"/>
      <c r="Y1349" s="1"/>
      <c r="Z1349" s="1"/>
    </row>
    <row r="1350" spans="1:26" ht="33.75" customHeight="1">
      <c r="A1350" s="1">
        <v>1192</v>
      </c>
      <c r="B1350" s="1" t="s">
        <v>3828</v>
      </c>
      <c r="C1350" s="1" t="s">
        <v>3156</v>
      </c>
      <c r="D1350" s="4">
        <v>39886.561111111114</v>
      </c>
      <c r="E1350" s="1" t="s">
        <v>14</v>
      </c>
      <c r="F1350" s="1"/>
      <c r="G1350" s="5" t="s">
        <v>26</v>
      </c>
      <c r="H1350" s="5" t="s">
        <v>133</v>
      </c>
      <c r="I1350" s="1" t="s">
        <v>3829</v>
      </c>
      <c r="J1350" s="1"/>
      <c r="K1350" s="1"/>
      <c r="L1350" s="2" t="s">
        <v>3830</v>
      </c>
      <c r="M1350" s="1"/>
      <c r="N1350" s="1"/>
      <c r="O1350" s="1"/>
      <c r="P1350" s="1"/>
      <c r="Q1350" s="1"/>
      <c r="R1350" s="1"/>
      <c r="S1350" s="1"/>
      <c r="T1350" s="1"/>
      <c r="U1350" s="1"/>
      <c r="V1350" s="1"/>
      <c r="W1350" s="1"/>
      <c r="X1350" s="1"/>
      <c r="Y1350" s="1"/>
      <c r="Z1350" s="1"/>
    </row>
    <row r="1351" spans="1:26" ht="33.75" customHeight="1">
      <c r="A1351" s="1">
        <v>1312</v>
      </c>
      <c r="B1351" s="1" t="s">
        <v>3831</v>
      </c>
      <c r="C1351" s="1" t="s">
        <v>3255</v>
      </c>
      <c r="D1351" s="4">
        <v>39886.561805555553</v>
      </c>
      <c r="E1351" s="1" t="s">
        <v>3832</v>
      </c>
      <c r="F1351" s="1"/>
      <c r="G1351" s="5" t="s">
        <v>26</v>
      </c>
      <c r="H1351" s="5" t="s">
        <v>133</v>
      </c>
      <c r="I1351" s="1" t="s">
        <v>28</v>
      </c>
      <c r="J1351" s="1" t="s">
        <v>134</v>
      </c>
      <c r="K1351" s="1" t="s">
        <v>3833</v>
      </c>
      <c r="L1351" s="2" t="s">
        <v>3834</v>
      </c>
      <c r="M1351" s="1"/>
      <c r="N1351" s="1"/>
      <c r="O1351" s="1"/>
      <c r="P1351" s="1"/>
      <c r="Q1351" s="1"/>
      <c r="R1351" s="1"/>
      <c r="S1351" s="1"/>
      <c r="T1351" s="1"/>
      <c r="U1351" s="1"/>
      <c r="V1351" s="1"/>
      <c r="W1351" s="1"/>
      <c r="X1351" s="1"/>
      <c r="Y1351" s="1"/>
      <c r="Z1351" s="1"/>
    </row>
    <row r="1352" spans="1:26" ht="33.75" customHeight="1">
      <c r="A1352" s="1">
        <v>1313</v>
      </c>
      <c r="B1352" s="1" t="s">
        <v>3835</v>
      </c>
      <c r="C1352" s="1" t="s">
        <v>3255</v>
      </c>
      <c r="D1352" s="4">
        <v>39886.571527777778</v>
      </c>
      <c r="E1352" s="1" t="s">
        <v>14</v>
      </c>
      <c r="F1352" s="1" t="s">
        <v>3831</v>
      </c>
      <c r="G1352" s="5" t="s">
        <v>26</v>
      </c>
      <c r="H1352" s="5" t="s">
        <v>27</v>
      </c>
      <c r="I1352" s="1" t="s">
        <v>28</v>
      </c>
      <c r="J1352" s="1" t="s">
        <v>259</v>
      </c>
      <c r="K1352" s="1"/>
      <c r="L1352" s="2" t="s">
        <v>3836</v>
      </c>
      <c r="M1352" s="1"/>
      <c r="N1352" s="1"/>
      <c r="O1352" s="1"/>
      <c r="P1352" s="1"/>
      <c r="Q1352" s="1"/>
      <c r="R1352" s="1"/>
      <c r="S1352" s="1"/>
      <c r="T1352" s="1"/>
      <c r="U1352" s="1"/>
      <c r="V1352" s="1"/>
      <c r="W1352" s="1"/>
      <c r="X1352" s="1"/>
      <c r="Y1352" s="1"/>
      <c r="Z1352" s="1"/>
    </row>
    <row r="1353" spans="1:26" ht="33.75" customHeight="1">
      <c r="A1353" s="1">
        <v>1314</v>
      </c>
      <c r="B1353" s="1" t="s">
        <v>3837</v>
      </c>
      <c r="C1353" s="1" t="s">
        <v>3255</v>
      </c>
      <c r="D1353" s="4">
        <v>39886.572222222225</v>
      </c>
      <c r="E1353" s="1" t="s">
        <v>3838</v>
      </c>
      <c r="F1353" s="1"/>
      <c r="G1353" s="5" t="s">
        <v>15</v>
      </c>
      <c r="H1353" s="5" t="s">
        <v>50</v>
      </c>
      <c r="I1353" s="1" t="s">
        <v>166</v>
      </c>
      <c r="J1353" s="1"/>
      <c r="K1353" s="1" t="s">
        <v>3839</v>
      </c>
      <c r="L1353" s="2" t="s">
        <v>3840</v>
      </c>
      <c r="M1353" s="1"/>
      <c r="N1353" s="1"/>
      <c r="O1353" s="1"/>
      <c r="P1353" s="1"/>
      <c r="Q1353" s="1"/>
      <c r="R1353" s="1"/>
      <c r="S1353" s="1"/>
      <c r="T1353" s="1"/>
      <c r="U1353" s="1"/>
      <c r="V1353" s="1"/>
      <c r="W1353" s="1"/>
      <c r="X1353" s="1"/>
      <c r="Y1353" s="1"/>
      <c r="Z1353" s="1"/>
    </row>
    <row r="1354" spans="1:26" ht="33.75" customHeight="1">
      <c r="A1354" s="1">
        <v>2020</v>
      </c>
      <c r="B1354" s="1" t="s">
        <v>3841</v>
      </c>
      <c r="C1354" s="1" t="s">
        <v>3800</v>
      </c>
      <c r="D1354" s="4">
        <v>39886.600694444445</v>
      </c>
      <c r="E1354" s="1" t="s">
        <v>54</v>
      </c>
      <c r="F1354" s="1"/>
      <c r="G1354" s="5" t="s">
        <v>64</v>
      </c>
      <c r="H1354" s="1"/>
      <c r="I1354" s="1" t="s">
        <v>64</v>
      </c>
      <c r="J1354" s="1"/>
      <c r="K1354" s="1" t="s">
        <v>3842</v>
      </c>
      <c r="L1354" s="2" t="s">
        <v>3843</v>
      </c>
      <c r="M1354" s="1"/>
      <c r="N1354" s="1"/>
      <c r="O1354" s="1"/>
      <c r="P1354" s="1"/>
      <c r="Q1354" s="1"/>
      <c r="R1354" s="1"/>
      <c r="S1354" s="1"/>
      <c r="T1354" s="1"/>
      <c r="U1354" s="1"/>
      <c r="V1354" s="1"/>
      <c r="W1354" s="1"/>
      <c r="X1354" s="1"/>
      <c r="Y1354" s="1"/>
      <c r="Z1354" s="1"/>
    </row>
    <row r="1355" spans="1:26" ht="33.75" customHeight="1">
      <c r="A1355" s="1">
        <v>1573</v>
      </c>
      <c r="B1355" s="1" t="s">
        <v>12</v>
      </c>
      <c r="C1355" s="1" t="s">
        <v>3800</v>
      </c>
      <c r="D1355" s="4">
        <v>39886.691203703704</v>
      </c>
      <c r="E1355" s="1" t="s">
        <v>175</v>
      </c>
      <c r="F1355" s="1"/>
      <c r="G1355" s="5" t="s">
        <v>64</v>
      </c>
      <c r="H1355" s="5" t="s">
        <v>65</v>
      </c>
      <c r="I1355" s="1" t="s">
        <v>3844</v>
      </c>
      <c r="J1355" s="1"/>
      <c r="K1355" s="1"/>
      <c r="L1355" s="2" t="s">
        <v>3845</v>
      </c>
      <c r="M1355" s="1"/>
      <c r="N1355" s="1"/>
      <c r="O1355" s="1"/>
      <c r="P1355" s="1"/>
      <c r="Q1355" s="1"/>
      <c r="R1355" s="1"/>
      <c r="S1355" s="1"/>
      <c r="T1355" s="1"/>
      <c r="U1355" s="1"/>
      <c r="V1355" s="1"/>
      <c r="W1355" s="1"/>
      <c r="X1355" s="1"/>
      <c r="Y1355" s="1"/>
      <c r="Z1355" s="1"/>
    </row>
    <row r="1356" spans="1:26" ht="33.75" customHeight="1">
      <c r="A1356" s="1">
        <v>1195</v>
      </c>
      <c r="B1356" s="1" t="s">
        <v>3846</v>
      </c>
      <c r="C1356" s="1" t="s">
        <v>3156</v>
      </c>
      <c r="D1356" s="4">
        <v>39886.711805555555</v>
      </c>
      <c r="E1356" s="1" t="s">
        <v>320</v>
      </c>
      <c r="F1356" s="1" t="s">
        <v>3847</v>
      </c>
      <c r="G1356" s="5" t="s">
        <v>64</v>
      </c>
      <c r="H1356" s="5" t="s">
        <v>179</v>
      </c>
      <c r="I1356" s="1" t="s">
        <v>179</v>
      </c>
      <c r="J1356" s="1"/>
      <c r="K1356" s="1"/>
      <c r="L1356" s="2" t="s">
        <v>3848</v>
      </c>
      <c r="M1356" s="1"/>
      <c r="N1356" s="1"/>
      <c r="O1356" s="1"/>
      <c r="P1356" s="1"/>
      <c r="Q1356" s="1"/>
      <c r="R1356" s="1"/>
      <c r="S1356" s="1"/>
      <c r="T1356" s="1"/>
      <c r="U1356" s="1"/>
      <c r="V1356" s="1"/>
      <c r="W1356" s="1"/>
      <c r="X1356" s="1"/>
      <c r="Y1356" s="1"/>
      <c r="Z1356" s="1"/>
    </row>
    <row r="1357" spans="1:26" ht="33.75" customHeight="1">
      <c r="A1357" s="1">
        <v>1196</v>
      </c>
      <c r="B1357" s="1" t="s">
        <v>3849</v>
      </c>
      <c r="C1357" s="1" t="s">
        <v>3156</v>
      </c>
      <c r="D1357" s="4">
        <v>39886.712500000001</v>
      </c>
      <c r="E1357" s="1" t="s">
        <v>320</v>
      </c>
      <c r="F1357" s="1" t="s">
        <v>3846</v>
      </c>
      <c r="G1357" s="5" t="s">
        <v>64</v>
      </c>
      <c r="H1357" s="5" t="s">
        <v>179</v>
      </c>
      <c r="I1357" s="1" t="s">
        <v>179</v>
      </c>
      <c r="J1357" s="1"/>
      <c r="K1357" s="1"/>
      <c r="L1357" s="2" t="s">
        <v>3850</v>
      </c>
      <c r="M1357" s="1"/>
      <c r="N1357" s="1"/>
      <c r="O1357" s="1"/>
      <c r="P1357" s="1"/>
      <c r="Q1357" s="1"/>
      <c r="R1357" s="1"/>
      <c r="S1357" s="1"/>
      <c r="T1357" s="1"/>
      <c r="U1357" s="1"/>
      <c r="V1357" s="1"/>
      <c r="W1357" s="1"/>
      <c r="X1357" s="1"/>
      <c r="Y1357" s="1"/>
      <c r="Z1357" s="1"/>
    </row>
    <row r="1358" spans="1:26" ht="33.75" customHeight="1">
      <c r="A1358" s="1">
        <v>1197</v>
      </c>
      <c r="B1358" s="1" t="s">
        <v>3851</v>
      </c>
      <c r="C1358" s="1" t="s">
        <v>3156</v>
      </c>
      <c r="D1358" s="4">
        <v>39886.803472222222</v>
      </c>
      <c r="E1358" s="1" t="s">
        <v>196</v>
      </c>
      <c r="F1358" s="1"/>
      <c r="G1358" s="5" t="s">
        <v>64</v>
      </c>
      <c r="H1358" s="5" t="s">
        <v>1053</v>
      </c>
      <c r="I1358" s="1" t="s">
        <v>3852</v>
      </c>
      <c r="J1358" s="1"/>
      <c r="K1358" s="1" t="s">
        <v>3853</v>
      </c>
      <c r="L1358" s="2" t="s">
        <v>3854</v>
      </c>
      <c r="M1358" s="1"/>
      <c r="N1358" s="1"/>
      <c r="O1358" s="1"/>
      <c r="P1358" s="1"/>
      <c r="Q1358" s="1"/>
      <c r="R1358" s="1"/>
      <c r="S1358" s="1"/>
      <c r="T1358" s="1"/>
      <c r="U1358" s="1"/>
      <c r="V1358" s="1"/>
      <c r="W1358" s="1"/>
      <c r="X1358" s="1"/>
      <c r="Y1358" s="1"/>
      <c r="Z1358" s="1"/>
    </row>
    <row r="1359" spans="1:26" ht="33.75" customHeight="1">
      <c r="A1359" s="1">
        <v>1210</v>
      </c>
      <c r="B1359" s="1" t="s">
        <v>3855</v>
      </c>
      <c r="C1359" s="1" t="s">
        <v>3156</v>
      </c>
      <c r="D1359" s="4">
        <v>39888.772222222222</v>
      </c>
      <c r="E1359" s="1" t="s">
        <v>1528</v>
      </c>
      <c r="F1359" s="1" t="s">
        <v>3766</v>
      </c>
      <c r="G1359" s="5" t="s">
        <v>26</v>
      </c>
      <c r="H1359" s="5" t="s">
        <v>3856</v>
      </c>
      <c r="I1359" s="1" t="s">
        <v>2382</v>
      </c>
      <c r="J1359" s="1"/>
      <c r="K1359" s="1"/>
      <c r="L1359" s="2" t="s">
        <v>3857</v>
      </c>
      <c r="M1359" s="1"/>
      <c r="N1359" s="1"/>
      <c r="O1359" s="1"/>
      <c r="P1359" s="1"/>
      <c r="Q1359" s="1"/>
      <c r="R1359" s="1"/>
      <c r="S1359" s="1"/>
      <c r="T1359" s="1"/>
      <c r="U1359" s="1"/>
      <c r="V1359" s="1"/>
      <c r="W1359" s="1"/>
      <c r="X1359" s="1"/>
      <c r="Y1359" s="1"/>
      <c r="Z1359" s="1"/>
    </row>
    <row r="1360" spans="1:26" ht="33.75" customHeight="1">
      <c r="A1360" s="1">
        <v>1194</v>
      </c>
      <c r="B1360" s="1" t="s">
        <v>3858</v>
      </c>
      <c r="C1360" s="1" t="s">
        <v>3156</v>
      </c>
      <c r="D1360" s="4">
        <v>39886.956944444442</v>
      </c>
      <c r="E1360" s="1" t="s">
        <v>196</v>
      </c>
      <c r="F1360" s="1" t="s">
        <v>3447</v>
      </c>
      <c r="G1360" s="5" t="s">
        <v>26</v>
      </c>
      <c r="H1360" s="5" t="s">
        <v>27</v>
      </c>
      <c r="I1360" s="1" t="s">
        <v>28</v>
      </c>
      <c r="J1360" s="1" t="s">
        <v>259</v>
      </c>
      <c r="K1360" s="1"/>
      <c r="L1360" s="2" t="s">
        <v>3859</v>
      </c>
      <c r="M1360" s="1"/>
      <c r="N1360" s="1"/>
      <c r="O1360" s="1"/>
      <c r="P1360" s="1"/>
      <c r="Q1360" s="1"/>
      <c r="R1360" s="1"/>
      <c r="S1360" s="1"/>
      <c r="T1360" s="1"/>
      <c r="U1360" s="1"/>
      <c r="V1360" s="1"/>
      <c r="W1360" s="1"/>
      <c r="X1360" s="1"/>
      <c r="Y1360" s="1"/>
      <c r="Z1360" s="1"/>
    </row>
    <row r="1361" spans="1:26" ht="33.75" customHeight="1">
      <c r="A1361" s="1">
        <v>1199</v>
      </c>
      <c r="B1361" s="1" t="s">
        <v>3860</v>
      </c>
      <c r="C1361" s="1" t="s">
        <v>3156</v>
      </c>
      <c r="D1361" s="4">
        <v>39886.981249999997</v>
      </c>
      <c r="E1361" s="1" t="s">
        <v>14</v>
      </c>
      <c r="F1361" s="1" t="s">
        <v>3861</v>
      </c>
      <c r="G1361" s="5" t="s">
        <v>15</v>
      </c>
      <c r="H1361" s="5" t="s">
        <v>150</v>
      </c>
      <c r="I1361" s="1" t="s">
        <v>295</v>
      </c>
      <c r="J1361" s="1"/>
      <c r="K1361" s="1"/>
      <c r="L1361" s="2" t="s">
        <v>3862</v>
      </c>
      <c r="M1361" s="1"/>
      <c r="N1361" s="1"/>
      <c r="O1361" s="1"/>
      <c r="P1361" s="1"/>
      <c r="Q1361" s="1"/>
      <c r="R1361" s="1"/>
      <c r="S1361" s="1"/>
      <c r="T1361" s="1"/>
      <c r="U1361" s="1"/>
      <c r="V1361" s="1"/>
      <c r="W1361" s="1"/>
      <c r="X1361" s="1"/>
      <c r="Y1361" s="1"/>
      <c r="Z1361" s="1"/>
    </row>
    <row r="1362" spans="1:26" ht="33.75" customHeight="1">
      <c r="A1362" s="1">
        <v>2021</v>
      </c>
      <c r="B1362" s="1" t="s">
        <v>3863</v>
      </c>
      <c r="C1362" s="1" t="s">
        <v>3800</v>
      </c>
      <c r="D1362" s="4">
        <v>39887.222222222219</v>
      </c>
      <c r="E1362" s="1" t="s">
        <v>2242</v>
      </c>
      <c r="F1362" s="1" t="s">
        <v>3841</v>
      </c>
      <c r="G1362" s="5" t="s">
        <v>64</v>
      </c>
      <c r="H1362" s="1"/>
      <c r="I1362" s="1" t="s">
        <v>64</v>
      </c>
      <c r="J1362" s="1"/>
      <c r="K1362" s="1"/>
      <c r="L1362" s="2" t="s">
        <v>3864</v>
      </c>
      <c r="M1362" s="1"/>
      <c r="N1362" s="1"/>
      <c r="O1362" s="1"/>
      <c r="P1362" s="1"/>
      <c r="Q1362" s="1"/>
      <c r="R1362" s="1"/>
      <c r="S1362" s="1"/>
      <c r="T1362" s="1"/>
      <c r="U1362" s="1"/>
      <c r="V1362" s="1"/>
      <c r="W1362" s="1"/>
      <c r="X1362" s="1"/>
      <c r="Y1362" s="1"/>
      <c r="Z1362" s="1"/>
    </row>
    <row r="1363" spans="1:26" ht="33.75" customHeight="1">
      <c r="A1363" s="1">
        <v>1316</v>
      </c>
      <c r="B1363" s="1" t="s">
        <v>3865</v>
      </c>
      <c r="C1363" s="1" t="s">
        <v>3255</v>
      </c>
      <c r="D1363" s="4">
        <v>39887.28125</v>
      </c>
      <c r="E1363" s="1" t="s">
        <v>54</v>
      </c>
      <c r="F1363" s="1"/>
      <c r="G1363" s="5" t="s">
        <v>15</v>
      </c>
      <c r="H1363" s="5" t="s">
        <v>140</v>
      </c>
      <c r="I1363" s="1" t="s">
        <v>166</v>
      </c>
      <c r="J1363" s="1"/>
      <c r="K1363" s="1" t="s">
        <v>3866</v>
      </c>
      <c r="L1363" s="2" t="s">
        <v>3867</v>
      </c>
      <c r="M1363" s="1"/>
      <c r="N1363" s="1"/>
      <c r="O1363" s="1"/>
      <c r="P1363" s="1"/>
      <c r="Q1363" s="1"/>
      <c r="R1363" s="1"/>
      <c r="S1363" s="1"/>
      <c r="T1363" s="1"/>
      <c r="U1363" s="1"/>
      <c r="V1363" s="1"/>
      <c r="W1363" s="1"/>
      <c r="X1363" s="1"/>
      <c r="Y1363" s="1"/>
      <c r="Z1363" s="1"/>
    </row>
    <row r="1364" spans="1:26" ht="33.75" customHeight="1">
      <c r="A1364" s="1">
        <v>1318</v>
      </c>
      <c r="B1364" s="1" t="s">
        <v>3868</v>
      </c>
      <c r="C1364" s="1" t="s">
        <v>3255</v>
      </c>
      <c r="D1364" s="4">
        <v>39887.324305555558</v>
      </c>
      <c r="E1364" s="1" t="s">
        <v>314</v>
      </c>
      <c r="F1364" s="1"/>
      <c r="G1364" s="5" t="s">
        <v>15</v>
      </c>
      <c r="H1364" s="5" t="s">
        <v>140</v>
      </c>
      <c r="I1364" s="1" t="s">
        <v>166</v>
      </c>
      <c r="J1364" s="1"/>
      <c r="K1364" s="1" t="s">
        <v>3869</v>
      </c>
      <c r="L1364" s="2" t="s">
        <v>3870</v>
      </c>
      <c r="M1364" s="1"/>
      <c r="N1364" s="1"/>
      <c r="O1364" s="1"/>
      <c r="P1364" s="1"/>
      <c r="Q1364" s="1"/>
      <c r="R1364" s="1"/>
      <c r="S1364" s="1"/>
      <c r="T1364" s="1"/>
      <c r="U1364" s="1"/>
      <c r="V1364" s="1"/>
      <c r="W1364" s="1"/>
      <c r="X1364" s="1"/>
      <c r="Y1364" s="1"/>
      <c r="Z1364" s="1"/>
    </row>
    <row r="1365" spans="1:26" ht="33.75" customHeight="1">
      <c r="A1365" s="1">
        <v>2022</v>
      </c>
      <c r="B1365" s="1" t="s">
        <v>3871</v>
      </c>
      <c r="C1365" s="1" t="s">
        <v>3800</v>
      </c>
      <c r="D1365" s="4">
        <v>39887.34097222222</v>
      </c>
      <c r="E1365" s="1" t="s">
        <v>54</v>
      </c>
      <c r="F1365" s="1" t="s">
        <v>3863</v>
      </c>
      <c r="G1365" s="5" t="s">
        <v>64</v>
      </c>
      <c r="H1365" s="1"/>
      <c r="I1365" s="1" t="s">
        <v>64</v>
      </c>
      <c r="J1365" s="1"/>
      <c r="K1365" s="1" t="s">
        <v>3872</v>
      </c>
      <c r="L1365" s="2" t="s">
        <v>3873</v>
      </c>
      <c r="M1365" s="1"/>
      <c r="N1365" s="1"/>
      <c r="O1365" s="1"/>
      <c r="P1365" s="1"/>
      <c r="Q1365" s="1"/>
      <c r="R1365" s="1"/>
      <c r="S1365" s="1"/>
      <c r="T1365" s="1"/>
      <c r="U1365" s="1"/>
      <c r="V1365" s="1"/>
      <c r="W1365" s="1"/>
      <c r="X1365" s="1"/>
      <c r="Y1365" s="1"/>
      <c r="Z1365" s="1"/>
    </row>
    <row r="1366" spans="1:26" ht="33.75" customHeight="1">
      <c r="A1366" s="1">
        <v>1200</v>
      </c>
      <c r="B1366" s="1" t="s">
        <v>3874</v>
      </c>
      <c r="C1366" s="1" t="s">
        <v>3156</v>
      </c>
      <c r="D1366" s="4">
        <v>39887.452777777777</v>
      </c>
      <c r="E1366" s="1" t="s">
        <v>1887</v>
      </c>
      <c r="F1366" s="1"/>
      <c r="G1366" s="5" t="s">
        <v>26</v>
      </c>
      <c r="H1366" s="5" t="s">
        <v>133</v>
      </c>
      <c r="I1366" s="1" t="s">
        <v>28</v>
      </c>
      <c r="J1366" s="1" t="s">
        <v>134</v>
      </c>
      <c r="K1366" s="1"/>
      <c r="L1366" s="2" t="s">
        <v>3875</v>
      </c>
      <c r="M1366" s="1"/>
      <c r="N1366" s="1"/>
      <c r="O1366" s="1"/>
      <c r="P1366" s="1"/>
      <c r="Q1366" s="1"/>
      <c r="R1366" s="1"/>
      <c r="S1366" s="1"/>
      <c r="T1366" s="1"/>
      <c r="U1366" s="1"/>
      <c r="V1366" s="1"/>
      <c r="W1366" s="1"/>
      <c r="X1366" s="1"/>
      <c r="Y1366" s="1"/>
      <c r="Z1366" s="1"/>
    </row>
    <row r="1367" spans="1:26" ht="33.75" customHeight="1">
      <c r="A1367" s="1">
        <v>2023</v>
      </c>
      <c r="B1367" s="1" t="s">
        <v>3876</v>
      </c>
      <c r="C1367" s="1" t="s">
        <v>3800</v>
      </c>
      <c r="D1367" s="4">
        <v>39887.460416666669</v>
      </c>
      <c r="E1367" s="1" t="s">
        <v>2242</v>
      </c>
      <c r="F1367" s="1" t="s">
        <v>3871</v>
      </c>
      <c r="G1367" s="6" t="s">
        <v>78</v>
      </c>
      <c r="H1367" s="5" t="s">
        <v>79</v>
      </c>
      <c r="I1367" s="1" t="s">
        <v>3877</v>
      </c>
      <c r="J1367" s="1"/>
      <c r="K1367" s="1" t="s">
        <v>3878</v>
      </c>
      <c r="L1367" s="2" t="s">
        <v>3879</v>
      </c>
      <c r="M1367" s="1"/>
      <c r="N1367" s="1"/>
      <c r="O1367" s="1"/>
      <c r="P1367" s="1"/>
      <c r="Q1367" s="1"/>
      <c r="R1367" s="1"/>
      <c r="S1367" s="1"/>
      <c r="T1367" s="1"/>
      <c r="U1367" s="1"/>
      <c r="V1367" s="1"/>
      <c r="W1367" s="1"/>
      <c r="X1367" s="1"/>
      <c r="Y1367" s="1"/>
      <c r="Z1367" s="1"/>
    </row>
    <row r="1368" spans="1:26" ht="33.75" customHeight="1">
      <c r="A1368" s="1">
        <v>1317</v>
      </c>
      <c r="B1368" s="1" t="s">
        <v>3880</v>
      </c>
      <c r="C1368" s="1" t="s">
        <v>3255</v>
      </c>
      <c r="D1368" s="4">
        <v>39887.460416666669</v>
      </c>
      <c r="E1368" s="1" t="s">
        <v>14</v>
      </c>
      <c r="F1368" s="1"/>
      <c r="G1368" s="5" t="s">
        <v>15</v>
      </c>
      <c r="H1368" s="5" t="s">
        <v>140</v>
      </c>
      <c r="I1368" s="1" t="s">
        <v>35</v>
      </c>
      <c r="J1368" s="1"/>
      <c r="K1368" s="1" t="s">
        <v>3881</v>
      </c>
      <c r="L1368" s="2" t="s">
        <v>3882</v>
      </c>
      <c r="M1368" s="1"/>
      <c r="N1368" s="1"/>
      <c r="O1368" s="1"/>
      <c r="P1368" s="1"/>
      <c r="Q1368" s="1"/>
      <c r="R1368" s="1"/>
      <c r="S1368" s="1"/>
      <c r="T1368" s="1"/>
      <c r="U1368" s="1"/>
      <c r="V1368" s="1"/>
      <c r="W1368" s="1"/>
      <c r="X1368" s="1"/>
      <c r="Y1368" s="1"/>
      <c r="Z1368" s="1"/>
    </row>
    <row r="1369" spans="1:26" ht="33.75" customHeight="1">
      <c r="A1369" s="1">
        <v>2024</v>
      </c>
      <c r="B1369" s="1" t="s">
        <v>3883</v>
      </c>
      <c r="C1369" s="1" t="s">
        <v>3800</v>
      </c>
      <c r="D1369" s="4">
        <v>39887.548611111109</v>
      </c>
      <c r="E1369" s="1" t="s">
        <v>772</v>
      </c>
      <c r="F1369" s="1"/>
      <c r="G1369" s="5" t="s">
        <v>64</v>
      </c>
      <c r="H1369" s="1"/>
      <c r="I1369" s="1" t="s">
        <v>64</v>
      </c>
      <c r="J1369" s="1"/>
      <c r="K1369" s="1"/>
      <c r="L1369" s="2" t="s">
        <v>3884</v>
      </c>
      <c r="M1369" s="1"/>
      <c r="N1369" s="1"/>
      <c r="O1369" s="1"/>
      <c r="P1369" s="1"/>
      <c r="Q1369" s="1"/>
      <c r="R1369" s="1"/>
      <c r="S1369" s="1"/>
      <c r="T1369" s="1"/>
      <c r="U1369" s="1"/>
      <c r="V1369" s="1"/>
      <c r="W1369" s="1"/>
      <c r="X1369" s="1"/>
      <c r="Y1369" s="1"/>
      <c r="Z1369" s="1"/>
    </row>
    <row r="1370" spans="1:26" ht="33.75" customHeight="1">
      <c r="A1370" s="1">
        <v>2025</v>
      </c>
      <c r="B1370" s="1" t="s">
        <v>3885</v>
      </c>
      <c r="C1370" s="1" t="s">
        <v>3800</v>
      </c>
      <c r="D1370" s="4">
        <v>39887.584722222222</v>
      </c>
      <c r="E1370" s="1" t="s">
        <v>2893</v>
      </c>
      <c r="F1370" s="1"/>
      <c r="G1370" s="5" t="s">
        <v>64</v>
      </c>
      <c r="H1370" s="5" t="s">
        <v>1053</v>
      </c>
      <c r="I1370" s="1" t="s">
        <v>3886</v>
      </c>
      <c r="J1370" s="1"/>
      <c r="K1370" s="1"/>
      <c r="L1370" s="2" t="s">
        <v>3887</v>
      </c>
      <c r="M1370" s="1"/>
      <c r="N1370" s="1"/>
      <c r="O1370" s="1"/>
      <c r="P1370" s="1"/>
      <c r="Q1370" s="1"/>
      <c r="R1370" s="1"/>
      <c r="S1370" s="1"/>
      <c r="T1370" s="1"/>
      <c r="U1370" s="1"/>
      <c r="V1370" s="1"/>
      <c r="W1370" s="1"/>
      <c r="X1370" s="1"/>
      <c r="Y1370" s="1"/>
      <c r="Z1370" s="1"/>
    </row>
    <row r="1371" spans="1:26" ht="33.75" customHeight="1">
      <c r="A1371" s="1">
        <v>2026</v>
      </c>
      <c r="B1371" s="1" t="s">
        <v>3888</v>
      </c>
      <c r="C1371" s="1" t="s">
        <v>3800</v>
      </c>
      <c r="D1371" s="4">
        <v>39887.675694444442</v>
      </c>
      <c r="E1371" s="1" t="s">
        <v>54</v>
      </c>
      <c r="F1371" s="1" t="s">
        <v>3883</v>
      </c>
      <c r="G1371" s="5" t="s">
        <v>64</v>
      </c>
      <c r="H1371" s="1"/>
      <c r="I1371" s="1" t="s">
        <v>64</v>
      </c>
      <c r="J1371" s="1"/>
      <c r="K1371" s="1"/>
      <c r="L1371" s="2" t="s">
        <v>3889</v>
      </c>
      <c r="M1371" s="1"/>
      <c r="N1371" s="1"/>
      <c r="O1371" s="1"/>
      <c r="P1371" s="1"/>
      <c r="Q1371" s="1"/>
      <c r="R1371" s="1"/>
      <c r="S1371" s="1"/>
      <c r="T1371" s="1"/>
      <c r="U1371" s="1"/>
      <c r="V1371" s="1"/>
      <c r="W1371" s="1"/>
      <c r="X1371" s="1"/>
      <c r="Y1371" s="1"/>
      <c r="Z1371" s="1"/>
    </row>
    <row r="1372" spans="1:26" ht="33.75" customHeight="1">
      <c r="A1372" s="1">
        <v>2027</v>
      </c>
      <c r="B1372" s="1" t="s">
        <v>3890</v>
      </c>
      <c r="C1372" s="1" t="s">
        <v>3800</v>
      </c>
      <c r="D1372" s="4">
        <v>39887.699305555558</v>
      </c>
      <c r="E1372" s="1" t="s">
        <v>2893</v>
      </c>
      <c r="F1372" s="1"/>
      <c r="G1372" s="5" t="s">
        <v>64</v>
      </c>
      <c r="H1372" s="5" t="s">
        <v>1053</v>
      </c>
      <c r="I1372" s="1" t="s">
        <v>3886</v>
      </c>
      <c r="J1372" s="1"/>
      <c r="K1372" s="1"/>
      <c r="L1372" s="2" t="s">
        <v>3891</v>
      </c>
      <c r="M1372" s="1"/>
      <c r="N1372" s="1"/>
      <c r="O1372" s="1"/>
      <c r="P1372" s="1"/>
      <c r="Q1372" s="1"/>
      <c r="R1372" s="1"/>
      <c r="S1372" s="1"/>
      <c r="T1372" s="1"/>
      <c r="U1372" s="1"/>
      <c r="V1372" s="1"/>
      <c r="W1372" s="1"/>
      <c r="X1372" s="1"/>
      <c r="Y1372" s="1"/>
      <c r="Z1372" s="1"/>
    </row>
    <row r="1373" spans="1:26" ht="33.75" customHeight="1">
      <c r="A1373" s="1">
        <v>1198</v>
      </c>
      <c r="B1373" s="1" t="s">
        <v>3892</v>
      </c>
      <c r="C1373" s="1" t="s">
        <v>3156</v>
      </c>
      <c r="D1373" s="4">
        <v>39887.712500000001</v>
      </c>
      <c r="E1373" s="1" t="s">
        <v>196</v>
      </c>
      <c r="F1373" s="1"/>
      <c r="G1373" s="5" t="s">
        <v>15</v>
      </c>
      <c r="H1373" s="5" t="s">
        <v>402</v>
      </c>
      <c r="I1373" s="1" t="s">
        <v>576</v>
      </c>
      <c r="J1373" s="1"/>
      <c r="K1373" s="1" t="s">
        <v>3893</v>
      </c>
      <c r="L1373" s="2" t="s">
        <v>3894</v>
      </c>
      <c r="M1373" s="1"/>
      <c r="N1373" s="1"/>
      <c r="O1373" s="1"/>
      <c r="P1373" s="1"/>
      <c r="Q1373" s="1"/>
      <c r="R1373" s="1"/>
      <c r="S1373" s="1"/>
      <c r="T1373" s="1"/>
      <c r="U1373" s="1"/>
      <c r="V1373" s="1"/>
      <c r="W1373" s="1"/>
      <c r="X1373" s="1"/>
      <c r="Y1373" s="1"/>
      <c r="Z1373" s="1"/>
    </row>
    <row r="1374" spans="1:26" ht="33.75" customHeight="1">
      <c r="A1374" s="1">
        <v>1201</v>
      </c>
      <c r="B1374" s="1" t="s">
        <v>3895</v>
      </c>
      <c r="C1374" s="1" t="s">
        <v>3156</v>
      </c>
      <c r="D1374" s="4">
        <v>39887.772916666669</v>
      </c>
      <c r="E1374" s="1" t="s">
        <v>196</v>
      </c>
      <c r="F1374" s="1"/>
      <c r="G1374" s="6" t="s">
        <v>78</v>
      </c>
      <c r="H1374" s="5" t="s">
        <v>197</v>
      </c>
      <c r="I1374" s="1" t="s">
        <v>372</v>
      </c>
      <c r="J1374" s="1"/>
      <c r="K1374" s="1"/>
      <c r="L1374" s="2" t="s">
        <v>3896</v>
      </c>
      <c r="M1374" s="1"/>
      <c r="N1374" s="1"/>
      <c r="O1374" s="1"/>
      <c r="P1374" s="1"/>
      <c r="Q1374" s="1"/>
      <c r="R1374" s="1"/>
      <c r="S1374" s="1"/>
      <c r="T1374" s="1"/>
      <c r="U1374" s="1"/>
      <c r="V1374" s="1"/>
      <c r="W1374" s="1"/>
      <c r="X1374" s="1"/>
      <c r="Y1374" s="1"/>
      <c r="Z1374" s="1"/>
    </row>
    <row r="1375" spans="1:26" ht="33.75" customHeight="1">
      <c r="A1375" s="1">
        <v>1251</v>
      </c>
      <c r="B1375" s="1" t="s">
        <v>3897</v>
      </c>
      <c r="C1375" s="1" t="s">
        <v>3255</v>
      </c>
      <c r="D1375" s="4">
        <v>39887.835416666669</v>
      </c>
      <c r="E1375" s="1" t="s">
        <v>84</v>
      </c>
      <c r="F1375" s="1"/>
      <c r="G1375" s="5" t="s">
        <v>15</v>
      </c>
      <c r="H1375" s="5" t="s">
        <v>402</v>
      </c>
      <c r="I1375" s="1" t="s">
        <v>576</v>
      </c>
      <c r="J1375" s="1"/>
      <c r="K1375" s="1" t="s">
        <v>3898</v>
      </c>
      <c r="L1375" s="2" t="s">
        <v>3899</v>
      </c>
      <c r="M1375" s="1"/>
      <c r="N1375" s="1"/>
      <c r="O1375" s="1"/>
      <c r="P1375" s="1"/>
      <c r="Q1375" s="1"/>
      <c r="R1375" s="1"/>
      <c r="S1375" s="1"/>
      <c r="T1375" s="1"/>
      <c r="U1375" s="1"/>
      <c r="V1375" s="1"/>
      <c r="W1375" s="1"/>
      <c r="X1375" s="1"/>
      <c r="Y1375" s="1"/>
      <c r="Z1375" s="1"/>
    </row>
    <row r="1376" spans="1:26" ht="33.75" customHeight="1">
      <c r="A1376" s="1">
        <v>1274</v>
      </c>
      <c r="B1376" s="1" t="s">
        <v>3900</v>
      </c>
      <c r="C1376" s="1" t="s">
        <v>3255</v>
      </c>
      <c r="D1376" s="4">
        <v>39887.969444444447</v>
      </c>
      <c r="E1376" s="1" t="s">
        <v>314</v>
      </c>
      <c r="F1376" s="1"/>
      <c r="G1376" s="5" t="s">
        <v>15</v>
      </c>
      <c r="H1376" s="5" t="s">
        <v>140</v>
      </c>
      <c r="I1376" s="1" t="s">
        <v>166</v>
      </c>
      <c r="J1376" s="1"/>
      <c r="K1376" s="1" t="s">
        <v>3901</v>
      </c>
      <c r="L1376" s="2" t="s">
        <v>3902</v>
      </c>
      <c r="M1376" s="1"/>
      <c r="N1376" s="1"/>
      <c r="O1376" s="1"/>
      <c r="P1376" s="1"/>
      <c r="Q1376" s="1"/>
      <c r="R1376" s="1"/>
      <c r="S1376" s="1"/>
      <c r="T1376" s="1"/>
      <c r="U1376" s="1"/>
      <c r="V1376" s="1"/>
      <c r="W1376" s="1"/>
      <c r="X1376" s="1"/>
      <c r="Y1376" s="1"/>
      <c r="Z1376" s="1"/>
    </row>
    <row r="1377" spans="1:26" ht="33.75" customHeight="1">
      <c r="A1377" s="1">
        <v>1319</v>
      </c>
      <c r="B1377" s="1" t="s">
        <v>3903</v>
      </c>
      <c r="C1377" s="1" t="s">
        <v>3255</v>
      </c>
      <c r="D1377" s="4">
        <v>39887.974999999999</v>
      </c>
      <c r="E1377" s="1" t="s">
        <v>14</v>
      </c>
      <c r="F1377" s="1"/>
      <c r="G1377" s="5" t="s">
        <v>15</v>
      </c>
      <c r="H1377" s="5" t="s">
        <v>22</v>
      </c>
      <c r="I1377" s="1" t="s">
        <v>166</v>
      </c>
      <c r="J1377" s="1"/>
      <c r="K1377" s="1" t="s">
        <v>3904</v>
      </c>
      <c r="L1377" s="2" t="s">
        <v>3905</v>
      </c>
      <c r="M1377" s="1"/>
      <c r="N1377" s="1"/>
      <c r="O1377" s="1"/>
      <c r="P1377" s="1"/>
      <c r="Q1377" s="1"/>
      <c r="R1377" s="1"/>
      <c r="S1377" s="1"/>
      <c r="T1377" s="1"/>
      <c r="U1377" s="1"/>
      <c r="V1377" s="1"/>
      <c r="W1377" s="1"/>
      <c r="X1377" s="1"/>
      <c r="Y1377" s="1"/>
      <c r="Z1377" s="1"/>
    </row>
    <row r="1378" spans="1:26" ht="33.75" customHeight="1">
      <c r="A1378" s="1">
        <v>1202</v>
      </c>
      <c r="B1378" s="1" t="s">
        <v>3906</v>
      </c>
      <c r="C1378" s="1" t="s">
        <v>3156</v>
      </c>
      <c r="D1378" s="4">
        <v>39887.984722222223</v>
      </c>
      <c r="E1378" s="1" t="s">
        <v>320</v>
      </c>
      <c r="F1378" s="1" t="s">
        <v>3895</v>
      </c>
      <c r="G1378" s="5" t="s">
        <v>15</v>
      </c>
      <c r="H1378" s="5" t="s">
        <v>150</v>
      </c>
      <c r="I1378" s="1" t="s">
        <v>2382</v>
      </c>
      <c r="J1378" s="1"/>
      <c r="K1378" s="1"/>
      <c r="L1378" s="2" t="s">
        <v>3907</v>
      </c>
      <c r="M1378" s="1"/>
      <c r="N1378" s="1"/>
      <c r="O1378" s="1"/>
      <c r="P1378" s="1"/>
      <c r="Q1378" s="1"/>
      <c r="R1378" s="1"/>
      <c r="S1378" s="1"/>
      <c r="T1378" s="1"/>
      <c r="U1378" s="1"/>
      <c r="V1378" s="1"/>
      <c r="W1378" s="1"/>
      <c r="X1378" s="1"/>
      <c r="Y1378" s="1"/>
      <c r="Z1378" s="1"/>
    </row>
    <row r="1379" spans="1:26" ht="33.75" customHeight="1">
      <c r="A1379" s="1">
        <v>1203</v>
      </c>
      <c r="B1379" s="1" t="s">
        <v>3908</v>
      </c>
      <c r="C1379" s="1" t="s">
        <v>3156</v>
      </c>
      <c r="D1379" s="4">
        <v>39887.997916666667</v>
      </c>
      <c r="E1379" s="1" t="s">
        <v>314</v>
      </c>
      <c r="F1379" s="1"/>
      <c r="G1379" s="6" t="s">
        <v>78</v>
      </c>
      <c r="H1379" s="5" t="s">
        <v>223</v>
      </c>
      <c r="I1379" s="1" t="s">
        <v>64</v>
      </c>
      <c r="J1379" s="1" t="s">
        <v>3909</v>
      </c>
      <c r="K1379" s="1"/>
      <c r="L1379" s="2" t="s">
        <v>3910</v>
      </c>
      <c r="M1379" s="1"/>
      <c r="N1379" s="1"/>
      <c r="O1379" s="1"/>
      <c r="P1379" s="1"/>
      <c r="Q1379" s="1"/>
      <c r="R1379" s="1"/>
      <c r="S1379" s="1"/>
      <c r="T1379" s="1"/>
      <c r="U1379" s="1"/>
      <c r="V1379" s="1"/>
      <c r="W1379" s="1"/>
      <c r="X1379" s="1"/>
      <c r="Y1379" s="1"/>
      <c r="Z1379" s="1"/>
    </row>
    <row r="1380" spans="1:26" ht="33.75" customHeight="1">
      <c r="A1380" s="1">
        <v>1204</v>
      </c>
      <c r="B1380" s="1" t="s">
        <v>3911</v>
      </c>
      <c r="C1380" s="1" t="s">
        <v>3156</v>
      </c>
      <c r="D1380" s="4">
        <v>39888.133333333331</v>
      </c>
      <c r="E1380" s="1" t="s">
        <v>772</v>
      </c>
      <c r="F1380" s="1" t="s">
        <v>3825</v>
      </c>
      <c r="G1380" s="5" t="s">
        <v>26</v>
      </c>
      <c r="H1380" s="5" t="s">
        <v>27</v>
      </c>
      <c r="I1380" s="1" t="s">
        <v>28</v>
      </c>
      <c r="J1380" s="1" t="s">
        <v>29</v>
      </c>
      <c r="K1380" s="1"/>
      <c r="L1380" s="2" t="s">
        <v>3912</v>
      </c>
      <c r="M1380" s="1"/>
      <c r="N1380" s="1"/>
      <c r="O1380" s="1"/>
      <c r="P1380" s="1"/>
      <c r="Q1380" s="1"/>
      <c r="R1380" s="1"/>
      <c r="S1380" s="1"/>
      <c r="T1380" s="1"/>
      <c r="U1380" s="1"/>
      <c r="V1380" s="1"/>
      <c r="W1380" s="1"/>
      <c r="X1380" s="1"/>
      <c r="Y1380" s="1"/>
      <c r="Z1380" s="1"/>
    </row>
    <row r="1381" spans="1:26" ht="33.75" customHeight="1">
      <c r="A1381" s="1">
        <v>1205</v>
      </c>
      <c r="B1381" s="1" t="s">
        <v>3913</v>
      </c>
      <c r="C1381" s="1" t="s">
        <v>3156</v>
      </c>
      <c r="D1381" s="4">
        <v>39888.138194444444</v>
      </c>
      <c r="E1381" s="1" t="s">
        <v>772</v>
      </c>
      <c r="F1381" s="1"/>
      <c r="G1381" s="5" t="s">
        <v>64</v>
      </c>
      <c r="H1381" s="5" t="s">
        <v>263</v>
      </c>
      <c r="I1381" s="1" t="s">
        <v>3914</v>
      </c>
      <c r="J1381" s="1"/>
      <c r="K1381" s="1"/>
      <c r="L1381" s="2" t="s">
        <v>3915</v>
      </c>
      <c r="M1381" s="1"/>
      <c r="N1381" s="1"/>
      <c r="O1381" s="1"/>
      <c r="P1381" s="1"/>
      <c r="Q1381" s="1"/>
      <c r="R1381" s="1"/>
      <c r="S1381" s="1"/>
      <c r="T1381" s="1"/>
      <c r="U1381" s="1"/>
      <c r="V1381" s="1"/>
      <c r="W1381" s="1"/>
      <c r="X1381" s="1"/>
      <c r="Y1381" s="1"/>
      <c r="Z1381" s="1"/>
    </row>
    <row r="1382" spans="1:26" ht="33.75" customHeight="1">
      <c r="A1382" s="1">
        <v>1206</v>
      </c>
      <c r="B1382" s="1" t="s">
        <v>3916</v>
      </c>
      <c r="C1382" s="1" t="s">
        <v>3156</v>
      </c>
      <c r="D1382" s="4">
        <v>39888.242361111108</v>
      </c>
      <c r="E1382" s="1" t="s">
        <v>772</v>
      </c>
      <c r="F1382" s="1">
        <v>1038</v>
      </c>
      <c r="G1382" s="5" t="s">
        <v>64</v>
      </c>
      <c r="H1382" s="1"/>
      <c r="I1382" s="1" t="s">
        <v>64</v>
      </c>
      <c r="J1382" s="1"/>
      <c r="K1382" s="1"/>
      <c r="L1382" s="2" t="s">
        <v>3917</v>
      </c>
      <c r="M1382" s="1"/>
      <c r="N1382" s="1"/>
      <c r="O1382" s="1"/>
      <c r="P1382" s="1"/>
      <c r="Q1382" s="1"/>
      <c r="R1382" s="1"/>
      <c r="S1382" s="1"/>
      <c r="T1382" s="1"/>
      <c r="U1382" s="1"/>
      <c r="V1382" s="1"/>
      <c r="W1382" s="1"/>
      <c r="X1382" s="1"/>
      <c r="Y1382" s="1"/>
      <c r="Z1382" s="1"/>
    </row>
    <row r="1383" spans="1:26" ht="33.75" customHeight="1">
      <c r="A1383" s="1">
        <v>1207</v>
      </c>
      <c r="B1383" s="1" t="s">
        <v>3918</v>
      </c>
      <c r="C1383" s="1" t="s">
        <v>3156</v>
      </c>
      <c r="D1383" s="4">
        <v>39888.32916666667</v>
      </c>
      <c r="E1383" s="1" t="s">
        <v>14</v>
      </c>
      <c r="F1383" s="1">
        <v>1038</v>
      </c>
      <c r="G1383" s="6" t="s">
        <v>78</v>
      </c>
      <c r="H1383" s="5" t="s">
        <v>79</v>
      </c>
      <c r="I1383" s="1" t="s">
        <v>3919</v>
      </c>
      <c r="J1383" s="1"/>
      <c r="K1383" s="1"/>
      <c r="L1383" s="2" t="s">
        <v>3920</v>
      </c>
      <c r="M1383" s="1"/>
      <c r="N1383" s="1"/>
      <c r="O1383" s="1"/>
      <c r="P1383" s="1"/>
      <c r="Q1383" s="1"/>
      <c r="R1383" s="1"/>
      <c r="S1383" s="1"/>
      <c r="T1383" s="1"/>
      <c r="U1383" s="1"/>
      <c r="V1383" s="1"/>
      <c r="W1383" s="1"/>
      <c r="X1383" s="1"/>
      <c r="Y1383" s="1"/>
      <c r="Z1383" s="1"/>
    </row>
    <row r="1384" spans="1:26" ht="33.75" customHeight="1">
      <c r="A1384" s="1">
        <v>2028</v>
      </c>
      <c r="B1384" s="1" t="s">
        <v>3921</v>
      </c>
      <c r="C1384" s="1" t="s">
        <v>3800</v>
      </c>
      <c r="D1384" s="4">
        <v>39888.331944444442</v>
      </c>
      <c r="E1384" s="1" t="s">
        <v>2893</v>
      </c>
      <c r="F1384" s="1"/>
      <c r="G1384" s="5" t="s">
        <v>64</v>
      </c>
      <c r="H1384" s="5" t="s">
        <v>375</v>
      </c>
      <c r="I1384" s="1" t="s">
        <v>900</v>
      </c>
      <c r="J1384" s="1"/>
      <c r="K1384" s="1"/>
      <c r="L1384" s="2" t="s">
        <v>3922</v>
      </c>
      <c r="M1384" s="1"/>
      <c r="N1384" s="1"/>
      <c r="O1384" s="1"/>
      <c r="P1384" s="1"/>
      <c r="Q1384" s="1"/>
      <c r="R1384" s="1"/>
      <c r="S1384" s="1"/>
      <c r="T1384" s="1"/>
      <c r="U1384" s="1"/>
      <c r="V1384" s="1"/>
      <c r="W1384" s="1"/>
      <c r="X1384" s="1"/>
      <c r="Y1384" s="1"/>
      <c r="Z1384" s="1"/>
    </row>
    <row r="1385" spans="1:26" ht="33.75" customHeight="1">
      <c r="A1385" s="1">
        <v>1320</v>
      </c>
      <c r="B1385" s="1" t="s">
        <v>3923</v>
      </c>
      <c r="C1385" s="1" t="s">
        <v>3255</v>
      </c>
      <c r="D1385" s="4">
        <v>39888.368055555555</v>
      </c>
      <c r="E1385" s="1" t="s">
        <v>314</v>
      </c>
      <c r="F1385" s="1"/>
      <c r="G1385" s="5" t="s">
        <v>15</v>
      </c>
      <c r="H1385" s="5" t="s">
        <v>140</v>
      </c>
      <c r="I1385" s="1" t="s">
        <v>166</v>
      </c>
      <c r="J1385" s="1"/>
      <c r="K1385" s="1" t="s">
        <v>3924</v>
      </c>
      <c r="L1385" s="2" t="s">
        <v>3925</v>
      </c>
      <c r="M1385" s="1"/>
      <c r="N1385" s="1"/>
      <c r="O1385" s="1"/>
      <c r="P1385" s="1"/>
      <c r="Q1385" s="1"/>
      <c r="R1385" s="1"/>
      <c r="S1385" s="1"/>
      <c r="T1385" s="1"/>
      <c r="U1385" s="1"/>
      <c r="V1385" s="1"/>
      <c r="W1385" s="1"/>
      <c r="X1385" s="1"/>
      <c r="Y1385" s="1"/>
      <c r="Z1385" s="1"/>
    </row>
    <row r="1386" spans="1:26" ht="33.75" customHeight="1">
      <c r="A1386" s="1">
        <v>1208</v>
      </c>
      <c r="B1386" s="1" t="s">
        <v>3766</v>
      </c>
      <c r="C1386" s="1" t="s">
        <v>3156</v>
      </c>
      <c r="D1386" s="4">
        <v>39888.48333333333</v>
      </c>
      <c r="E1386" s="1" t="s">
        <v>14</v>
      </c>
      <c r="F1386" s="1"/>
      <c r="G1386" s="5" t="s">
        <v>64</v>
      </c>
      <c r="H1386" s="5" t="s">
        <v>179</v>
      </c>
      <c r="I1386" s="1" t="s">
        <v>3926</v>
      </c>
      <c r="J1386" s="1"/>
      <c r="K1386" s="1" t="s">
        <v>3927</v>
      </c>
      <c r="L1386" s="2" t="s">
        <v>3928</v>
      </c>
      <c r="M1386" s="1"/>
      <c r="N1386" s="1"/>
      <c r="O1386" s="1"/>
      <c r="P1386" s="1"/>
      <c r="Q1386" s="1"/>
      <c r="R1386" s="1"/>
      <c r="S1386" s="1"/>
      <c r="T1386" s="1"/>
      <c r="U1386" s="1"/>
      <c r="V1386" s="1"/>
      <c r="W1386" s="1"/>
      <c r="X1386" s="1"/>
      <c r="Y1386" s="1"/>
      <c r="Z1386" s="1"/>
    </row>
    <row r="1387" spans="1:26" ht="33.75" customHeight="1">
      <c r="A1387" s="1">
        <v>14</v>
      </c>
      <c r="B1387" s="1" t="s">
        <v>12</v>
      </c>
      <c r="C1387" s="1" t="s">
        <v>3929</v>
      </c>
      <c r="D1387" s="4">
        <v>39888.511481481481</v>
      </c>
      <c r="E1387" s="1" t="s">
        <v>14</v>
      </c>
      <c r="F1387" s="1"/>
      <c r="G1387" s="5" t="s">
        <v>64</v>
      </c>
      <c r="H1387" s="5" t="s">
        <v>65</v>
      </c>
      <c r="I1387" s="1" t="s">
        <v>886</v>
      </c>
      <c r="J1387" s="1"/>
      <c r="K1387" s="1"/>
      <c r="L1387" s="2" t="s">
        <v>3930</v>
      </c>
      <c r="M1387" s="1"/>
      <c r="N1387" s="1"/>
      <c r="O1387" s="1"/>
      <c r="P1387" s="1"/>
      <c r="Q1387" s="1"/>
      <c r="R1387" s="1"/>
      <c r="S1387" s="1"/>
      <c r="T1387" s="1"/>
      <c r="U1387" s="1"/>
      <c r="V1387" s="1"/>
      <c r="W1387" s="1"/>
      <c r="X1387" s="1"/>
      <c r="Y1387" s="1"/>
      <c r="Z1387" s="1"/>
    </row>
    <row r="1388" spans="1:26" ht="33.75" customHeight="1">
      <c r="A1388" s="1">
        <v>1211</v>
      </c>
      <c r="B1388" s="1" t="s">
        <v>3931</v>
      </c>
      <c r="C1388" s="1" t="s">
        <v>3156</v>
      </c>
      <c r="D1388" s="4">
        <v>39888.54791666667</v>
      </c>
      <c r="E1388" s="1" t="s">
        <v>14</v>
      </c>
      <c r="F1388" s="1"/>
      <c r="G1388" s="5" t="s">
        <v>33</v>
      </c>
      <c r="H1388" s="5" t="s">
        <v>34</v>
      </c>
      <c r="I1388" s="1" t="s">
        <v>1605</v>
      </c>
      <c r="J1388" s="1"/>
      <c r="K1388" s="1"/>
      <c r="L1388" s="2" t="s">
        <v>3932</v>
      </c>
      <c r="M1388" s="1"/>
      <c r="N1388" s="1"/>
      <c r="O1388" s="1"/>
      <c r="P1388" s="1"/>
      <c r="Q1388" s="1"/>
      <c r="R1388" s="1"/>
      <c r="S1388" s="1"/>
      <c r="T1388" s="1"/>
      <c r="U1388" s="1"/>
      <c r="V1388" s="1"/>
      <c r="W1388" s="1"/>
      <c r="X1388" s="1"/>
      <c r="Y1388" s="1"/>
      <c r="Z1388" s="1"/>
    </row>
    <row r="1389" spans="1:26" ht="33.75" customHeight="1">
      <c r="A1389" s="1">
        <v>1212</v>
      </c>
      <c r="B1389" s="1" t="s">
        <v>3933</v>
      </c>
      <c r="C1389" s="1" t="s">
        <v>3156</v>
      </c>
      <c r="D1389" s="4">
        <v>39888.553472222222</v>
      </c>
      <c r="E1389" s="1" t="s">
        <v>14</v>
      </c>
      <c r="F1389" s="1"/>
      <c r="G1389" s="5" t="s">
        <v>64</v>
      </c>
      <c r="H1389" s="5" t="s">
        <v>65</v>
      </c>
      <c r="I1389" s="1" t="s">
        <v>886</v>
      </c>
      <c r="J1389" s="1"/>
      <c r="K1389" s="1"/>
      <c r="L1389" s="2" t="s">
        <v>3934</v>
      </c>
      <c r="M1389" s="1"/>
      <c r="N1389" s="1"/>
      <c r="O1389" s="1"/>
      <c r="P1389" s="1"/>
      <c r="Q1389" s="1"/>
      <c r="R1389" s="1"/>
      <c r="S1389" s="1"/>
      <c r="T1389" s="1"/>
      <c r="U1389" s="1"/>
      <c r="V1389" s="1"/>
      <c r="W1389" s="1"/>
      <c r="X1389" s="1"/>
      <c r="Y1389" s="1"/>
      <c r="Z1389" s="1"/>
    </row>
    <row r="1390" spans="1:26" ht="33.75" customHeight="1">
      <c r="A1390" s="1">
        <v>2029</v>
      </c>
      <c r="B1390" s="1" t="s">
        <v>3935</v>
      </c>
      <c r="C1390" s="1" t="s">
        <v>3800</v>
      </c>
      <c r="D1390" s="4">
        <v>39888.595138888886</v>
      </c>
      <c r="E1390" s="1" t="s">
        <v>381</v>
      </c>
      <c r="F1390" s="1"/>
      <c r="G1390" s="5" t="s">
        <v>64</v>
      </c>
      <c r="H1390" s="1"/>
      <c r="I1390" s="1" t="s">
        <v>64</v>
      </c>
      <c r="J1390" s="1"/>
      <c r="K1390" s="1"/>
      <c r="L1390" s="2" t="s">
        <v>3936</v>
      </c>
      <c r="M1390" s="1"/>
      <c r="N1390" s="1"/>
      <c r="O1390" s="1"/>
      <c r="P1390" s="1"/>
      <c r="Q1390" s="1"/>
      <c r="R1390" s="1"/>
      <c r="S1390" s="1"/>
      <c r="T1390" s="1"/>
      <c r="U1390" s="1"/>
      <c r="V1390" s="1"/>
      <c r="W1390" s="1"/>
      <c r="X1390" s="1"/>
      <c r="Y1390" s="1"/>
      <c r="Z1390" s="1"/>
    </row>
    <row r="1391" spans="1:26" ht="33.75" customHeight="1">
      <c r="A1391" s="1">
        <v>2030</v>
      </c>
      <c r="B1391" s="1" t="s">
        <v>3937</v>
      </c>
      <c r="C1391" s="1" t="s">
        <v>3800</v>
      </c>
      <c r="D1391" s="4">
        <v>39888.65347222222</v>
      </c>
      <c r="E1391" s="1" t="s">
        <v>2893</v>
      </c>
      <c r="F1391" s="1" t="s">
        <v>3935</v>
      </c>
      <c r="G1391" s="6" t="s">
        <v>78</v>
      </c>
      <c r="H1391" s="5" t="s">
        <v>88</v>
      </c>
      <c r="I1391" s="1" t="s">
        <v>3938</v>
      </c>
      <c r="J1391" s="1"/>
      <c r="K1391" s="1"/>
      <c r="L1391" s="2" t="s">
        <v>3939</v>
      </c>
      <c r="M1391" s="1"/>
      <c r="N1391" s="1"/>
      <c r="O1391" s="1"/>
      <c r="P1391" s="1"/>
      <c r="Q1391" s="1"/>
      <c r="R1391" s="1"/>
      <c r="S1391" s="1"/>
      <c r="T1391" s="1"/>
      <c r="U1391" s="1"/>
      <c r="V1391" s="1"/>
      <c r="W1391" s="1"/>
      <c r="X1391" s="1"/>
      <c r="Y1391" s="1"/>
      <c r="Z1391" s="1"/>
    </row>
    <row r="1392" spans="1:26" ht="33.75" customHeight="1">
      <c r="A1392" s="1">
        <v>2031</v>
      </c>
      <c r="B1392" s="1" t="s">
        <v>3940</v>
      </c>
      <c r="C1392" s="1" t="s">
        <v>3800</v>
      </c>
      <c r="D1392" s="4">
        <v>39888.666666666664</v>
      </c>
      <c r="E1392" s="1" t="s">
        <v>3941</v>
      </c>
      <c r="F1392" s="1"/>
      <c r="G1392" s="5" t="s">
        <v>15</v>
      </c>
      <c r="H1392" s="5" t="s">
        <v>140</v>
      </c>
      <c r="I1392" s="1" t="s">
        <v>166</v>
      </c>
      <c r="J1392" s="1"/>
      <c r="K1392" s="1" t="s">
        <v>3942</v>
      </c>
      <c r="L1392" s="2" t="s">
        <v>3943</v>
      </c>
      <c r="M1392" s="1"/>
      <c r="N1392" s="1"/>
      <c r="O1392" s="1"/>
      <c r="P1392" s="1"/>
      <c r="Q1392" s="1"/>
      <c r="R1392" s="1"/>
      <c r="S1392" s="1"/>
      <c r="T1392" s="1"/>
      <c r="U1392" s="1"/>
      <c r="V1392" s="1"/>
      <c r="W1392" s="1"/>
      <c r="X1392" s="1"/>
      <c r="Y1392" s="1"/>
      <c r="Z1392" s="1"/>
    </row>
    <row r="1393" spans="1:26" ht="33.75" customHeight="1">
      <c r="A1393" s="1">
        <v>2032</v>
      </c>
      <c r="B1393" s="1" t="s">
        <v>3944</v>
      </c>
      <c r="C1393" s="1" t="s">
        <v>3800</v>
      </c>
      <c r="D1393" s="4">
        <v>39888.676388888889</v>
      </c>
      <c r="E1393" s="1" t="s">
        <v>54</v>
      </c>
      <c r="F1393" s="1"/>
      <c r="G1393" s="5" t="s">
        <v>64</v>
      </c>
      <c r="H1393" s="1"/>
      <c r="I1393" s="1" t="s">
        <v>64</v>
      </c>
      <c r="J1393" s="1"/>
      <c r="K1393" s="1"/>
      <c r="L1393" s="2" t="s">
        <v>3945</v>
      </c>
      <c r="M1393" s="1"/>
      <c r="N1393" s="1"/>
      <c r="O1393" s="1"/>
      <c r="P1393" s="1"/>
      <c r="Q1393" s="1"/>
      <c r="R1393" s="1"/>
      <c r="S1393" s="1"/>
      <c r="T1393" s="1"/>
      <c r="U1393" s="1"/>
      <c r="V1393" s="1"/>
      <c r="W1393" s="1"/>
      <c r="X1393" s="1"/>
      <c r="Y1393" s="1"/>
      <c r="Z1393" s="1"/>
    </row>
    <row r="1394" spans="1:26" ht="33.75" customHeight="1">
      <c r="A1394" s="1">
        <v>2033</v>
      </c>
      <c r="B1394" s="1" t="s">
        <v>3946</v>
      </c>
      <c r="C1394" s="1" t="s">
        <v>3800</v>
      </c>
      <c r="D1394" s="4">
        <v>39888.685416666667</v>
      </c>
      <c r="E1394" s="1" t="s">
        <v>2893</v>
      </c>
      <c r="F1394" s="1"/>
      <c r="G1394" s="5" t="s">
        <v>64</v>
      </c>
      <c r="H1394" s="5" t="s">
        <v>375</v>
      </c>
      <c r="I1394" s="1" t="s">
        <v>900</v>
      </c>
      <c r="J1394" s="1"/>
      <c r="K1394" s="1"/>
      <c r="L1394" s="2" t="s">
        <v>3947</v>
      </c>
      <c r="M1394" s="1"/>
      <c r="N1394" s="1"/>
      <c r="O1394" s="1"/>
      <c r="P1394" s="1"/>
      <c r="Q1394" s="1"/>
      <c r="R1394" s="1"/>
      <c r="S1394" s="1"/>
      <c r="T1394" s="1"/>
      <c r="U1394" s="1"/>
      <c r="V1394" s="1"/>
      <c r="W1394" s="1"/>
      <c r="X1394" s="1"/>
      <c r="Y1394" s="1"/>
      <c r="Z1394" s="1"/>
    </row>
    <row r="1395" spans="1:26" ht="33.75" customHeight="1">
      <c r="A1395" s="1">
        <v>2034</v>
      </c>
      <c r="B1395" s="1" t="s">
        <v>3948</v>
      </c>
      <c r="C1395" s="1" t="s">
        <v>3800</v>
      </c>
      <c r="D1395" s="4">
        <v>39888.686111111114</v>
      </c>
      <c r="E1395" s="1" t="s">
        <v>54</v>
      </c>
      <c r="F1395" s="1"/>
      <c r="G1395" s="6" t="s">
        <v>78</v>
      </c>
      <c r="H1395" s="5" t="s">
        <v>870</v>
      </c>
      <c r="I1395" s="1" t="s">
        <v>480</v>
      </c>
      <c r="J1395" s="1" t="s">
        <v>1063</v>
      </c>
      <c r="K1395" s="1" t="s">
        <v>1064</v>
      </c>
      <c r="L1395" s="2" t="s">
        <v>3949</v>
      </c>
      <c r="M1395" s="1"/>
      <c r="N1395" s="1"/>
      <c r="O1395" s="1"/>
      <c r="P1395" s="1"/>
      <c r="Q1395" s="1"/>
      <c r="R1395" s="1"/>
      <c r="S1395" s="1"/>
      <c r="T1395" s="1"/>
      <c r="U1395" s="1"/>
      <c r="V1395" s="1"/>
      <c r="W1395" s="1"/>
      <c r="X1395" s="1"/>
      <c r="Y1395" s="1"/>
      <c r="Z1395" s="1"/>
    </row>
    <row r="1396" spans="1:26" ht="33.75" customHeight="1">
      <c r="A1396" s="1">
        <v>1322</v>
      </c>
      <c r="B1396" s="1" t="s">
        <v>3950</v>
      </c>
      <c r="C1396" s="1" t="s">
        <v>3255</v>
      </c>
      <c r="D1396" s="4">
        <v>39888.686111111114</v>
      </c>
      <c r="E1396" s="1" t="s">
        <v>314</v>
      </c>
      <c r="F1396" s="1"/>
      <c r="G1396" s="5" t="s">
        <v>15</v>
      </c>
      <c r="H1396" s="5" t="s">
        <v>140</v>
      </c>
      <c r="I1396" s="1" t="s">
        <v>166</v>
      </c>
      <c r="J1396" s="1"/>
      <c r="K1396" s="1" t="s">
        <v>3951</v>
      </c>
      <c r="L1396" s="2" t="s">
        <v>3952</v>
      </c>
      <c r="M1396" s="1"/>
      <c r="N1396" s="1"/>
      <c r="O1396" s="1"/>
      <c r="P1396" s="1"/>
      <c r="Q1396" s="1"/>
      <c r="R1396" s="1"/>
      <c r="S1396" s="1"/>
      <c r="T1396" s="1"/>
      <c r="U1396" s="1"/>
      <c r="V1396" s="1"/>
      <c r="W1396" s="1"/>
      <c r="X1396" s="1"/>
      <c r="Y1396" s="1"/>
      <c r="Z1396" s="1"/>
    </row>
    <row r="1397" spans="1:26" ht="33.75" customHeight="1">
      <c r="A1397" s="1">
        <v>1323</v>
      </c>
      <c r="B1397" s="1" t="s">
        <v>3953</v>
      </c>
      <c r="C1397" s="1" t="s">
        <v>3255</v>
      </c>
      <c r="D1397" s="4">
        <v>39888.711111111108</v>
      </c>
      <c r="E1397" s="1" t="s">
        <v>14</v>
      </c>
      <c r="F1397" s="1" t="s">
        <v>3950</v>
      </c>
      <c r="G1397" s="5" t="s">
        <v>15</v>
      </c>
      <c r="H1397" s="5" t="s">
        <v>55</v>
      </c>
      <c r="I1397" s="1" t="s">
        <v>166</v>
      </c>
      <c r="J1397" s="1"/>
      <c r="K1397" s="1"/>
      <c r="L1397" s="2" t="s">
        <v>3954</v>
      </c>
      <c r="M1397" s="1"/>
      <c r="N1397" s="1"/>
      <c r="O1397" s="1"/>
      <c r="P1397" s="1"/>
      <c r="Q1397" s="1"/>
      <c r="R1397" s="1"/>
      <c r="S1397" s="1"/>
      <c r="T1397" s="1"/>
      <c r="U1397" s="1"/>
      <c r="V1397" s="1"/>
      <c r="W1397" s="1"/>
      <c r="X1397" s="1"/>
      <c r="Y1397" s="1"/>
      <c r="Z1397" s="1"/>
    </row>
    <row r="1398" spans="1:26" ht="33.75" customHeight="1">
      <c r="A1398" s="1">
        <v>2035</v>
      </c>
      <c r="B1398" s="1" t="s">
        <v>3955</v>
      </c>
      <c r="C1398" s="1" t="s">
        <v>3800</v>
      </c>
      <c r="D1398" s="4">
        <v>39888.726388888892</v>
      </c>
      <c r="E1398" s="1" t="s">
        <v>772</v>
      </c>
      <c r="F1398" s="1"/>
      <c r="G1398" s="5" t="s">
        <v>64</v>
      </c>
      <c r="H1398" s="1"/>
      <c r="I1398" s="1" t="s">
        <v>64</v>
      </c>
      <c r="J1398" s="1"/>
      <c r="K1398" s="1"/>
      <c r="L1398" s="2" t="s">
        <v>3956</v>
      </c>
      <c r="M1398" s="1"/>
      <c r="N1398" s="1"/>
      <c r="O1398" s="1"/>
      <c r="P1398" s="1"/>
      <c r="Q1398" s="1"/>
      <c r="R1398" s="1"/>
      <c r="S1398" s="1"/>
      <c r="T1398" s="1"/>
      <c r="U1398" s="1"/>
      <c r="V1398" s="1"/>
      <c r="W1398" s="1"/>
      <c r="X1398" s="1"/>
      <c r="Y1398" s="1"/>
      <c r="Z1398" s="1"/>
    </row>
    <row r="1399" spans="1:26" ht="33.75" customHeight="1">
      <c r="A1399" s="1">
        <v>1324</v>
      </c>
      <c r="B1399" s="1" t="s">
        <v>3957</v>
      </c>
      <c r="C1399" s="1" t="s">
        <v>3255</v>
      </c>
      <c r="D1399" s="4">
        <v>39888.730555555558</v>
      </c>
      <c r="E1399" s="1" t="s">
        <v>196</v>
      </c>
      <c r="F1399" s="1" t="s">
        <v>3950</v>
      </c>
      <c r="G1399" s="5" t="s">
        <v>39</v>
      </c>
      <c r="H1399" s="5" t="s">
        <v>3453</v>
      </c>
      <c r="I1399" s="1" t="s">
        <v>2382</v>
      </c>
      <c r="J1399" s="1"/>
      <c r="K1399" s="1"/>
      <c r="L1399" s="2" t="s">
        <v>3958</v>
      </c>
      <c r="M1399" s="1"/>
      <c r="N1399" s="1"/>
      <c r="O1399" s="1"/>
      <c r="P1399" s="1"/>
      <c r="Q1399" s="1"/>
      <c r="R1399" s="1"/>
      <c r="S1399" s="1"/>
      <c r="T1399" s="1"/>
      <c r="U1399" s="1"/>
      <c r="V1399" s="1"/>
      <c r="W1399" s="1"/>
      <c r="X1399" s="1"/>
      <c r="Y1399" s="1"/>
      <c r="Z1399" s="1"/>
    </row>
    <row r="1400" spans="1:26" ht="33.75" customHeight="1">
      <c r="A1400" s="1">
        <v>1359</v>
      </c>
      <c r="B1400" s="1" t="s">
        <v>3959</v>
      </c>
      <c r="C1400" s="1" t="s">
        <v>3929</v>
      </c>
      <c r="D1400" s="4">
        <v>39888.734722222223</v>
      </c>
      <c r="E1400" s="1" t="s">
        <v>14</v>
      </c>
      <c r="F1400" s="1"/>
      <c r="G1400" s="5" t="s">
        <v>64</v>
      </c>
      <c r="H1400" s="1"/>
      <c r="I1400" s="1" t="s">
        <v>64</v>
      </c>
      <c r="J1400" s="1"/>
      <c r="K1400" s="1" t="s">
        <v>3960</v>
      </c>
      <c r="L1400" s="2" t="s">
        <v>3961</v>
      </c>
      <c r="M1400" s="1"/>
      <c r="N1400" s="1"/>
      <c r="O1400" s="1"/>
      <c r="P1400" s="1"/>
      <c r="Q1400" s="1"/>
      <c r="R1400" s="1"/>
      <c r="S1400" s="1"/>
      <c r="T1400" s="1"/>
      <c r="U1400" s="1"/>
      <c r="V1400" s="1"/>
      <c r="W1400" s="1"/>
      <c r="X1400" s="1"/>
      <c r="Y1400" s="1"/>
      <c r="Z1400" s="1"/>
    </row>
    <row r="1401" spans="1:26" ht="33.75" customHeight="1">
      <c r="A1401" s="1">
        <v>1246</v>
      </c>
      <c r="B1401" s="1" t="s">
        <v>3962</v>
      </c>
      <c r="C1401" s="1" t="s">
        <v>3255</v>
      </c>
      <c r="D1401" s="4">
        <v>39883.238194444442</v>
      </c>
      <c r="E1401" s="1" t="s">
        <v>1528</v>
      </c>
      <c r="F1401" s="1"/>
      <c r="G1401" s="5" t="s">
        <v>15</v>
      </c>
      <c r="H1401" s="5" t="s">
        <v>50</v>
      </c>
      <c r="I1401" s="1" t="s">
        <v>166</v>
      </c>
      <c r="J1401" s="1"/>
      <c r="K1401" s="1" t="s">
        <v>3963</v>
      </c>
      <c r="L1401" s="2" t="s">
        <v>3964</v>
      </c>
      <c r="M1401" s="1"/>
      <c r="N1401" s="1"/>
      <c r="O1401" s="1"/>
      <c r="P1401" s="1"/>
      <c r="Q1401" s="1"/>
      <c r="R1401" s="1"/>
      <c r="S1401" s="1"/>
      <c r="T1401" s="1"/>
      <c r="U1401" s="1"/>
      <c r="V1401" s="1"/>
      <c r="W1401" s="1"/>
      <c r="X1401" s="1"/>
      <c r="Y1401" s="1"/>
      <c r="Z1401" s="1"/>
    </row>
    <row r="1402" spans="1:26" ht="33.75" customHeight="1">
      <c r="A1402" s="1">
        <v>1308</v>
      </c>
      <c r="B1402" s="1" t="s">
        <v>3965</v>
      </c>
      <c r="C1402" s="1" t="s">
        <v>3255</v>
      </c>
      <c r="D1402" s="4">
        <v>39885.747916666667</v>
      </c>
      <c r="E1402" s="1" t="s">
        <v>1528</v>
      </c>
      <c r="F1402" s="1"/>
      <c r="G1402" s="5" t="s">
        <v>15</v>
      </c>
      <c r="H1402" s="5" t="s">
        <v>22</v>
      </c>
      <c r="I1402" s="1" t="s">
        <v>166</v>
      </c>
      <c r="J1402" s="1"/>
      <c r="K1402" s="1" t="s">
        <v>3966</v>
      </c>
      <c r="L1402" s="2" t="s">
        <v>3967</v>
      </c>
      <c r="M1402" s="1"/>
      <c r="N1402" s="1"/>
      <c r="O1402" s="1"/>
      <c r="P1402" s="1"/>
      <c r="Q1402" s="1"/>
      <c r="R1402" s="1"/>
      <c r="S1402" s="1"/>
      <c r="T1402" s="1"/>
      <c r="U1402" s="1"/>
      <c r="V1402" s="1"/>
      <c r="W1402" s="1"/>
      <c r="X1402" s="1"/>
      <c r="Y1402" s="1"/>
      <c r="Z1402" s="1"/>
    </row>
    <row r="1403" spans="1:26" ht="33.75" customHeight="1">
      <c r="A1403" s="1">
        <v>1360</v>
      </c>
      <c r="B1403" s="1" t="s">
        <v>3968</v>
      </c>
      <c r="C1403" s="1" t="s">
        <v>3929</v>
      </c>
      <c r="D1403" s="4">
        <v>39888.784722222219</v>
      </c>
      <c r="E1403" s="1" t="s">
        <v>196</v>
      </c>
      <c r="F1403" s="1" t="s">
        <v>3969</v>
      </c>
      <c r="G1403" s="5" t="s">
        <v>26</v>
      </c>
      <c r="H1403" s="5" t="s">
        <v>133</v>
      </c>
      <c r="I1403" s="1" t="s">
        <v>28</v>
      </c>
      <c r="J1403" s="1" t="s">
        <v>134</v>
      </c>
      <c r="K1403" s="1"/>
      <c r="L1403" s="2" t="s">
        <v>3970</v>
      </c>
      <c r="M1403" s="1"/>
      <c r="N1403" s="1"/>
      <c r="O1403" s="1"/>
      <c r="P1403" s="1"/>
      <c r="Q1403" s="1"/>
      <c r="R1403" s="1"/>
      <c r="S1403" s="1"/>
      <c r="T1403" s="1"/>
      <c r="U1403" s="1"/>
      <c r="V1403" s="1"/>
      <c r="W1403" s="1"/>
      <c r="X1403" s="1"/>
      <c r="Y1403" s="1"/>
      <c r="Z1403" s="1"/>
    </row>
    <row r="1404" spans="1:26" ht="33.75" customHeight="1">
      <c r="A1404" s="1">
        <v>1361</v>
      </c>
      <c r="B1404" s="1" t="s">
        <v>3971</v>
      </c>
      <c r="C1404" s="1" t="s">
        <v>3929</v>
      </c>
      <c r="D1404" s="4">
        <v>39888.811805555553</v>
      </c>
      <c r="E1404" s="1" t="s">
        <v>14</v>
      </c>
      <c r="F1404" s="1" t="s">
        <v>3968</v>
      </c>
      <c r="G1404" s="5" t="s">
        <v>26</v>
      </c>
      <c r="H1404" s="5" t="s">
        <v>27</v>
      </c>
      <c r="I1404" s="1" t="s">
        <v>28</v>
      </c>
      <c r="J1404" s="1" t="s">
        <v>29</v>
      </c>
      <c r="K1404" s="1"/>
      <c r="L1404" s="2" t="s">
        <v>3972</v>
      </c>
      <c r="M1404" s="1"/>
      <c r="N1404" s="1"/>
      <c r="O1404" s="1"/>
      <c r="P1404" s="1"/>
      <c r="Q1404" s="1"/>
      <c r="R1404" s="1"/>
      <c r="S1404" s="1"/>
      <c r="T1404" s="1"/>
      <c r="U1404" s="1"/>
      <c r="V1404" s="1"/>
      <c r="W1404" s="1"/>
      <c r="X1404" s="1"/>
      <c r="Y1404" s="1"/>
      <c r="Z1404" s="1"/>
    </row>
    <row r="1405" spans="1:26" ht="33.75" customHeight="1">
      <c r="A1405" s="1">
        <v>1362</v>
      </c>
      <c r="B1405" s="1" t="s">
        <v>3973</v>
      </c>
      <c r="C1405" s="1" t="s">
        <v>3929</v>
      </c>
      <c r="D1405" s="4">
        <v>39888.84375</v>
      </c>
      <c r="E1405" s="1" t="s">
        <v>196</v>
      </c>
      <c r="F1405" s="1" t="s">
        <v>3971</v>
      </c>
      <c r="G1405" s="5" t="s">
        <v>26</v>
      </c>
      <c r="H1405" s="5" t="s">
        <v>27</v>
      </c>
      <c r="I1405" s="1" t="s">
        <v>28</v>
      </c>
      <c r="J1405" s="1" t="s">
        <v>29</v>
      </c>
      <c r="K1405" s="1" t="s">
        <v>3974</v>
      </c>
      <c r="L1405" s="2" t="s">
        <v>3975</v>
      </c>
      <c r="M1405" s="1"/>
      <c r="N1405" s="1"/>
      <c r="O1405" s="1"/>
      <c r="P1405" s="1"/>
      <c r="Q1405" s="1"/>
      <c r="R1405" s="1"/>
      <c r="S1405" s="1"/>
      <c r="T1405" s="1"/>
      <c r="U1405" s="1"/>
      <c r="V1405" s="1"/>
      <c r="W1405" s="1"/>
      <c r="X1405" s="1"/>
      <c r="Y1405" s="1"/>
      <c r="Z1405" s="1"/>
    </row>
    <row r="1406" spans="1:26" ht="33.75" customHeight="1">
      <c r="A1406" s="1">
        <v>2036</v>
      </c>
      <c r="B1406" s="1" t="s">
        <v>3976</v>
      </c>
      <c r="C1406" s="1" t="s">
        <v>3800</v>
      </c>
      <c r="D1406" s="4">
        <v>39889.414583333331</v>
      </c>
      <c r="E1406" s="1" t="s">
        <v>1089</v>
      </c>
      <c r="F1406" s="1" t="s">
        <v>3955</v>
      </c>
      <c r="G1406" s="5" t="s">
        <v>64</v>
      </c>
      <c r="H1406" s="1"/>
      <c r="I1406" s="1" t="s">
        <v>64</v>
      </c>
      <c r="J1406" s="1"/>
      <c r="K1406" s="1"/>
      <c r="L1406" s="2" t="s">
        <v>3977</v>
      </c>
      <c r="M1406" s="1"/>
      <c r="N1406" s="1"/>
      <c r="O1406" s="1"/>
      <c r="P1406" s="1"/>
      <c r="Q1406" s="1"/>
      <c r="R1406" s="1"/>
      <c r="S1406" s="1"/>
      <c r="T1406" s="1"/>
      <c r="U1406" s="1"/>
      <c r="V1406" s="1"/>
      <c r="W1406" s="1"/>
      <c r="X1406" s="1"/>
      <c r="Y1406" s="1"/>
      <c r="Z1406" s="1"/>
    </row>
    <row r="1407" spans="1:26" ht="33.75" customHeight="1">
      <c r="A1407" s="1">
        <v>2037</v>
      </c>
      <c r="B1407" s="1" t="s">
        <v>3978</v>
      </c>
      <c r="C1407" s="1" t="s">
        <v>3800</v>
      </c>
      <c r="D1407" s="4">
        <v>39889.42083333333</v>
      </c>
      <c r="E1407" s="1" t="s">
        <v>772</v>
      </c>
      <c r="F1407" s="1" t="s">
        <v>3976</v>
      </c>
      <c r="G1407" s="5" t="s">
        <v>64</v>
      </c>
      <c r="H1407" s="1"/>
      <c r="I1407" s="1" t="s">
        <v>64</v>
      </c>
      <c r="J1407" s="1"/>
      <c r="K1407" s="1"/>
      <c r="L1407" s="2" t="s">
        <v>3979</v>
      </c>
      <c r="M1407" s="1"/>
      <c r="N1407" s="1"/>
      <c r="O1407" s="1"/>
      <c r="P1407" s="1"/>
      <c r="Q1407" s="1"/>
      <c r="R1407" s="1"/>
      <c r="S1407" s="1"/>
      <c r="T1407" s="1"/>
      <c r="U1407" s="1"/>
      <c r="V1407" s="1"/>
      <c r="W1407" s="1"/>
      <c r="X1407" s="1"/>
      <c r="Y1407" s="1"/>
      <c r="Z1407" s="1"/>
    </row>
    <row r="1408" spans="1:26" ht="33.75" customHeight="1">
      <c r="A1408" s="1">
        <v>2038</v>
      </c>
      <c r="B1408" s="1" t="s">
        <v>3980</v>
      </c>
      <c r="C1408" s="1" t="s">
        <v>3800</v>
      </c>
      <c r="D1408" s="4">
        <v>39889.675000000003</v>
      </c>
      <c r="E1408" s="1" t="s">
        <v>2893</v>
      </c>
      <c r="F1408" s="1"/>
      <c r="G1408" s="5" t="s">
        <v>64</v>
      </c>
      <c r="H1408" s="5" t="s">
        <v>375</v>
      </c>
      <c r="I1408" s="1" t="s">
        <v>900</v>
      </c>
      <c r="J1408" s="1"/>
      <c r="K1408" s="1" t="s">
        <v>3981</v>
      </c>
      <c r="L1408" s="2" t="s">
        <v>3982</v>
      </c>
      <c r="M1408" s="1"/>
      <c r="N1408" s="1"/>
      <c r="O1408" s="1"/>
      <c r="P1408" s="1"/>
      <c r="Q1408" s="1"/>
      <c r="R1408" s="1"/>
      <c r="S1408" s="1"/>
      <c r="T1408" s="1"/>
      <c r="U1408" s="1"/>
      <c r="V1408" s="1"/>
      <c r="W1408" s="1"/>
      <c r="X1408" s="1"/>
      <c r="Y1408" s="1"/>
      <c r="Z1408" s="1"/>
    </row>
    <row r="1409" spans="1:26" ht="33.75" customHeight="1">
      <c r="A1409" s="1">
        <v>1363</v>
      </c>
      <c r="B1409" s="1" t="s">
        <v>3983</v>
      </c>
      <c r="C1409" s="1" t="s">
        <v>3929</v>
      </c>
      <c r="D1409" s="4">
        <v>39889.767361111109</v>
      </c>
      <c r="E1409" s="1" t="s">
        <v>196</v>
      </c>
      <c r="F1409" s="1" t="s">
        <v>3973</v>
      </c>
      <c r="G1409" s="5" t="s">
        <v>26</v>
      </c>
      <c r="H1409" s="5" t="s">
        <v>27</v>
      </c>
      <c r="I1409" s="1" t="s">
        <v>28</v>
      </c>
      <c r="J1409" s="1" t="s">
        <v>29</v>
      </c>
      <c r="K1409" s="1"/>
      <c r="L1409" s="2" t="s">
        <v>3984</v>
      </c>
      <c r="M1409" s="1"/>
      <c r="N1409" s="1"/>
      <c r="O1409" s="1"/>
      <c r="P1409" s="1"/>
      <c r="Q1409" s="1"/>
      <c r="R1409" s="1"/>
      <c r="S1409" s="1"/>
      <c r="T1409" s="1"/>
      <c r="U1409" s="1"/>
      <c r="V1409" s="1"/>
      <c r="W1409" s="1"/>
      <c r="X1409" s="1"/>
      <c r="Y1409" s="1"/>
      <c r="Z1409" s="1"/>
    </row>
    <row r="1410" spans="1:26" ht="33.75" customHeight="1">
      <c r="A1410" s="1">
        <v>1366</v>
      </c>
      <c r="B1410" s="1" t="s">
        <v>3985</v>
      </c>
      <c r="C1410" s="1" t="s">
        <v>3929</v>
      </c>
      <c r="D1410" s="4">
        <v>39889.84652777778</v>
      </c>
      <c r="E1410" s="1" t="s">
        <v>14</v>
      </c>
      <c r="F1410" s="1" t="s">
        <v>3959</v>
      </c>
      <c r="G1410" s="5" t="s">
        <v>64</v>
      </c>
      <c r="H1410" s="1"/>
      <c r="I1410" s="1" t="s">
        <v>64</v>
      </c>
      <c r="J1410" s="1"/>
      <c r="K1410" s="1" t="s">
        <v>3986</v>
      </c>
      <c r="L1410" s="2" t="s">
        <v>3987</v>
      </c>
      <c r="M1410" s="1"/>
      <c r="N1410" s="1"/>
      <c r="O1410" s="1"/>
      <c r="P1410" s="1"/>
      <c r="Q1410" s="1"/>
      <c r="R1410" s="1"/>
      <c r="S1410" s="1"/>
      <c r="T1410" s="1"/>
      <c r="U1410" s="1"/>
      <c r="V1410" s="1"/>
      <c r="W1410" s="1"/>
      <c r="X1410" s="1"/>
      <c r="Y1410" s="1"/>
      <c r="Z1410" s="1"/>
    </row>
    <row r="1411" spans="1:26" ht="33.75" customHeight="1">
      <c r="A1411" s="1">
        <v>1364</v>
      </c>
      <c r="B1411" s="1" t="s">
        <v>3988</v>
      </c>
      <c r="C1411" s="1" t="s">
        <v>3929</v>
      </c>
      <c r="D1411" s="4">
        <v>39889.895138888889</v>
      </c>
      <c r="E1411" s="1" t="s">
        <v>314</v>
      </c>
      <c r="F1411" s="1"/>
      <c r="G1411" s="5" t="s">
        <v>26</v>
      </c>
      <c r="H1411" s="5" t="s">
        <v>133</v>
      </c>
      <c r="I1411" s="1" t="s">
        <v>28</v>
      </c>
      <c r="J1411" s="1" t="s">
        <v>134</v>
      </c>
      <c r="K1411" s="1"/>
      <c r="L1411" s="2" t="s">
        <v>3989</v>
      </c>
      <c r="M1411" s="1"/>
      <c r="N1411" s="1"/>
      <c r="O1411" s="1"/>
      <c r="P1411" s="1"/>
      <c r="Q1411" s="1"/>
      <c r="R1411" s="1"/>
      <c r="S1411" s="1"/>
      <c r="T1411" s="1"/>
      <c r="U1411" s="1"/>
      <c r="V1411" s="1"/>
      <c r="W1411" s="1"/>
      <c r="X1411" s="1"/>
      <c r="Y1411" s="1"/>
      <c r="Z1411" s="1"/>
    </row>
    <row r="1412" spans="1:26" ht="33.75" customHeight="1">
      <c r="A1412" s="1">
        <v>1367</v>
      </c>
      <c r="B1412" s="1" t="s">
        <v>3990</v>
      </c>
      <c r="C1412" s="1" t="s">
        <v>3929</v>
      </c>
      <c r="D1412" s="4">
        <v>39890.004861111112</v>
      </c>
      <c r="E1412" s="1" t="s">
        <v>14</v>
      </c>
      <c r="F1412" s="1" t="s">
        <v>3985</v>
      </c>
      <c r="G1412" s="5" t="s">
        <v>64</v>
      </c>
      <c r="H1412" s="1"/>
      <c r="I1412" s="1" t="s">
        <v>64</v>
      </c>
      <c r="J1412" s="1"/>
      <c r="K1412" s="1"/>
      <c r="L1412" s="2" t="s">
        <v>3991</v>
      </c>
      <c r="M1412" s="1"/>
      <c r="N1412" s="1"/>
      <c r="O1412" s="1"/>
      <c r="P1412" s="1"/>
      <c r="Q1412" s="1"/>
      <c r="R1412" s="1"/>
      <c r="S1412" s="1"/>
      <c r="T1412" s="1"/>
      <c r="U1412" s="1"/>
      <c r="V1412" s="1"/>
      <c r="W1412" s="1"/>
      <c r="X1412" s="1"/>
      <c r="Y1412" s="1"/>
      <c r="Z1412" s="1"/>
    </row>
    <row r="1413" spans="1:26" ht="33.75" customHeight="1">
      <c r="A1413" s="1">
        <v>1368</v>
      </c>
      <c r="B1413" s="1" t="s">
        <v>3992</v>
      </c>
      <c r="C1413" s="1" t="s">
        <v>3929</v>
      </c>
      <c r="D1413" s="4">
        <v>39890.009027777778</v>
      </c>
      <c r="E1413" s="1" t="s">
        <v>1528</v>
      </c>
      <c r="F1413" s="1" t="s">
        <v>3990</v>
      </c>
      <c r="G1413" s="6" t="s">
        <v>78</v>
      </c>
      <c r="H1413" s="5" t="s">
        <v>197</v>
      </c>
      <c r="I1413" s="1" t="s">
        <v>2382</v>
      </c>
      <c r="J1413" s="1"/>
      <c r="K1413" s="1"/>
      <c r="L1413" s="2" t="s">
        <v>3993</v>
      </c>
      <c r="M1413" s="1"/>
      <c r="N1413" s="1"/>
      <c r="O1413" s="1"/>
      <c r="P1413" s="1"/>
      <c r="Q1413" s="1"/>
      <c r="R1413" s="1"/>
      <c r="S1413" s="1"/>
      <c r="T1413" s="1"/>
      <c r="U1413" s="1"/>
      <c r="V1413" s="1"/>
      <c r="W1413" s="1"/>
      <c r="X1413" s="1"/>
      <c r="Y1413" s="1"/>
      <c r="Z1413" s="1"/>
    </row>
    <row r="1414" spans="1:26" ht="33.75" customHeight="1">
      <c r="A1414" s="1">
        <v>1369</v>
      </c>
      <c r="B1414" s="1" t="s">
        <v>3994</v>
      </c>
      <c r="C1414" s="1" t="s">
        <v>3929</v>
      </c>
      <c r="D1414" s="4">
        <v>39890.006249999999</v>
      </c>
      <c r="E1414" s="1" t="s">
        <v>1528</v>
      </c>
      <c r="F1414" s="1">
        <v>1002</v>
      </c>
      <c r="G1414" s="5" t="s">
        <v>26</v>
      </c>
      <c r="H1414" s="5" t="s">
        <v>133</v>
      </c>
      <c r="I1414" s="1" t="s">
        <v>28</v>
      </c>
      <c r="J1414" s="1" t="s">
        <v>134</v>
      </c>
      <c r="K1414" s="1"/>
      <c r="L1414" s="2" t="s">
        <v>3995</v>
      </c>
      <c r="M1414" s="1"/>
      <c r="N1414" s="1"/>
      <c r="O1414" s="1"/>
      <c r="P1414" s="1"/>
      <c r="Q1414" s="1"/>
      <c r="R1414" s="1"/>
      <c r="S1414" s="1"/>
      <c r="T1414" s="1"/>
      <c r="U1414" s="1"/>
      <c r="V1414" s="1"/>
      <c r="W1414" s="1"/>
      <c r="X1414" s="1"/>
      <c r="Y1414" s="1"/>
      <c r="Z1414" s="1"/>
    </row>
    <row r="1415" spans="1:26" ht="33.75" customHeight="1">
      <c r="A1415" s="1">
        <v>1370</v>
      </c>
      <c r="B1415" s="1" t="s">
        <v>3996</v>
      </c>
      <c r="C1415" s="1" t="s">
        <v>3929</v>
      </c>
      <c r="D1415" s="4">
        <v>39890.020138888889</v>
      </c>
      <c r="E1415" s="1" t="s">
        <v>14</v>
      </c>
      <c r="F1415" s="1">
        <v>1002</v>
      </c>
      <c r="G1415" s="5" t="s">
        <v>15</v>
      </c>
      <c r="H1415" s="5" t="s">
        <v>792</v>
      </c>
      <c r="I1415" s="1" t="s">
        <v>3997</v>
      </c>
      <c r="J1415" s="1"/>
      <c r="K1415" s="1"/>
      <c r="L1415" s="2" t="s">
        <v>3998</v>
      </c>
      <c r="M1415" s="1"/>
      <c r="N1415" s="1"/>
      <c r="O1415" s="1"/>
      <c r="P1415" s="1"/>
      <c r="Q1415" s="1"/>
      <c r="R1415" s="1"/>
      <c r="S1415" s="1"/>
      <c r="T1415" s="1"/>
      <c r="U1415" s="1"/>
      <c r="V1415" s="1"/>
      <c r="W1415" s="1"/>
      <c r="X1415" s="1"/>
      <c r="Y1415" s="1"/>
      <c r="Z1415" s="1"/>
    </row>
    <row r="1416" spans="1:26" ht="33.75" customHeight="1">
      <c r="A1416" s="1">
        <v>1371</v>
      </c>
      <c r="B1416" s="1" t="s">
        <v>3999</v>
      </c>
      <c r="C1416" s="1" t="s">
        <v>3929</v>
      </c>
      <c r="D1416" s="4">
        <v>39890.070138888892</v>
      </c>
      <c r="E1416" s="1" t="s">
        <v>320</v>
      </c>
      <c r="F1416" s="1"/>
      <c r="G1416" s="5" t="s">
        <v>64</v>
      </c>
      <c r="H1416" s="1"/>
      <c r="I1416" s="1" t="s">
        <v>64</v>
      </c>
      <c r="J1416" s="1"/>
      <c r="K1416" s="1"/>
      <c r="L1416" s="2" t="s">
        <v>4000</v>
      </c>
      <c r="M1416" s="1"/>
      <c r="N1416" s="1"/>
      <c r="O1416" s="1"/>
      <c r="P1416" s="1"/>
      <c r="Q1416" s="1"/>
      <c r="R1416" s="1"/>
      <c r="S1416" s="1"/>
      <c r="T1416" s="1"/>
      <c r="U1416" s="1"/>
      <c r="V1416" s="1"/>
      <c r="W1416" s="1"/>
      <c r="X1416" s="1"/>
      <c r="Y1416" s="1"/>
      <c r="Z1416" s="1"/>
    </row>
    <row r="1417" spans="1:26" ht="33.75" customHeight="1">
      <c r="A1417" s="1">
        <v>2039</v>
      </c>
      <c r="B1417" s="1" t="s">
        <v>4001</v>
      </c>
      <c r="C1417" s="1" t="s">
        <v>3800</v>
      </c>
      <c r="D1417" s="4">
        <v>39890.086805555555</v>
      </c>
      <c r="E1417" s="1" t="s">
        <v>1089</v>
      </c>
      <c r="F1417" s="1"/>
      <c r="G1417" s="5" t="s">
        <v>64</v>
      </c>
      <c r="H1417" s="1"/>
      <c r="I1417" s="1" t="s">
        <v>64</v>
      </c>
      <c r="J1417" s="1"/>
      <c r="K1417" s="1"/>
      <c r="L1417" s="2" t="s">
        <v>4002</v>
      </c>
      <c r="M1417" s="1"/>
      <c r="N1417" s="1"/>
      <c r="O1417" s="1"/>
      <c r="P1417" s="1"/>
      <c r="Q1417" s="1"/>
      <c r="R1417" s="1"/>
      <c r="S1417" s="1"/>
      <c r="T1417" s="1"/>
      <c r="U1417" s="1"/>
      <c r="V1417" s="1"/>
      <c r="W1417" s="1"/>
      <c r="X1417" s="1"/>
      <c r="Y1417" s="1"/>
      <c r="Z1417" s="1"/>
    </row>
    <row r="1418" spans="1:26" ht="33.75" customHeight="1">
      <c r="A1418" s="1">
        <v>2040</v>
      </c>
      <c r="B1418" s="1" t="s">
        <v>4003</v>
      </c>
      <c r="C1418" s="1" t="s">
        <v>3800</v>
      </c>
      <c r="D1418" s="4">
        <v>39890.176388888889</v>
      </c>
      <c r="E1418" s="1" t="s">
        <v>1089</v>
      </c>
      <c r="F1418" s="1"/>
      <c r="G1418" s="5" t="s">
        <v>64</v>
      </c>
      <c r="H1418" s="1"/>
      <c r="I1418" s="1" t="s">
        <v>64</v>
      </c>
      <c r="J1418" s="1"/>
      <c r="K1418" s="1" t="s">
        <v>4004</v>
      </c>
      <c r="L1418" s="2" t="s">
        <v>4005</v>
      </c>
      <c r="M1418" s="1"/>
      <c r="N1418" s="1"/>
      <c r="O1418" s="1"/>
      <c r="P1418" s="1"/>
      <c r="Q1418" s="1"/>
      <c r="R1418" s="1"/>
      <c r="S1418" s="1"/>
      <c r="T1418" s="1"/>
      <c r="U1418" s="1"/>
      <c r="V1418" s="1"/>
      <c r="W1418" s="1"/>
      <c r="X1418" s="1"/>
      <c r="Y1418" s="1"/>
      <c r="Z1418" s="1"/>
    </row>
    <row r="1419" spans="1:26" ht="33.75" customHeight="1">
      <c r="A1419" s="1">
        <v>1365</v>
      </c>
      <c r="B1419" s="1" t="s">
        <v>4006</v>
      </c>
      <c r="C1419" s="1" t="s">
        <v>3929</v>
      </c>
      <c r="D1419" s="4">
        <v>39890.320833333331</v>
      </c>
      <c r="E1419" s="1" t="s">
        <v>255</v>
      </c>
      <c r="F1419" s="1"/>
      <c r="G1419" s="5" t="s">
        <v>26</v>
      </c>
      <c r="H1419" s="5" t="s">
        <v>133</v>
      </c>
      <c r="I1419" s="1" t="s">
        <v>28</v>
      </c>
      <c r="J1419" s="1" t="s">
        <v>134</v>
      </c>
      <c r="K1419" s="1" t="s">
        <v>4007</v>
      </c>
      <c r="L1419" s="2" t="s">
        <v>4008</v>
      </c>
      <c r="M1419" s="1"/>
      <c r="N1419" s="1"/>
      <c r="O1419" s="1"/>
      <c r="P1419" s="1"/>
      <c r="Q1419" s="1"/>
      <c r="R1419" s="1"/>
      <c r="S1419" s="1"/>
      <c r="T1419" s="1"/>
      <c r="U1419" s="1"/>
      <c r="V1419" s="1"/>
      <c r="W1419" s="1"/>
      <c r="X1419" s="1"/>
      <c r="Y1419" s="1"/>
      <c r="Z1419" s="1"/>
    </row>
    <row r="1420" spans="1:26" ht="33.75" customHeight="1">
      <c r="A1420" s="1">
        <v>1372</v>
      </c>
      <c r="B1420" s="1" t="s">
        <v>4009</v>
      </c>
      <c r="C1420" s="1" t="s">
        <v>3929</v>
      </c>
      <c r="D1420" s="4">
        <v>39890.340277777781</v>
      </c>
      <c r="E1420" s="1" t="s">
        <v>14</v>
      </c>
      <c r="F1420" s="1" t="s">
        <v>3999</v>
      </c>
      <c r="G1420" s="5" t="s">
        <v>15</v>
      </c>
      <c r="H1420" s="5" t="s">
        <v>150</v>
      </c>
      <c r="I1420" s="1" t="s">
        <v>2382</v>
      </c>
      <c r="J1420" s="1"/>
      <c r="K1420" s="1"/>
      <c r="L1420" s="2" t="s">
        <v>4010</v>
      </c>
      <c r="M1420" s="1"/>
      <c r="N1420" s="1"/>
      <c r="O1420" s="1"/>
      <c r="P1420" s="1"/>
      <c r="Q1420" s="1"/>
      <c r="R1420" s="1"/>
      <c r="S1420" s="1"/>
      <c r="T1420" s="1"/>
      <c r="U1420" s="1"/>
      <c r="V1420" s="1"/>
      <c r="W1420" s="1"/>
      <c r="X1420" s="1"/>
      <c r="Y1420" s="1"/>
      <c r="Z1420" s="1"/>
    </row>
    <row r="1421" spans="1:26" ht="33.75" customHeight="1">
      <c r="A1421" s="1">
        <v>1373</v>
      </c>
      <c r="B1421" s="1" t="s">
        <v>4011</v>
      </c>
      <c r="C1421" s="1" t="s">
        <v>3929</v>
      </c>
      <c r="D1421" s="4">
        <v>39890.369444444441</v>
      </c>
      <c r="E1421" s="1" t="s">
        <v>14</v>
      </c>
      <c r="F1421" s="1" t="s">
        <v>4012</v>
      </c>
      <c r="G1421" s="5" t="s">
        <v>64</v>
      </c>
      <c r="H1421" s="5" t="s">
        <v>179</v>
      </c>
      <c r="I1421" s="1" t="s">
        <v>2382</v>
      </c>
      <c r="J1421" s="1" t="s">
        <v>179</v>
      </c>
      <c r="K1421" s="1"/>
      <c r="L1421" s="2" t="s">
        <v>4013</v>
      </c>
      <c r="M1421" s="1"/>
      <c r="N1421" s="1"/>
      <c r="O1421" s="1"/>
      <c r="P1421" s="1"/>
      <c r="Q1421" s="1"/>
      <c r="R1421" s="1"/>
      <c r="S1421" s="1"/>
      <c r="T1421" s="1"/>
      <c r="U1421" s="1"/>
      <c r="V1421" s="1"/>
      <c r="W1421" s="1"/>
      <c r="X1421" s="1"/>
      <c r="Y1421" s="1"/>
      <c r="Z1421" s="1"/>
    </row>
    <row r="1422" spans="1:26" ht="33.75" customHeight="1">
      <c r="A1422" s="1">
        <v>2041</v>
      </c>
      <c r="B1422" s="1" t="s">
        <v>4014</v>
      </c>
      <c r="C1422" s="1" t="s">
        <v>3800</v>
      </c>
      <c r="D1422" s="4">
        <v>39890.411111111112</v>
      </c>
      <c r="E1422" s="1" t="s">
        <v>84</v>
      </c>
      <c r="F1422" s="1"/>
      <c r="G1422" s="5" t="s">
        <v>33</v>
      </c>
      <c r="H1422" s="5" t="s">
        <v>34</v>
      </c>
      <c r="I1422" s="1" t="s">
        <v>1605</v>
      </c>
      <c r="J1422" s="1"/>
      <c r="K1422" s="1" t="s">
        <v>4015</v>
      </c>
      <c r="L1422" s="2" t="s">
        <v>4016</v>
      </c>
      <c r="M1422" s="1"/>
      <c r="N1422" s="1"/>
      <c r="O1422" s="1"/>
      <c r="P1422" s="1"/>
      <c r="Q1422" s="1"/>
      <c r="R1422" s="1"/>
      <c r="S1422" s="1"/>
      <c r="T1422" s="1"/>
      <c r="U1422" s="1"/>
      <c r="V1422" s="1"/>
      <c r="W1422" s="1"/>
      <c r="X1422" s="1"/>
      <c r="Y1422" s="1"/>
      <c r="Z1422" s="1"/>
    </row>
    <row r="1423" spans="1:26" ht="33.75" customHeight="1">
      <c r="A1423" s="1">
        <v>2042</v>
      </c>
      <c r="B1423" s="1" t="s">
        <v>4017</v>
      </c>
      <c r="C1423" s="1" t="s">
        <v>3800</v>
      </c>
      <c r="D1423" s="4">
        <v>39890.456250000003</v>
      </c>
      <c r="E1423" s="1" t="s">
        <v>772</v>
      </c>
      <c r="F1423" s="1" t="s">
        <v>4014</v>
      </c>
      <c r="G1423" s="5" t="s">
        <v>39</v>
      </c>
      <c r="H1423" s="5" t="s">
        <v>3453</v>
      </c>
      <c r="I1423" s="1" t="s">
        <v>3234</v>
      </c>
      <c r="J1423" s="1" t="s">
        <v>4018</v>
      </c>
      <c r="K1423" s="1"/>
      <c r="L1423" s="2" t="s">
        <v>4019</v>
      </c>
      <c r="M1423" s="1"/>
      <c r="N1423" s="1"/>
      <c r="O1423" s="1"/>
      <c r="P1423" s="1"/>
      <c r="Q1423" s="1"/>
      <c r="R1423" s="1"/>
      <c r="S1423" s="1"/>
      <c r="T1423" s="1"/>
      <c r="U1423" s="1"/>
      <c r="V1423" s="1"/>
      <c r="W1423" s="1"/>
      <c r="X1423" s="1"/>
      <c r="Y1423" s="1"/>
      <c r="Z1423" s="1"/>
    </row>
    <row r="1424" spans="1:26" ht="33.75" customHeight="1">
      <c r="A1424" s="1">
        <v>2043</v>
      </c>
      <c r="B1424" s="1" t="s">
        <v>4020</v>
      </c>
      <c r="C1424" s="1" t="s">
        <v>3800</v>
      </c>
      <c r="D1424" s="4">
        <v>39890.466666666667</v>
      </c>
      <c r="E1424" s="1" t="s">
        <v>772</v>
      </c>
      <c r="F1424" s="1"/>
      <c r="G1424" s="5" t="s">
        <v>64</v>
      </c>
      <c r="H1424" s="1"/>
      <c r="I1424" s="1" t="s">
        <v>64</v>
      </c>
      <c r="J1424" s="1"/>
      <c r="K1424" s="1"/>
      <c r="L1424" s="2" t="s">
        <v>4021</v>
      </c>
      <c r="M1424" s="1"/>
      <c r="N1424" s="1"/>
      <c r="O1424" s="1"/>
      <c r="P1424" s="1"/>
      <c r="Q1424" s="1"/>
      <c r="R1424" s="1"/>
      <c r="S1424" s="1"/>
      <c r="T1424" s="1"/>
      <c r="U1424" s="1"/>
      <c r="V1424" s="1"/>
      <c r="W1424" s="1"/>
      <c r="X1424" s="1"/>
      <c r="Y1424" s="1"/>
      <c r="Z1424" s="1"/>
    </row>
    <row r="1425" spans="1:26" ht="33.75" customHeight="1">
      <c r="A1425" s="1">
        <v>1377</v>
      </c>
      <c r="B1425" s="1" t="s">
        <v>4022</v>
      </c>
      <c r="C1425" s="1" t="s">
        <v>3929</v>
      </c>
      <c r="D1425" s="4">
        <v>39890.630555555559</v>
      </c>
      <c r="E1425" s="1" t="s">
        <v>320</v>
      </c>
      <c r="F1425" s="1" t="s">
        <v>4011</v>
      </c>
      <c r="G1425" s="5" t="s">
        <v>64</v>
      </c>
      <c r="H1425" s="1"/>
      <c r="I1425" s="1" t="s">
        <v>64</v>
      </c>
      <c r="J1425" s="1"/>
      <c r="K1425" s="1"/>
      <c r="L1425" s="2" t="s">
        <v>4023</v>
      </c>
      <c r="M1425" s="1"/>
      <c r="N1425" s="1"/>
      <c r="O1425" s="1"/>
      <c r="P1425" s="1"/>
      <c r="Q1425" s="1"/>
      <c r="R1425" s="1"/>
      <c r="S1425" s="1"/>
      <c r="T1425" s="1"/>
      <c r="U1425" s="1"/>
      <c r="V1425" s="1"/>
      <c r="W1425" s="1"/>
      <c r="X1425" s="1"/>
      <c r="Y1425" s="1"/>
      <c r="Z1425" s="1"/>
    </row>
    <row r="1426" spans="1:26" ht="33.75" customHeight="1">
      <c r="A1426" s="1">
        <v>1378</v>
      </c>
      <c r="B1426" s="1" t="s">
        <v>4024</v>
      </c>
      <c r="C1426" s="1" t="s">
        <v>3929</v>
      </c>
      <c r="D1426" s="4">
        <v>39890.645138888889</v>
      </c>
      <c r="E1426" s="1" t="s">
        <v>320</v>
      </c>
      <c r="F1426" s="1"/>
      <c r="G1426" s="6" t="s">
        <v>78</v>
      </c>
      <c r="H1426" s="5" t="s">
        <v>870</v>
      </c>
      <c r="I1426" s="1" t="s">
        <v>4025</v>
      </c>
      <c r="J1426" s="1"/>
      <c r="K1426" s="1"/>
      <c r="L1426" s="2" t="s">
        <v>4026</v>
      </c>
      <c r="M1426" s="1"/>
      <c r="N1426" s="1"/>
      <c r="O1426" s="1"/>
      <c r="P1426" s="1"/>
      <c r="Q1426" s="1"/>
      <c r="R1426" s="1"/>
      <c r="S1426" s="1"/>
      <c r="T1426" s="1"/>
      <c r="U1426" s="1"/>
      <c r="V1426" s="1"/>
      <c r="W1426" s="1"/>
      <c r="X1426" s="1"/>
      <c r="Y1426" s="1"/>
      <c r="Z1426" s="1"/>
    </row>
    <row r="1427" spans="1:26" ht="33.75" customHeight="1">
      <c r="A1427" s="1">
        <v>1379</v>
      </c>
      <c r="B1427" s="1" t="s">
        <v>4027</v>
      </c>
      <c r="C1427" s="1" t="s">
        <v>3929</v>
      </c>
      <c r="D1427" s="4">
        <v>39890.660416666666</v>
      </c>
      <c r="E1427" s="1" t="s">
        <v>320</v>
      </c>
      <c r="F1427" s="1" t="s">
        <v>4022</v>
      </c>
      <c r="G1427" s="5" t="s">
        <v>64</v>
      </c>
      <c r="H1427" s="5" t="s">
        <v>1053</v>
      </c>
      <c r="I1427" s="1" t="s">
        <v>2382</v>
      </c>
      <c r="J1427" s="1"/>
      <c r="K1427" s="1"/>
      <c r="L1427" s="2" t="s">
        <v>4028</v>
      </c>
      <c r="M1427" s="1"/>
      <c r="N1427" s="1"/>
      <c r="O1427" s="1"/>
      <c r="P1427" s="1"/>
      <c r="Q1427" s="1"/>
      <c r="R1427" s="1"/>
      <c r="S1427" s="1"/>
      <c r="T1427" s="1"/>
      <c r="U1427" s="1"/>
      <c r="V1427" s="1"/>
      <c r="W1427" s="1"/>
      <c r="X1427" s="1"/>
      <c r="Y1427" s="1"/>
      <c r="Z1427" s="1"/>
    </row>
    <row r="1428" spans="1:26" ht="33.75" customHeight="1">
      <c r="A1428" s="1">
        <v>1380</v>
      </c>
      <c r="B1428" s="1" t="s">
        <v>4029</v>
      </c>
      <c r="C1428" s="1" t="s">
        <v>3929</v>
      </c>
      <c r="D1428" s="4">
        <v>39890.668055555558</v>
      </c>
      <c r="E1428" s="1" t="s">
        <v>320</v>
      </c>
      <c r="F1428" s="1" t="s">
        <v>4022</v>
      </c>
      <c r="G1428" s="6" t="s">
        <v>78</v>
      </c>
      <c r="H1428" s="5" t="s">
        <v>88</v>
      </c>
      <c r="I1428" s="1" t="s">
        <v>2382</v>
      </c>
      <c r="J1428" s="1"/>
      <c r="K1428" s="1"/>
      <c r="L1428" s="2" t="s">
        <v>4030</v>
      </c>
      <c r="M1428" s="1"/>
      <c r="N1428" s="1"/>
      <c r="O1428" s="1"/>
      <c r="P1428" s="1"/>
      <c r="Q1428" s="1"/>
      <c r="R1428" s="1"/>
      <c r="S1428" s="1"/>
      <c r="T1428" s="1"/>
      <c r="U1428" s="1"/>
      <c r="V1428" s="1"/>
      <c r="W1428" s="1"/>
      <c r="X1428" s="1"/>
      <c r="Y1428" s="1"/>
      <c r="Z1428" s="1"/>
    </row>
    <row r="1429" spans="1:26" ht="33.75" customHeight="1">
      <c r="A1429" s="1">
        <v>1381</v>
      </c>
      <c r="B1429" s="1" t="s">
        <v>4031</v>
      </c>
      <c r="C1429" s="1" t="s">
        <v>3929</v>
      </c>
      <c r="D1429" s="4">
        <v>39890.711111111108</v>
      </c>
      <c r="E1429" s="1" t="s">
        <v>320</v>
      </c>
      <c r="F1429" s="1" t="s">
        <v>4022</v>
      </c>
      <c r="G1429" s="5" t="s">
        <v>15</v>
      </c>
      <c r="H1429" s="5" t="s">
        <v>150</v>
      </c>
      <c r="I1429" s="1" t="s">
        <v>2382</v>
      </c>
      <c r="J1429" s="1"/>
      <c r="K1429" s="1"/>
      <c r="L1429" s="2" t="s">
        <v>4032</v>
      </c>
      <c r="M1429" s="1"/>
      <c r="N1429" s="1"/>
      <c r="O1429" s="1"/>
      <c r="P1429" s="1"/>
      <c r="Q1429" s="1"/>
      <c r="R1429" s="1"/>
      <c r="S1429" s="1"/>
      <c r="T1429" s="1"/>
      <c r="U1429" s="1"/>
      <c r="V1429" s="1"/>
      <c r="W1429" s="1"/>
      <c r="X1429" s="1"/>
      <c r="Y1429" s="1"/>
      <c r="Z1429" s="1"/>
    </row>
    <row r="1430" spans="1:26" ht="33.75" customHeight="1">
      <c r="A1430" s="1">
        <v>1382</v>
      </c>
      <c r="B1430" s="1" t="s">
        <v>4033</v>
      </c>
      <c r="C1430" s="1" t="s">
        <v>3929</v>
      </c>
      <c r="D1430" s="4">
        <v>39890.725694444445</v>
      </c>
      <c r="E1430" s="1" t="s">
        <v>14</v>
      </c>
      <c r="F1430" s="1" t="s">
        <v>4022</v>
      </c>
      <c r="G1430" s="5" t="s">
        <v>15</v>
      </c>
      <c r="H1430" s="5" t="s">
        <v>150</v>
      </c>
      <c r="I1430" s="1" t="s">
        <v>2382</v>
      </c>
      <c r="J1430" s="1"/>
      <c r="K1430" s="1" t="s">
        <v>4034</v>
      </c>
      <c r="L1430" s="2" t="s">
        <v>4035</v>
      </c>
      <c r="M1430" s="1"/>
      <c r="N1430" s="1"/>
      <c r="O1430" s="1"/>
      <c r="P1430" s="1"/>
      <c r="Q1430" s="1"/>
      <c r="R1430" s="1"/>
      <c r="S1430" s="1"/>
      <c r="T1430" s="1"/>
      <c r="U1430" s="1"/>
      <c r="V1430" s="1"/>
      <c r="W1430" s="1"/>
      <c r="X1430" s="1"/>
      <c r="Y1430" s="1"/>
      <c r="Z1430" s="1"/>
    </row>
    <row r="1431" spans="1:26" ht="33.75" customHeight="1">
      <c r="A1431" s="1">
        <v>1383</v>
      </c>
      <c r="B1431" s="1" t="s">
        <v>4036</v>
      </c>
      <c r="C1431" s="1" t="s">
        <v>3929</v>
      </c>
      <c r="D1431" s="4">
        <v>39890.73541666667</v>
      </c>
      <c r="E1431" s="1" t="s">
        <v>14</v>
      </c>
      <c r="F1431" s="1" t="s">
        <v>4022</v>
      </c>
      <c r="G1431" s="5" t="s">
        <v>15</v>
      </c>
      <c r="H1431" s="5" t="s">
        <v>150</v>
      </c>
      <c r="I1431" s="1" t="s">
        <v>2382</v>
      </c>
      <c r="J1431" s="1"/>
      <c r="K1431" s="1"/>
      <c r="L1431" s="2" t="s">
        <v>4037</v>
      </c>
      <c r="M1431" s="1"/>
      <c r="N1431" s="1"/>
      <c r="O1431" s="1"/>
      <c r="P1431" s="1"/>
      <c r="Q1431" s="1"/>
      <c r="R1431" s="1"/>
      <c r="S1431" s="1"/>
      <c r="T1431" s="1"/>
      <c r="U1431" s="1"/>
      <c r="V1431" s="1"/>
      <c r="W1431" s="1"/>
      <c r="X1431" s="1"/>
      <c r="Y1431" s="1"/>
      <c r="Z1431" s="1"/>
    </row>
    <row r="1432" spans="1:26" ht="33.75" customHeight="1">
      <c r="A1432" s="1">
        <v>1301</v>
      </c>
      <c r="B1432" s="1" t="s">
        <v>4038</v>
      </c>
      <c r="C1432" s="1" t="s">
        <v>3255</v>
      </c>
      <c r="D1432" s="4">
        <v>39890.753472222219</v>
      </c>
      <c r="E1432" s="1" t="s">
        <v>110</v>
      </c>
      <c r="F1432" s="1"/>
      <c r="G1432" s="5" t="s">
        <v>15</v>
      </c>
      <c r="H1432" s="5" t="s">
        <v>22</v>
      </c>
      <c r="I1432" s="1" t="s">
        <v>23</v>
      </c>
      <c r="J1432" s="1"/>
      <c r="K1432" s="1" t="s">
        <v>4039</v>
      </c>
      <c r="L1432" s="2" t="s">
        <v>4040</v>
      </c>
      <c r="M1432" s="1"/>
      <c r="N1432" s="1"/>
      <c r="O1432" s="1"/>
      <c r="P1432" s="1"/>
      <c r="Q1432" s="1"/>
      <c r="R1432" s="1"/>
      <c r="S1432" s="1"/>
      <c r="T1432" s="1"/>
      <c r="U1432" s="1"/>
      <c r="V1432" s="1"/>
      <c r="W1432" s="1"/>
      <c r="X1432" s="1"/>
      <c r="Y1432" s="1"/>
      <c r="Z1432" s="1"/>
    </row>
    <row r="1433" spans="1:26" ht="33.75" customHeight="1">
      <c r="A1433" s="1">
        <v>1384</v>
      </c>
      <c r="B1433" s="1" t="s">
        <v>4041</v>
      </c>
      <c r="C1433" s="1" t="s">
        <v>3929</v>
      </c>
      <c r="D1433" s="4">
        <v>39890.784722222219</v>
      </c>
      <c r="E1433" s="1" t="s">
        <v>320</v>
      </c>
      <c r="F1433" s="1"/>
      <c r="G1433" s="5" t="s">
        <v>15</v>
      </c>
      <c r="H1433" s="5" t="s">
        <v>150</v>
      </c>
      <c r="I1433" s="1" t="s">
        <v>4042</v>
      </c>
      <c r="J1433" s="1"/>
      <c r="K1433" s="1"/>
      <c r="L1433" s="2" t="s">
        <v>4043</v>
      </c>
      <c r="M1433" s="1"/>
      <c r="N1433" s="1"/>
      <c r="O1433" s="1"/>
      <c r="P1433" s="1"/>
      <c r="Q1433" s="1"/>
      <c r="R1433" s="1"/>
      <c r="S1433" s="1"/>
      <c r="T1433" s="1"/>
      <c r="U1433" s="1"/>
      <c r="V1433" s="1"/>
      <c r="W1433" s="1"/>
      <c r="X1433" s="1"/>
      <c r="Y1433" s="1"/>
      <c r="Z1433" s="1"/>
    </row>
    <row r="1434" spans="1:26" ht="33.75" customHeight="1">
      <c r="A1434" s="1">
        <v>1385</v>
      </c>
      <c r="B1434" s="1" t="s">
        <v>4044</v>
      </c>
      <c r="C1434" s="1" t="s">
        <v>3929</v>
      </c>
      <c r="D1434" s="4">
        <v>39890.786805555559</v>
      </c>
      <c r="E1434" s="1" t="s">
        <v>14</v>
      </c>
      <c r="F1434" s="1"/>
      <c r="G1434" s="5" t="s">
        <v>26</v>
      </c>
      <c r="H1434" s="5" t="s">
        <v>133</v>
      </c>
      <c r="I1434" s="1" t="s">
        <v>28</v>
      </c>
      <c r="J1434" s="1" t="s">
        <v>134</v>
      </c>
      <c r="K1434" s="1" t="s">
        <v>4045</v>
      </c>
      <c r="L1434" s="2" t="s">
        <v>4046</v>
      </c>
      <c r="M1434" s="1"/>
      <c r="N1434" s="1"/>
      <c r="O1434" s="1"/>
      <c r="P1434" s="1"/>
      <c r="Q1434" s="1"/>
      <c r="R1434" s="1"/>
      <c r="S1434" s="1"/>
      <c r="T1434" s="1"/>
      <c r="U1434" s="1"/>
      <c r="V1434" s="1"/>
      <c r="W1434" s="1"/>
      <c r="X1434" s="1"/>
      <c r="Y1434" s="1"/>
      <c r="Z1434" s="1"/>
    </row>
    <row r="1435" spans="1:26" ht="33.75" customHeight="1">
      <c r="A1435" s="1">
        <v>1386</v>
      </c>
      <c r="B1435" s="1" t="s">
        <v>4047</v>
      </c>
      <c r="C1435" s="1" t="s">
        <v>3929</v>
      </c>
      <c r="D1435" s="4">
        <v>39890.824305555558</v>
      </c>
      <c r="E1435" s="1" t="s">
        <v>320</v>
      </c>
      <c r="F1435" s="1" t="s">
        <v>4036</v>
      </c>
      <c r="G1435" s="5" t="s">
        <v>64</v>
      </c>
      <c r="H1435" s="1"/>
      <c r="I1435" s="1" t="s">
        <v>64</v>
      </c>
      <c r="J1435" s="1"/>
      <c r="K1435" s="1"/>
      <c r="L1435" s="2" t="s">
        <v>4048</v>
      </c>
      <c r="M1435" s="1"/>
      <c r="N1435" s="1"/>
      <c r="O1435" s="1"/>
      <c r="P1435" s="1"/>
      <c r="Q1435" s="1"/>
      <c r="R1435" s="1"/>
      <c r="S1435" s="1"/>
      <c r="T1435" s="1"/>
      <c r="U1435" s="1"/>
      <c r="V1435" s="1"/>
      <c r="W1435" s="1"/>
      <c r="X1435" s="1"/>
      <c r="Y1435" s="1"/>
      <c r="Z1435" s="1"/>
    </row>
    <row r="1436" spans="1:26" ht="33.75" customHeight="1">
      <c r="A1436" s="1">
        <v>1374</v>
      </c>
      <c r="B1436" s="1" t="s">
        <v>4049</v>
      </c>
      <c r="C1436" s="1" t="s">
        <v>3929</v>
      </c>
      <c r="D1436" s="4">
        <v>39890.853472222225</v>
      </c>
      <c r="E1436" s="1" t="s">
        <v>255</v>
      </c>
      <c r="F1436" s="1"/>
      <c r="G1436" s="5" t="s">
        <v>26</v>
      </c>
      <c r="H1436" s="5" t="s">
        <v>133</v>
      </c>
      <c r="I1436" s="1" t="s">
        <v>28</v>
      </c>
      <c r="J1436" s="1" t="s">
        <v>134</v>
      </c>
      <c r="K1436" s="1" t="s">
        <v>4007</v>
      </c>
      <c r="L1436" s="2" t="s">
        <v>4050</v>
      </c>
      <c r="M1436" s="1"/>
      <c r="N1436" s="1"/>
      <c r="O1436" s="1"/>
      <c r="P1436" s="1"/>
      <c r="Q1436" s="1"/>
      <c r="R1436" s="1"/>
      <c r="S1436" s="1"/>
      <c r="T1436" s="1"/>
      <c r="U1436" s="1"/>
      <c r="V1436" s="1"/>
      <c r="W1436" s="1"/>
      <c r="X1436" s="1"/>
      <c r="Y1436" s="1"/>
      <c r="Z1436" s="1"/>
    </row>
    <row r="1437" spans="1:26" ht="33.75" customHeight="1">
      <c r="A1437" s="1">
        <v>1325</v>
      </c>
      <c r="B1437" s="1" t="s">
        <v>4051</v>
      </c>
      <c r="C1437" s="1" t="s">
        <v>3255</v>
      </c>
      <c r="D1437" s="4">
        <v>39890.883333333331</v>
      </c>
      <c r="E1437" s="1" t="s">
        <v>4052</v>
      </c>
      <c r="F1437" s="1"/>
      <c r="G1437" s="5" t="s">
        <v>26</v>
      </c>
      <c r="H1437" s="5" t="s">
        <v>27</v>
      </c>
      <c r="I1437" s="1" t="s">
        <v>28</v>
      </c>
      <c r="J1437" s="1" t="s">
        <v>259</v>
      </c>
      <c r="K1437" s="1" t="s">
        <v>4053</v>
      </c>
      <c r="L1437" s="2" t="s">
        <v>4054</v>
      </c>
      <c r="M1437" s="1"/>
      <c r="N1437" s="1"/>
      <c r="O1437" s="1"/>
      <c r="P1437" s="1"/>
      <c r="Q1437" s="1"/>
      <c r="R1437" s="1"/>
      <c r="S1437" s="1"/>
      <c r="T1437" s="1"/>
      <c r="U1437" s="1"/>
      <c r="V1437" s="1"/>
      <c r="W1437" s="1"/>
      <c r="X1437" s="1"/>
      <c r="Y1437" s="1"/>
      <c r="Z1437" s="1"/>
    </row>
    <row r="1438" spans="1:26" ht="33.75" customHeight="1">
      <c r="A1438" s="1">
        <v>1028</v>
      </c>
      <c r="B1438" s="1" t="s">
        <v>4055</v>
      </c>
      <c r="C1438" s="1" t="s">
        <v>2636</v>
      </c>
      <c r="D1438" s="4">
        <v>39890.932638888888</v>
      </c>
      <c r="E1438" s="1" t="s">
        <v>255</v>
      </c>
      <c r="F1438" s="1" t="s">
        <v>2976</v>
      </c>
      <c r="G1438" s="5" t="s">
        <v>15</v>
      </c>
      <c r="H1438" s="5" t="s">
        <v>150</v>
      </c>
      <c r="I1438" s="1" t="s">
        <v>2382</v>
      </c>
      <c r="J1438" s="1"/>
      <c r="K1438" s="1"/>
      <c r="L1438" s="2" t="s">
        <v>4056</v>
      </c>
      <c r="M1438" s="1"/>
      <c r="N1438" s="1"/>
      <c r="O1438" s="1"/>
      <c r="P1438" s="1"/>
      <c r="Q1438" s="1"/>
      <c r="R1438" s="1"/>
      <c r="S1438" s="1"/>
      <c r="T1438" s="1"/>
      <c r="U1438" s="1"/>
      <c r="V1438" s="1"/>
      <c r="W1438" s="1"/>
      <c r="X1438" s="1"/>
      <c r="Y1438" s="1"/>
      <c r="Z1438" s="1"/>
    </row>
    <row r="1439" spans="1:26" ht="33.75" customHeight="1">
      <c r="A1439" s="1">
        <v>1326</v>
      </c>
      <c r="B1439" s="1" t="s">
        <v>4057</v>
      </c>
      <c r="C1439" s="1" t="s">
        <v>3255</v>
      </c>
      <c r="D1439" s="4">
        <v>39890.956944444442</v>
      </c>
      <c r="E1439" s="1" t="s">
        <v>4058</v>
      </c>
      <c r="F1439" s="1"/>
      <c r="G1439" s="5" t="s">
        <v>33</v>
      </c>
      <c r="H1439" s="5" t="s">
        <v>34</v>
      </c>
      <c r="I1439" s="1" t="s">
        <v>35</v>
      </c>
      <c r="J1439" s="1"/>
      <c r="K1439" s="1" t="s">
        <v>4059</v>
      </c>
      <c r="L1439" s="2" t="s">
        <v>4060</v>
      </c>
      <c r="M1439" s="1"/>
      <c r="N1439" s="1"/>
      <c r="O1439" s="1"/>
      <c r="P1439" s="1"/>
      <c r="Q1439" s="1"/>
      <c r="R1439" s="1"/>
      <c r="S1439" s="1"/>
      <c r="T1439" s="1"/>
      <c r="U1439" s="1"/>
      <c r="V1439" s="1"/>
      <c r="W1439" s="1"/>
      <c r="X1439" s="1"/>
      <c r="Y1439" s="1"/>
      <c r="Z1439" s="1"/>
    </row>
    <row r="1440" spans="1:26" ht="33.75" customHeight="1">
      <c r="A1440" s="1">
        <v>1245</v>
      </c>
      <c r="B1440" s="1" t="s">
        <v>4061</v>
      </c>
      <c r="C1440" s="1" t="s">
        <v>3255</v>
      </c>
      <c r="D1440" s="4">
        <v>39891.400694444441</v>
      </c>
      <c r="E1440" s="1" t="s">
        <v>1073</v>
      </c>
      <c r="F1440" s="1"/>
      <c r="G1440" s="5" t="s">
        <v>33</v>
      </c>
      <c r="H1440" s="5" t="s">
        <v>34</v>
      </c>
      <c r="I1440" s="1" t="s">
        <v>35</v>
      </c>
      <c r="J1440" s="1"/>
      <c r="K1440" s="1" t="s">
        <v>4062</v>
      </c>
      <c r="L1440" s="2" t="s">
        <v>4063</v>
      </c>
      <c r="M1440" s="1"/>
      <c r="N1440" s="1"/>
      <c r="O1440" s="1"/>
      <c r="P1440" s="1"/>
      <c r="Q1440" s="1"/>
      <c r="R1440" s="1"/>
      <c r="S1440" s="1"/>
      <c r="T1440" s="1"/>
      <c r="U1440" s="1"/>
      <c r="V1440" s="1"/>
      <c r="W1440" s="1"/>
      <c r="X1440" s="1"/>
      <c r="Y1440" s="1"/>
      <c r="Z1440" s="1"/>
    </row>
    <row r="1441" spans="1:26" ht="33.75" customHeight="1">
      <c r="A1441" s="1">
        <v>1328</v>
      </c>
      <c r="B1441" s="1" t="s">
        <v>4064</v>
      </c>
      <c r="C1441" s="1" t="s">
        <v>3255</v>
      </c>
      <c r="D1441" s="4">
        <v>39891.409722222219</v>
      </c>
      <c r="E1441" s="1" t="s">
        <v>1073</v>
      </c>
      <c r="F1441" s="1"/>
      <c r="G1441" s="5" t="s">
        <v>15</v>
      </c>
      <c r="H1441" s="5" t="s">
        <v>22</v>
      </c>
      <c r="I1441" s="1" t="s">
        <v>23</v>
      </c>
      <c r="J1441" s="1"/>
      <c r="K1441" s="1"/>
      <c r="L1441" s="2" t="s">
        <v>4065</v>
      </c>
      <c r="M1441" s="1"/>
      <c r="N1441" s="1"/>
      <c r="O1441" s="1"/>
      <c r="P1441" s="1"/>
      <c r="Q1441" s="1"/>
      <c r="R1441" s="1"/>
      <c r="S1441" s="1"/>
      <c r="T1441" s="1"/>
      <c r="U1441" s="1"/>
      <c r="V1441" s="1"/>
      <c r="W1441" s="1"/>
      <c r="X1441" s="1"/>
      <c r="Y1441" s="1"/>
      <c r="Z1441" s="1"/>
    </row>
    <row r="1442" spans="1:26" ht="33.75" customHeight="1">
      <c r="A1442" s="1">
        <v>1333</v>
      </c>
      <c r="B1442" s="1" t="s">
        <v>4066</v>
      </c>
      <c r="C1442" s="1" t="s">
        <v>3255</v>
      </c>
      <c r="D1442" s="4">
        <v>39891.418055555558</v>
      </c>
      <c r="E1442" s="1" t="s">
        <v>1073</v>
      </c>
      <c r="F1442" s="1" t="s">
        <v>4064</v>
      </c>
      <c r="G1442" s="5" t="s">
        <v>15</v>
      </c>
      <c r="H1442" s="5" t="s">
        <v>22</v>
      </c>
      <c r="I1442" s="1" t="s">
        <v>23</v>
      </c>
      <c r="J1442" s="1"/>
      <c r="K1442" s="1"/>
      <c r="L1442" s="2" t="s">
        <v>4067</v>
      </c>
      <c r="M1442" s="1"/>
      <c r="N1442" s="1"/>
      <c r="O1442" s="1"/>
      <c r="P1442" s="1"/>
      <c r="Q1442" s="1"/>
      <c r="R1442" s="1"/>
      <c r="S1442" s="1"/>
      <c r="T1442" s="1"/>
      <c r="U1442" s="1"/>
      <c r="V1442" s="1"/>
      <c r="W1442" s="1"/>
      <c r="X1442" s="1"/>
      <c r="Y1442" s="1"/>
      <c r="Z1442" s="1"/>
    </row>
    <row r="1443" spans="1:26" ht="33.75" customHeight="1">
      <c r="A1443" s="1">
        <v>1329</v>
      </c>
      <c r="B1443" s="1" t="s">
        <v>4068</v>
      </c>
      <c r="C1443" s="1" t="s">
        <v>3255</v>
      </c>
      <c r="D1443" s="4">
        <v>39891.443055555559</v>
      </c>
      <c r="E1443" s="1" t="s">
        <v>14</v>
      </c>
      <c r="F1443" s="1" t="s">
        <v>4064</v>
      </c>
      <c r="G1443" s="5" t="s">
        <v>15</v>
      </c>
      <c r="H1443" s="5" t="s">
        <v>22</v>
      </c>
      <c r="I1443" s="1" t="s">
        <v>23</v>
      </c>
      <c r="J1443" s="1"/>
      <c r="K1443" s="1"/>
      <c r="L1443" s="2" t="s">
        <v>4069</v>
      </c>
      <c r="M1443" s="1"/>
      <c r="N1443" s="1"/>
      <c r="O1443" s="1"/>
      <c r="P1443" s="1"/>
      <c r="Q1443" s="1"/>
      <c r="R1443" s="1"/>
      <c r="S1443" s="1"/>
      <c r="T1443" s="1"/>
      <c r="U1443" s="1"/>
      <c r="V1443" s="1"/>
      <c r="W1443" s="1"/>
      <c r="X1443" s="1"/>
      <c r="Y1443" s="1"/>
      <c r="Z1443" s="1"/>
    </row>
    <row r="1444" spans="1:26" ht="33.75" customHeight="1">
      <c r="A1444" s="1">
        <v>1334</v>
      </c>
      <c r="B1444" s="1" t="s">
        <v>4070</v>
      </c>
      <c r="C1444" s="1" t="s">
        <v>3255</v>
      </c>
      <c r="D1444" s="4">
        <v>39891.570138888892</v>
      </c>
      <c r="E1444" s="1" t="s">
        <v>526</v>
      </c>
      <c r="F1444" s="1" t="s">
        <v>4064</v>
      </c>
      <c r="G1444" s="5" t="s">
        <v>15</v>
      </c>
      <c r="H1444" s="5" t="s">
        <v>22</v>
      </c>
      <c r="I1444" s="1" t="s">
        <v>23</v>
      </c>
      <c r="J1444" s="1"/>
      <c r="K1444" s="1"/>
      <c r="L1444" s="2" t="s">
        <v>4071</v>
      </c>
      <c r="M1444" s="1"/>
      <c r="N1444" s="1"/>
      <c r="O1444" s="1"/>
      <c r="P1444" s="1"/>
      <c r="Q1444" s="1"/>
      <c r="R1444" s="1"/>
      <c r="S1444" s="1"/>
      <c r="T1444" s="1"/>
      <c r="U1444" s="1"/>
      <c r="V1444" s="1"/>
      <c r="W1444" s="1"/>
      <c r="X1444" s="1"/>
      <c r="Y1444" s="1"/>
      <c r="Z1444" s="1"/>
    </row>
    <row r="1445" spans="1:26" ht="33.75" customHeight="1">
      <c r="A1445" s="1">
        <v>2044</v>
      </c>
      <c r="B1445" s="1" t="s">
        <v>4072</v>
      </c>
      <c r="C1445" s="1" t="s">
        <v>3800</v>
      </c>
      <c r="D1445" s="4">
        <v>39891.642361111109</v>
      </c>
      <c r="E1445" s="1" t="s">
        <v>84</v>
      </c>
      <c r="F1445" s="1"/>
      <c r="G1445" s="5" t="s">
        <v>64</v>
      </c>
      <c r="H1445" s="1"/>
      <c r="I1445" s="1" t="s">
        <v>64</v>
      </c>
      <c r="J1445" s="1"/>
      <c r="K1445" s="1"/>
      <c r="L1445" s="2" t="s">
        <v>4073</v>
      </c>
      <c r="M1445" s="1"/>
      <c r="N1445" s="1"/>
      <c r="O1445" s="1"/>
      <c r="P1445" s="1"/>
      <c r="Q1445" s="1"/>
      <c r="R1445" s="1"/>
      <c r="S1445" s="1"/>
      <c r="T1445" s="1"/>
      <c r="U1445" s="1"/>
      <c r="V1445" s="1"/>
      <c r="W1445" s="1"/>
      <c r="X1445" s="1"/>
      <c r="Y1445" s="1"/>
      <c r="Z1445" s="1"/>
    </row>
    <row r="1446" spans="1:26" ht="33.75" customHeight="1">
      <c r="A1446" s="1">
        <v>2045</v>
      </c>
      <c r="B1446" s="1" t="s">
        <v>4074</v>
      </c>
      <c r="C1446" s="1" t="s">
        <v>3800</v>
      </c>
      <c r="D1446" s="4">
        <v>39891.645833333336</v>
      </c>
      <c r="E1446" s="1" t="s">
        <v>84</v>
      </c>
      <c r="F1446" s="1"/>
      <c r="G1446" s="5" t="s">
        <v>64</v>
      </c>
      <c r="H1446" s="5" t="s">
        <v>684</v>
      </c>
      <c r="I1446" s="1" t="s">
        <v>3589</v>
      </c>
      <c r="J1446" s="1"/>
      <c r="K1446" s="1"/>
      <c r="L1446" s="2" t="s">
        <v>4075</v>
      </c>
      <c r="M1446" s="1"/>
      <c r="N1446" s="1"/>
      <c r="O1446" s="1"/>
      <c r="P1446" s="1"/>
      <c r="Q1446" s="1"/>
      <c r="R1446" s="1"/>
      <c r="S1446" s="1"/>
      <c r="T1446" s="1"/>
      <c r="U1446" s="1"/>
      <c r="V1446" s="1"/>
      <c r="W1446" s="1"/>
      <c r="X1446" s="1"/>
      <c r="Y1446" s="1"/>
      <c r="Z1446" s="1"/>
    </row>
    <row r="1447" spans="1:26" ht="33.75" customHeight="1">
      <c r="A1447" s="1">
        <v>1387</v>
      </c>
      <c r="B1447" s="1" t="s">
        <v>4076</v>
      </c>
      <c r="C1447" s="1" t="s">
        <v>3929</v>
      </c>
      <c r="D1447" s="4">
        <v>39891.720833333333</v>
      </c>
      <c r="E1447" s="1" t="s">
        <v>1528</v>
      </c>
      <c r="F1447" s="1"/>
      <c r="G1447" s="5" t="s">
        <v>26</v>
      </c>
      <c r="H1447" s="5" t="s">
        <v>133</v>
      </c>
      <c r="I1447" s="1" t="s">
        <v>28</v>
      </c>
      <c r="J1447" s="1" t="s">
        <v>134</v>
      </c>
      <c r="K1447" s="1" t="s">
        <v>26</v>
      </c>
      <c r="L1447" s="2" t="s">
        <v>4077</v>
      </c>
      <c r="M1447" s="1"/>
      <c r="N1447" s="1"/>
      <c r="O1447" s="1"/>
      <c r="P1447" s="1"/>
      <c r="Q1447" s="1"/>
      <c r="R1447" s="1"/>
      <c r="S1447" s="1"/>
      <c r="T1447" s="1"/>
      <c r="U1447" s="1"/>
      <c r="V1447" s="1"/>
      <c r="W1447" s="1"/>
      <c r="X1447" s="1"/>
      <c r="Y1447" s="1"/>
      <c r="Z1447" s="1"/>
    </row>
    <row r="1448" spans="1:26" ht="33.75" customHeight="1">
      <c r="A1448" s="1">
        <v>1330</v>
      </c>
      <c r="B1448" s="1" t="s">
        <v>4078</v>
      </c>
      <c r="C1448" s="1" t="s">
        <v>3255</v>
      </c>
      <c r="D1448" s="4">
        <v>39891.753472222219</v>
      </c>
      <c r="E1448" s="1" t="s">
        <v>110</v>
      </c>
      <c r="F1448" s="1"/>
      <c r="G1448" s="5" t="s">
        <v>15</v>
      </c>
      <c r="H1448" s="5" t="s">
        <v>22</v>
      </c>
      <c r="I1448" s="1" t="s">
        <v>23</v>
      </c>
      <c r="J1448" s="1"/>
      <c r="K1448" s="1"/>
      <c r="L1448" s="2" t="s">
        <v>4079</v>
      </c>
      <c r="M1448" s="1"/>
      <c r="N1448" s="1"/>
      <c r="O1448" s="1"/>
      <c r="P1448" s="1"/>
      <c r="Q1448" s="1"/>
      <c r="R1448" s="1"/>
      <c r="S1448" s="1"/>
      <c r="T1448" s="1"/>
      <c r="U1448" s="1"/>
      <c r="V1448" s="1"/>
      <c r="W1448" s="1"/>
      <c r="X1448" s="1"/>
      <c r="Y1448" s="1"/>
      <c r="Z1448" s="1"/>
    </row>
    <row r="1449" spans="1:26" ht="33.75" customHeight="1">
      <c r="A1449" s="1">
        <v>1388</v>
      </c>
      <c r="B1449" s="1" t="s">
        <v>4080</v>
      </c>
      <c r="C1449" s="1" t="s">
        <v>3929</v>
      </c>
      <c r="D1449" s="4">
        <v>39891.975694444445</v>
      </c>
      <c r="E1449" s="1" t="s">
        <v>320</v>
      </c>
      <c r="F1449" s="1"/>
      <c r="G1449" s="5" t="s">
        <v>33</v>
      </c>
      <c r="H1449" s="5" t="s">
        <v>34</v>
      </c>
      <c r="I1449" s="1" t="s">
        <v>1605</v>
      </c>
      <c r="J1449" s="1"/>
      <c r="K1449" s="1"/>
      <c r="L1449" s="2" t="s">
        <v>4081</v>
      </c>
      <c r="M1449" s="1"/>
      <c r="N1449" s="1"/>
      <c r="O1449" s="1"/>
      <c r="P1449" s="1"/>
      <c r="Q1449" s="1"/>
      <c r="R1449" s="1"/>
      <c r="S1449" s="1"/>
      <c r="T1449" s="1"/>
      <c r="U1449" s="1"/>
      <c r="V1449" s="1"/>
      <c r="W1449" s="1"/>
      <c r="X1449" s="1"/>
      <c r="Y1449" s="1"/>
      <c r="Z1449" s="1"/>
    </row>
    <row r="1450" spans="1:26" ht="33.75" customHeight="1">
      <c r="A1450" s="1">
        <v>1389</v>
      </c>
      <c r="B1450" s="1" t="s">
        <v>4082</v>
      </c>
      <c r="C1450" s="1" t="s">
        <v>3929</v>
      </c>
      <c r="D1450" s="4">
        <v>39891.976388888892</v>
      </c>
      <c r="E1450" s="1" t="s">
        <v>320</v>
      </c>
      <c r="F1450" s="1" t="s">
        <v>4080</v>
      </c>
      <c r="G1450" s="5" t="s">
        <v>15</v>
      </c>
      <c r="H1450" s="5" t="s">
        <v>150</v>
      </c>
      <c r="I1450" s="1" t="s">
        <v>2382</v>
      </c>
      <c r="J1450" s="1"/>
      <c r="K1450" s="1" t="s">
        <v>4083</v>
      </c>
      <c r="L1450" s="10" t="s">
        <v>4084</v>
      </c>
      <c r="M1450" s="1"/>
      <c r="N1450" s="1"/>
      <c r="O1450" s="1"/>
      <c r="P1450" s="1"/>
      <c r="Q1450" s="1"/>
      <c r="R1450" s="1"/>
      <c r="S1450" s="1"/>
      <c r="T1450" s="1"/>
      <c r="U1450" s="1"/>
      <c r="V1450" s="1"/>
      <c r="W1450" s="1"/>
      <c r="X1450" s="1"/>
      <c r="Y1450" s="1"/>
      <c r="Z1450" s="1"/>
    </row>
    <row r="1451" spans="1:26" ht="33.75" customHeight="1">
      <c r="A1451" s="1">
        <v>1331</v>
      </c>
      <c r="B1451" s="1" t="s">
        <v>4085</v>
      </c>
      <c r="C1451" s="1" t="s">
        <v>3255</v>
      </c>
      <c r="D1451" s="4">
        <v>39892.094444444447</v>
      </c>
      <c r="E1451" s="1" t="s">
        <v>84</v>
      </c>
      <c r="F1451" s="1"/>
      <c r="G1451" s="5" t="s">
        <v>15</v>
      </c>
      <c r="H1451" s="5" t="s">
        <v>22</v>
      </c>
      <c r="I1451" s="1" t="s">
        <v>23</v>
      </c>
      <c r="J1451" s="1"/>
      <c r="K1451" s="1" t="s">
        <v>4086</v>
      </c>
      <c r="L1451" s="2" t="s">
        <v>4087</v>
      </c>
      <c r="M1451" s="1"/>
      <c r="N1451" s="1"/>
      <c r="O1451" s="1"/>
      <c r="P1451" s="1"/>
      <c r="Q1451" s="1"/>
      <c r="R1451" s="1"/>
      <c r="S1451" s="1"/>
      <c r="T1451" s="1"/>
      <c r="U1451" s="1"/>
      <c r="V1451" s="1"/>
      <c r="W1451" s="1"/>
      <c r="X1451" s="1"/>
      <c r="Y1451" s="1"/>
      <c r="Z1451" s="1"/>
    </row>
    <row r="1452" spans="1:26" ht="33.75" customHeight="1">
      <c r="A1452" s="1">
        <v>1375</v>
      </c>
      <c r="B1452" s="1" t="s">
        <v>4088</v>
      </c>
      <c r="C1452" s="1" t="s">
        <v>3929</v>
      </c>
      <c r="D1452" s="4">
        <v>39892.124305555553</v>
      </c>
      <c r="E1452" s="1" t="s">
        <v>320</v>
      </c>
      <c r="F1452" s="1" t="s">
        <v>4049</v>
      </c>
      <c r="G1452" s="5" t="s">
        <v>26</v>
      </c>
      <c r="H1452" s="5" t="s">
        <v>27</v>
      </c>
      <c r="I1452" s="1" t="s">
        <v>28</v>
      </c>
      <c r="J1452" s="1" t="s">
        <v>259</v>
      </c>
      <c r="K1452" s="1"/>
      <c r="L1452" s="2" t="s">
        <v>4089</v>
      </c>
      <c r="M1452" s="1"/>
      <c r="N1452" s="1"/>
      <c r="O1452" s="1"/>
      <c r="P1452" s="1"/>
      <c r="Q1452" s="1"/>
      <c r="R1452" s="1"/>
      <c r="S1452" s="1"/>
      <c r="T1452" s="1"/>
      <c r="U1452" s="1"/>
      <c r="V1452" s="1"/>
      <c r="W1452" s="1"/>
      <c r="X1452" s="1"/>
      <c r="Y1452" s="1"/>
      <c r="Z1452" s="1"/>
    </row>
    <row r="1453" spans="1:26" ht="33.75" customHeight="1">
      <c r="A1453" s="1">
        <v>2046</v>
      </c>
      <c r="B1453" s="1" t="s">
        <v>4090</v>
      </c>
      <c r="C1453" s="1" t="s">
        <v>3800</v>
      </c>
      <c r="D1453" s="4">
        <v>39892.238888888889</v>
      </c>
      <c r="E1453" s="1" t="s">
        <v>1089</v>
      </c>
      <c r="F1453" s="1"/>
      <c r="G1453" s="5" t="s">
        <v>64</v>
      </c>
      <c r="H1453" s="1"/>
      <c r="I1453" s="1" t="s">
        <v>64</v>
      </c>
      <c r="J1453" s="1"/>
      <c r="K1453" s="1"/>
      <c r="L1453" s="2" t="s">
        <v>4091</v>
      </c>
      <c r="M1453" s="1"/>
      <c r="N1453" s="1"/>
      <c r="O1453" s="1"/>
      <c r="P1453" s="1"/>
      <c r="Q1453" s="1"/>
      <c r="R1453" s="1"/>
      <c r="S1453" s="1"/>
      <c r="T1453" s="1"/>
      <c r="U1453" s="1"/>
      <c r="V1453" s="1"/>
      <c r="W1453" s="1"/>
      <c r="X1453" s="1"/>
      <c r="Y1453" s="1"/>
      <c r="Z1453" s="1"/>
    </row>
    <row r="1454" spans="1:26" ht="33.75" customHeight="1">
      <c r="A1454" s="1">
        <v>2047</v>
      </c>
      <c r="B1454" s="1" t="s">
        <v>4092</v>
      </c>
      <c r="C1454" s="1" t="s">
        <v>3800</v>
      </c>
      <c r="D1454" s="4">
        <v>39892.354166666664</v>
      </c>
      <c r="E1454" s="1" t="s">
        <v>84</v>
      </c>
      <c r="F1454" s="1"/>
      <c r="G1454" s="5" t="s">
        <v>64</v>
      </c>
      <c r="H1454" s="1"/>
      <c r="I1454" s="1" t="s">
        <v>64</v>
      </c>
      <c r="J1454" s="1"/>
      <c r="K1454" s="1"/>
      <c r="L1454" s="2" t="s">
        <v>4093</v>
      </c>
      <c r="M1454" s="1"/>
      <c r="N1454" s="1"/>
      <c r="O1454" s="1"/>
      <c r="P1454" s="1"/>
      <c r="Q1454" s="1"/>
      <c r="R1454" s="1"/>
      <c r="S1454" s="1"/>
      <c r="T1454" s="1"/>
      <c r="U1454" s="1"/>
      <c r="V1454" s="1"/>
      <c r="W1454" s="1"/>
      <c r="X1454" s="1"/>
      <c r="Y1454" s="1"/>
      <c r="Z1454" s="1"/>
    </row>
    <row r="1455" spans="1:26" ht="33.75" customHeight="1">
      <c r="A1455" s="1">
        <v>1376</v>
      </c>
      <c r="B1455" s="1" t="s">
        <v>4094</v>
      </c>
      <c r="C1455" s="1" t="s">
        <v>3929</v>
      </c>
      <c r="D1455" s="4">
        <v>39892.377083333333</v>
      </c>
      <c r="E1455" s="1" t="s">
        <v>14</v>
      </c>
      <c r="F1455" s="1" t="s">
        <v>4095</v>
      </c>
      <c r="G1455" s="5" t="s">
        <v>64</v>
      </c>
      <c r="H1455" s="5" t="s">
        <v>179</v>
      </c>
      <c r="I1455" s="1" t="s">
        <v>179</v>
      </c>
      <c r="J1455" s="1"/>
      <c r="K1455" s="1"/>
      <c r="L1455" s="2" t="s">
        <v>4096</v>
      </c>
      <c r="M1455" s="1"/>
      <c r="N1455" s="1"/>
      <c r="O1455" s="1"/>
      <c r="P1455" s="1"/>
      <c r="Q1455" s="1"/>
      <c r="R1455" s="1"/>
      <c r="S1455" s="1"/>
      <c r="T1455" s="1"/>
      <c r="U1455" s="1"/>
      <c r="V1455" s="1"/>
      <c r="W1455" s="1"/>
      <c r="X1455" s="1"/>
      <c r="Y1455" s="1"/>
      <c r="Z1455" s="1"/>
    </row>
    <row r="1456" spans="1:26" ht="33.75" customHeight="1">
      <c r="A1456" s="1">
        <v>1390</v>
      </c>
      <c r="B1456" s="1" t="s">
        <v>4097</v>
      </c>
      <c r="C1456" s="1" t="s">
        <v>3929</v>
      </c>
      <c r="D1456" s="4">
        <v>39892.722222222219</v>
      </c>
      <c r="E1456" s="1" t="s">
        <v>14</v>
      </c>
      <c r="F1456" s="1" t="s">
        <v>4080</v>
      </c>
      <c r="G1456" s="5" t="s">
        <v>64</v>
      </c>
      <c r="H1456" s="5" t="s">
        <v>1053</v>
      </c>
      <c r="I1456" s="1" t="s">
        <v>2382</v>
      </c>
      <c r="J1456" s="1"/>
      <c r="K1456" s="1"/>
      <c r="L1456" s="2" t="s">
        <v>4098</v>
      </c>
      <c r="M1456" s="1"/>
      <c r="N1456" s="1"/>
      <c r="O1456" s="1"/>
      <c r="P1456" s="1"/>
      <c r="Q1456" s="1"/>
      <c r="R1456" s="1"/>
      <c r="S1456" s="1"/>
      <c r="T1456" s="1"/>
      <c r="U1456" s="1"/>
      <c r="V1456" s="1"/>
      <c r="W1456" s="1"/>
      <c r="X1456" s="1"/>
      <c r="Y1456" s="1"/>
      <c r="Z1456" s="1"/>
    </row>
    <row r="1457" spans="1:26" ht="33.75" customHeight="1">
      <c r="A1457" s="1">
        <v>1336</v>
      </c>
      <c r="B1457" s="1" t="s">
        <v>4099</v>
      </c>
      <c r="C1457" s="1" t="s">
        <v>3255</v>
      </c>
      <c r="D1457" s="4">
        <v>39892.76666666667</v>
      </c>
      <c r="E1457" s="1" t="s">
        <v>255</v>
      </c>
      <c r="F1457" s="1"/>
      <c r="G1457" s="5" t="s">
        <v>15</v>
      </c>
      <c r="H1457" s="5" t="s">
        <v>50</v>
      </c>
      <c r="I1457" s="1" t="s">
        <v>166</v>
      </c>
      <c r="J1457" s="1"/>
      <c r="K1457" s="1" t="s">
        <v>4100</v>
      </c>
      <c r="L1457" s="2" t="s">
        <v>4101</v>
      </c>
      <c r="M1457" s="1"/>
      <c r="N1457" s="1"/>
      <c r="O1457" s="1"/>
      <c r="P1457" s="1"/>
      <c r="Q1457" s="1"/>
      <c r="R1457" s="1"/>
      <c r="S1457" s="1"/>
      <c r="T1457" s="1"/>
      <c r="U1457" s="1"/>
      <c r="V1457" s="1"/>
      <c r="W1457" s="1"/>
      <c r="X1457" s="1"/>
      <c r="Y1457" s="1"/>
      <c r="Z1457" s="1"/>
    </row>
    <row r="1458" spans="1:26" ht="33.75" customHeight="1">
      <c r="A1458" s="1">
        <v>1391</v>
      </c>
      <c r="B1458" s="1" t="s">
        <v>4102</v>
      </c>
      <c r="C1458" s="1" t="s">
        <v>3929</v>
      </c>
      <c r="D1458" s="4">
        <v>39892.960416666669</v>
      </c>
      <c r="E1458" s="1" t="s">
        <v>320</v>
      </c>
      <c r="F1458" s="1" t="s">
        <v>4080</v>
      </c>
      <c r="G1458" s="5" t="s">
        <v>64</v>
      </c>
      <c r="H1458" s="5" t="s">
        <v>3663</v>
      </c>
      <c r="I1458" s="1" t="s">
        <v>2382</v>
      </c>
      <c r="J1458" s="1"/>
      <c r="K1458" s="1"/>
      <c r="L1458" s="2" t="s">
        <v>4103</v>
      </c>
      <c r="M1458" s="1"/>
      <c r="N1458" s="1"/>
      <c r="O1458" s="1"/>
      <c r="P1458" s="1"/>
      <c r="Q1458" s="1"/>
      <c r="R1458" s="1"/>
      <c r="S1458" s="1"/>
      <c r="T1458" s="1"/>
      <c r="U1458" s="1"/>
      <c r="V1458" s="1"/>
      <c r="W1458" s="1"/>
      <c r="X1458" s="1"/>
      <c r="Y1458" s="1"/>
      <c r="Z1458" s="1"/>
    </row>
    <row r="1459" spans="1:26" ht="33.75" customHeight="1">
      <c r="A1459" s="1">
        <v>1392</v>
      </c>
      <c r="B1459" s="1" t="s">
        <v>4104</v>
      </c>
      <c r="C1459" s="1" t="s">
        <v>3929</v>
      </c>
      <c r="D1459" s="4">
        <v>39892.961805555555</v>
      </c>
      <c r="E1459" s="1" t="s">
        <v>320</v>
      </c>
      <c r="F1459" s="1"/>
      <c r="G1459" s="5" t="s">
        <v>33</v>
      </c>
      <c r="H1459" s="5" t="s">
        <v>34</v>
      </c>
      <c r="I1459" s="1" t="s">
        <v>1605</v>
      </c>
      <c r="J1459" s="1"/>
      <c r="K1459" s="1"/>
      <c r="L1459" s="2" t="s">
        <v>4105</v>
      </c>
      <c r="M1459" s="1"/>
      <c r="N1459" s="1"/>
      <c r="O1459" s="1"/>
      <c r="P1459" s="1"/>
      <c r="Q1459" s="1"/>
      <c r="R1459" s="1"/>
      <c r="S1459" s="1"/>
      <c r="T1459" s="1"/>
      <c r="U1459" s="1"/>
      <c r="V1459" s="1"/>
      <c r="W1459" s="1"/>
      <c r="X1459" s="1"/>
      <c r="Y1459" s="1"/>
      <c r="Z1459" s="1"/>
    </row>
    <row r="1460" spans="1:26" ht="33.75" customHeight="1">
      <c r="A1460" s="1">
        <v>2048</v>
      </c>
      <c r="B1460" s="1" t="s">
        <v>4106</v>
      </c>
      <c r="C1460" s="1" t="s">
        <v>3800</v>
      </c>
      <c r="D1460" s="4">
        <v>39893.348611111112</v>
      </c>
      <c r="E1460" s="1" t="s">
        <v>1089</v>
      </c>
      <c r="F1460" s="1"/>
      <c r="G1460" s="5" t="s">
        <v>64</v>
      </c>
      <c r="H1460" s="1"/>
      <c r="I1460" s="1" t="s">
        <v>64</v>
      </c>
      <c r="J1460" s="1"/>
      <c r="K1460" s="1"/>
      <c r="L1460" s="2" t="s">
        <v>4107</v>
      </c>
      <c r="M1460" s="1"/>
      <c r="N1460" s="1"/>
      <c r="O1460" s="1"/>
      <c r="P1460" s="1"/>
      <c r="Q1460" s="1"/>
      <c r="R1460" s="1"/>
      <c r="S1460" s="1"/>
      <c r="T1460" s="1"/>
      <c r="U1460" s="1"/>
      <c r="V1460" s="1"/>
      <c r="W1460" s="1"/>
      <c r="X1460" s="1"/>
      <c r="Y1460" s="1"/>
      <c r="Z1460" s="1"/>
    </row>
    <row r="1461" spans="1:26" ht="33.75" customHeight="1">
      <c r="A1461" s="1">
        <v>2049</v>
      </c>
      <c r="B1461" s="1" t="s">
        <v>4108</v>
      </c>
      <c r="C1461" s="1" t="s">
        <v>3800</v>
      </c>
      <c r="D1461" s="4">
        <v>39893.488194444442</v>
      </c>
      <c r="E1461" s="1" t="s">
        <v>772</v>
      </c>
      <c r="F1461" s="1"/>
      <c r="G1461" s="5" t="s">
        <v>64</v>
      </c>
      <c r="H1461" s="1"/>
      <c r="I1461" s="1" t="s">
        <v>64</v>
      </c>
      <c r="J1461" s="1"/>
      <c r="K1461" s="1"/>
      <c r="L1461" s="2" t="s">
        <v>4109</v>
      </c>
      <c r="M1461" s="1"/>
      <c r="N1461" s="1"/>
      <c r="O1461" s="1"/>
      <c r="P1461" s="1"/>
      <c r="Q1461" s="1"/>
      <c r="R1461" s="1"/>
      <c r="S1461" s="1"/>
      <c r="T1461" s="1"/>
      <c r="U1461" s="1"/>
      <c r="V1461" s="1"/>
      <c r="W1461" s="1"/>
      <c r="X1461" s="1"/>
      <c r="Y1461" s="1"/>
      <c r="Z1461" s="1"/>
    </row>
    <row r="1462" spans="1:26" ht="33.75" customHeight="1">
      <c r="A1462" s="1">
        <v>2050</v>
      </c>
      <c r="B1462" s="1" t="s">
        <v>4110</v>
      </c>
      <c r="C1462" s="1" t="s">
        <v>3800</v>
      </c>
      <c r="D1462" s="4">
        <v>39893.491666666669</v>
      </c>
      <c r="E1462" s="1" t="s">
        <v>772</v>
      </c>
      <c r="F1462" s="1"/>
      <c r="G1462" s="5" t="s">
        <v>64</v>
      </c>
      <c r="H1462" s="1"/>
      <c r="I1462" s="1" t="s">
        <v>64</v>
      </c>
      <c r="J1462" s="1"/>
      <c r="K1462" s="1"/>
      <c r="L1462" s="2" t="s">
        <v>4111</v>
      </c>
      <c r="M1462" s="1"/>
      <c r="N1462" s="1"/>
      <c r="O1462" s="1"/>
      <c r="P1462" s="1"/>
      <c r="Q1462" s="1"/>
      <c r="R1462" s="1"/>
      <c r="S1462" s="1"/>
      <c r="T1462" s="1"/>
      <c r="U1462" s="1"/>
      <c r="V1462" s="1"/>
      <c r="W1462" s="1"/>
      <c r="X1462" s="1"/>
      <c r="Y1462" s="1"/>
      <c r="Z1462" s="1"/>
    </row>
    <row r="1463" spans="1:26" ht="33.75" customHeight="1">
      <c r="A1463" s="1">
        <v>2051</v>
      </c>
      <c r="B1463" s="1" t="s">
        <v>4112</v>
      </c>
      <c r="C1463" s="1" t="s">
        <v>3800</v>
      </c>
      <c r="D1463" s="4">
        <v>39893.493055555555</v>
      </c>
      <c r="E1463" s="1" t="s">
        <v>772</v>
      </c>
      <c r="F1463" s="1"/>
      <c r="G1463" s="5" t="s">
        <v>64</v>
      </c>
      <c r="H1463" s="1"/>
      <c r="I1463" s="1" t="s">
        <v>64</v>
      </c>
      <c r="J1463" s="1"/>
      <c r="K1463" s="1"/>
      <c r="L1463" s="2" t="s">
        <v>4113</v>
      </c>
      <c r="M1463" s="1"/>
      <c r="N1463" s="1"/>
      <c r="O1463" s="1"/>
      <c r="P1463" s="1"/>
      <c r="Q1463" s="1"/>
      <c r="R1463" s="1"/>
      <c r="S1463" s="1"/>
      <c r="T1463" s="1"/>
      <c r="U1463" s="1"/>
      <c r="V1463" s="1"/>
      <c r="W1463" s="1"/>
      <c r="X1463" s="1"/>
      <c r="Y1463" s="1"/>
      <c r="Z1463" s="1"/>
    </row>
    <row r="1464" spans="1:26" ht="33.75" customHeight="1">
      <c r="A1464" s="1">
        <v>1338</v>
      </c>
      <c r="B1464" s="1" t="s">
        <v>4114</v>
      </c>
      <c r="C1464" s="1" t="s">
        <v>3255</v>
      </c>
      <c r="D1464" s="4">
        <v>39894.241666666669</v>
      </c>
      <c r="E1464" s="1" t="s">
        <v>4115</v>
      </c>
      <c r="F1464" s="1"/>
      <c r="G1464" s="5" t="s">
        <v>15</v>
      </c>
      <c r="H1464" s="5" t="s">
        <v>50</v>
      </c>
      <c r="I1464" s="1" t="s">
        <v>4116</v>
      </c>
      <c r="J1464" s="1"/>
      <c r="K1464" s="1"/>
      <c r="L1464" s="2" t="s">
        <v>4117</v>
      </c>
      <c r="M1464" s="1"/>
      <c r="N1464" s="1"/>
      <c r="O1464" s="1"/>
      <c r="P1464" s="1"/>
      <c r="Q1464" s="1"/>
      <c r="R1464" s="1"/>
      <c r="S1464" s="1"/>
      <c r="T1464" s="1"/>
      <c r="U1464" s="1"/>
      <c r="V1464" s="1"/>
      <c r="W1464" s="1"/>
      <c r="X1464" s="1"/>
      <c r="Y1464" s="1"/>
      <c r="Z1464" s="1"/>
    </row>
    <row r="1465" spans="1:26" ht="33.75" customHeight="1">
      <c r="A1465" s="1">
        <v>1339</v>
      </c>
      <c r="B1465" s="1" t="s">
        <v>4118</v>
      </c>
      <c r="C1465" s="1" t="s">
        <v>3255</v>
      </c>
      <c r="D1465" s="4">
        <v>39894.291666666664</v>
      </c>
      <c r="E1465" s="1" t="s">
        <v>1073</v>
      </c>
      <c r="F1465" s="1" t="s">
        <v>4119</v>
      </c>
      <c r="G1465" s="5" t="s">
        <v>15</v>
      </c>
      <c r="H1465" s="5" t="s">
        <v>22</v>
      </c>
      <c r="I1465" s="1" t="s">
        <v>23</v>
      </c>
      <c r="J1465" s="1"/>
      <c r="K1465" s="1"/>
      <c r="L1465" s="2" t="s">
        <v>4120</v>
      </c>
      <c r="M1465" s="1"/>
      <c r="N1465" s="1"/>
      <c r="O1465" s="1"/>
      <c r="P1465" s="1"/>
      <c r="Q1465" s="1"/>
      <c r="R1465" s="1"/>
      <c r="S1465" s="1"/>
      <c r="T1465" s="1"/>
      <c r="U1465" s="1"/>
      <c r="V1465" s="1"/>
      <c r="W1465" s="1"/>
      <c r="X1465" s="1"/>
      <c r="Y1465" s="1"/>
      <c r="Z1465" s="1"/>
    </row>
    <row r="1466" spans="1:26" ht="33.75" customHeight="1">
      <c r="A1466" s="1">
        <v>1340</v>
      </c>
      <c r="B1466" s="1" t="s">
        <v>4121</v>
      </c>
      <c r="C1466" s="1" t="s">
        <v>3255</v>
      </c>
      <c r="D1466" s="4">
        <v>39894.29791666667</v>
      </c>
      <c r="E1466" s="1" t="s">
        <v>1073</v>
      </c>
      <c r="F1466" s="1"/>
      <c r="G1466" s="5" t="s">
        <v>15</v>
      </c>
      <c r="H1466" s="5" t="s">
        <v>22</v>
      </c>
      <c r="I1466" s="1" t="s">
        <v>23</v>
      </c>
      <c r="J1466" s="1"/>
      <c r="K1466" s="1"/>
      <c r="L1466" s="2" t="s">
        <v>4122</v>
      </c>
      <c r="M1466" s="1"/>
      <c r="N1466" s="1"/>
      <c r="O1466" s="1"/>
      <c r="P1466" s="1"/>
      <c r="Q1466" s="1"/>
      <c r="R1466" s="1"/>
      <c r="S1466" s="1"/>
      <c r="T1466" s="1"/>
      <c r="U1466" s="1"/>
      <c r="V1466" s="1"/>
      <c r="W1466" s="1"/>
      <c r="X1466" s="1"/>
      <c r="Y1466" s="1"/>
      <c r="Z1466" s="1"/>
    </row>
    <row r="1467" spans="1:26" ht="33.75" customHeight="1">
      <c r="A1467" s="1">
        <v>1341</v>
      </c>
      <c r="B1467" s="1" t="s">
        <v>4123</v>
      </c>
      <c r="C1467" s="1" t="s">
        <v>3255</v>
      </c>
      <c r="D1467" s="4">
        <v>39894.305555555555</v>
      </c>
      <c r="E1467" s="1" t="s">
        <v>1073</v>
      </c>
      <c r="F1467" s="1"/>
      <c r="G1467" s="5" t="s">
        <v>15</v>
      </c>
      <c r="H1467" s="5" t="s">
        <v>22</v>
      </c>
      <c r="I1467" s="1" t="s">
        <v>23</v>
      </c>
      <c r="J1467" s="1"/>
      <c r="K1467" s="1"/>
      <c r="L1467" s="2" t="s">
        <v>4124</v>
      </c>
      <c r="M1467" s="1"/>
      <c r="N1467" s="1"/>
      <c r="O1467" s="1"/>
      <c r="P1467" s="1"/>
      <c r="Q1467" s="1"/>
      <c r="R1467" s="1"/>
      <c r="S1467" s="1"/>
      <c r="T1467" s="1"/>
      <c r="U1467" s="1"/>
      <c r="V1467" s="1"/>
      <c r="W1467" s="1"/>
      <c r="X1467" s="1"/>
      <c r="Y1467" s="1"/>
      <c r="Z1467" s="1"/>
    </row>
    <row r="1468" spans="1:26" ht="33.75" customHeight="1">
      <c r="A1468" s="1">
        <v>1342</v>
      </c>
      <c r="B1468" s="1" t="s">
        <v>4125</v>
      </c>
      <c r="C1468" s="1" t="s">
        <v>3255</v>
      </c>
      <c r="D1468" s="4">
        <v>39894.306944444441</v>
      </c>
      <c r="E1468" s="1" t="s">
        <v>1073</v>
      </c>
      <c r="F1468" s="1"/>
      <c r="G1468" s="5" t="s">
        <v>15</v>
      </c>
      <c r="H1468" s="5" t="s">
        <v>22</v>
      </c>
      <c r="I1468" s="1" t="s">
        <v>23</v>
      </c>
      <c r="J1468" s="1"/>
      <c r="K1468" s="1" t="s">
        <v>4126</v>
      </c>
      <c r="L1468" s="2" t="s">
        <v>4127</v>
      </c>
      <c r="M1468" s="1"/>
      <c r="N1468" s="1"/>
      <c r="O1468" s="1"/>
      <c r="P1468" s="1"/>
      <c r="Q1468" s="1"/>
      <c r="R1468" s="1"/>
      <c r="S1468" s="1"/>
      <c r="T1468" s="1"/>
      <c r="U1468" s="1"/>
      <c r="V1468" s="1"/>
      <c r="W1468" s="1"/>
      <c r="X1468" s="1"/>
      <c r="Y1468" s="1"/>
      <c r="Z1468" s="1"/>
    </row>
    <row r="1469" spans="1:26" ht="33.75" customHeight="1">
      <c r="A1469" s="1">
        <v>1345</v>
      </c>
      <c r="B1469" s="1" t="s">
        <v>4128</v>
      </c>
      <c r="C1469" s="1" t="s">
        <v>3255</v>
      </c>
      <c r="D1469" s="4">
        <v>39894.736111111109</v>
      </c>
      <c r="E1469" s="1" t="s">
        <v>526</v>
      </c>
      <c r="F1469" s="1" t="s">
        <v>4129</v>
      </c>
      <c r="G1469" s="5" t="s">
        <v>15</v>
      </c>
      <c r="H1469" s="5" t="s">
        <v>22</v>
      </c>
      <c r="I1469" s="1" t="s">
        <v>23</v>
      </c>
      <c r="J1469" s="1"/>
      <c r="K1469" s="1"/>
      <c r="L1469" s="2" t="s">
        <v>4130</v>
      </c>
      <c r="M1469" s="1"/>
      <c r="N1469" s="1"/>
      <c r="O1469" s="1"/>
      <c r="P1469" s="1"/>
      <c r="Q1469" s="1"/>
      <c r="R1469" s="1"/>
      <c r="S1469" s="1"/>
      <c r="T1469" s="1"/>
      <c r="U1469" s="1"/>
      <c r="V1469" s="1"/>
      <c r="W1469" s="1"/>
      <c r="X1469" s="1"/>
      <c r="Y1469" s="1"/>
      <c r="Z1469" s="1"/>
    </row>
    <row r="1470" spans="1:26" ht="33.75" customHeight="1">
      <c r="A1470" s="1">
        <v>1343</v>
      </c>
      <c r="B1470" s="1" t="s">
        <v>4131</v>
      </c>
      <c r="C1470" s="1" t="s">
        <v>3255</v>
      </c>
      <c r="D1470" s="4">
        <v>39894.770833333336</v>
      </c>
      <c r="E1470" s="1" t="s">
        <v>84</v>
      </c>
      <c r="F1470" s="1" t="s">
        <v>4125</v>
      </c>
      <c r="G1470" s="5" t="s">
        <v>15</v>
      </c>
      <c r="H1470" s="5" t="s">
        <v>50</v>
      </c>
      <c r="I1470" s="1" t="s">
        <v>2382</v>
      </c>
      <c r="J1470" s="1"/>
      <c r="K1470" s="1"/>
      <c r="L1470" s="2" t="s">
        <v>4132</v>
      </c>
      <c r="M1470" s="1"/>
      <c r="N1470" s="1"/>
      <c r="O1470" s="1"/>
      <c r="P1470" s="1"/>
      <c r="Q1470" s="1"/>
      <c r="R1470" s="1"/>
      <c r="S1470" s="1"/>
      <c r="T1470" s="1"/>
      <c r="U1470" s="1"/>
      <c r="V1470" s="1"/>
      <c r="W1470" s="1"/>
      <c r="X1470" s="1"/>
      <c r="Y1470" s="1"/>
      <c r="Z1470" s="1"/>
    </row>
    <row r="1471" spans="1:26" ht="33.75" customHeight="1">
      <c r="A1471" s="1">
        <v>1344</v>
      </c>
      <c r="B1471" s="1" t="s">
        <v>4133</v>
      </c>
      <c r="C1471" s="1" t="s">
        <v>3255</v>
      </c>
      <c r="D1471" s="4">
        <v>39894.792361111111</v>
      </c>
      <c r="E1471" s="1" t="s">
        <v>1887</v>
      </c>
      <c r="F1471" s="1" t="s">
        <v>4125</v>
      </c>
      <c r="G1471" s="5" t="s">
        <v>15</v>
      </c>
      <c r="H1471" s="5" t="s">
        <v>50</v>
      </c>
      <c r="I1471" s="1" t="s">
        <v>2382</v>
      </c>
      <c r="J1471" s="1"/>
      <c r="K1471" s="1"/>
      <c r="L1471" s="2" t="s">
        <v>4134</v>
      </c>
      <c r="M1471" s="1"/>
      <c r="N1471" s="1"/>
      <c r="O1471" s="1"/>
      <c r="P1471" s="1"/>
      <c r="Q1471" s="1"/>
      <c r="R1471" s="1"/>
      <c r="S1471" s="1"/>
      <c r="T1471" s="1"/>
      <c r="U1471" s="1"/>
      <c r="V1471" s="1"/>
      <c r="W1471" s="1"/>
      <c r="X1471" s="1"/>
      <c r="Y1471" s="1"/>
      <c r="Z1471" s="1"/>
    </row>
    <row r="1472" spans="1:26" ht="33.75" customHeight="1">
      <c r="A1472" s="1">
        <v>2052</v>
      </c>
      <c r="B1472" s="1" t="s">
        <v>4135</v>
      </c>
      <c r="C1472" s="1" t="s">
        <v>3800</v>
      </c>
      <c r="D1472" s="4">
        <v>39895.227083333331</v>
      </c>
      <c r="E1472" s="1" t="s">
        <v>1887</v>
      </c>
      <c r="F1472" s="1"/>
      <c r="G1472" s="5" t="s">
        <v>64</v>
      </c>
      <c r="H1472" s="5" t="s">
        <v>375</v>
      </c>
      <c r="I1472" s="1" t="s">
        <v>900</v>
      </c>
      <c r="J1472" s="1"/>
      <c r="K1472" s="1"/>
      <c r="L1472" s="2" t="s">
        <v>4136</v>
      </c>
      <c r="M1472" s="1"/>
      <c r="N1472" s="1"/>
      <c r="O1472" s="1"/>
      <c r="P1472" s="1"/>
      <c r="Q1472" s="1"/>
      <c r="R1472" s="1"/>
      <c r="S1472" s="1"/>
      <c r="T1472" s="1"/>
      <c r="U1472" s="1"/>
      <c r="V1472" s="1"/>
      <c r="W1472" s="1"/>
      <c r="X1472" s="1"/>
      <c r="Y1472" s="1"/>
      <c r="Z1472" s="1"/>
    </row>
    <row r="1473" spans="1:26" ht="33.75" customHeight="1">
      <c r="A1473" s="1">
        <v>2053</v>
      </c>
      <c r="B1473" s="1" t="s">
        <v>4137</v>
      </c>
      <c r="C1473" s="1" t="s">
        <v>3800</v>
      </c>
      <c r="D1473" s="4">
        <v>39895.392361111109</v>
      </c>
      <c r="E1473" s="1" t="s">
        <v>772</v>
      </c>
      <c r="F1473" s="1"/>
      <c r="G1473" s="5" t="s">
        <v>33</v>
      </c>
      <c r="H1473" s="5" t="s">
        <v>34</v>
      </c>
      <c r="I1473" s="1" t="s">
        <v>1605</v>
      </c>
      <c r="J1473" s="1"/>
      <c r="K1473" s="1"/>
      <c r="L1473" s="2" t="s">
        <v>4138</v>
      </c>
      <c r="M1473" s="1"/>
      <c r="N1473" s="1"/>
      <c r="O1473" s="1"/>
      <c r="P1473" s="1"/>
      <c r="Q1473" s="1"/>
      <c r="R1473" s="1"/>
      <c r="S1473" s="1"/>
      <c r="T1473" s="1"/>
      <c r="U1473" s="1"/>
      <c r="V1473" s="1"/>
      <c r="W1473" s="1"/>
      <c r="X1473" s="1"/>
      <c r="Y1473" s="1"/>
      <c r="Z1473" s="1"/>
    </row>
    <row r="1474" spans="1:26" ht="33.75" customHeight="1">
      <c r="A1474" s="1">
        <v>2054</v>
      </c>
      <c r="B1474" s="1" t="s">
        <v>4139</v>
      </c>
      <c r="C1474" s="1" t="s">
        <v>3800</v>
      </c>
      <c r="D1474" s="4">
        <v>39895.796527777777</v>
      </c>
      <c r="E1474" s="1" t="s">
        <v>84</v>
      </c>
      <c r="F1474" s="1"/>
      <c r="G1474" s="5" t="s">
        <v>64</v>
      </c>
      <c r="H1474" s="1"/>
      <c r="I1474" s="1" t="s">
        <v>64</v>
      </c>
      <c r="J1474" s="1"/>
      <c r="K1474" s="1"/>
      <c r="L1474" s="2" t="s">
        <v>4140</v>
      </c>
      <c r="M1474" s="1"/>
      <c r="N1474" s="1"/>
      <c r="O1474" s="1"/>
      <c r="P1474" s="1"/>
      <c r="Q1474" s="1"/>
      <c r="R1474" s="1"/>
      <c r="S1474" s="1"/>
      <c r="T1474" s="1"/>
      <c r="U1474" s="1"/>
      <c r="V1474" s="1"/>
      <c r="W1474" s="1"/>
      <c r="X1474" s="1"/>
      <c r="Y1474" s="1"/>
      <c r="Z1474" s="1"/>
    </row>
    <row r="1475" spans="1:26" ht="33.75" customHeight="1">
      <c r="A1475" s="1">
        <v>2055</v>
      </c>
      <c r="B1475" s="1" t="s">
        <v>4141</v>
      </c>
      <c r="C1475" s="1" t="s">
        <v>3800</v>
      </c>
      <c r="D1475" s="4">
        <v>39895.963194444441</v>
      </c>
      <c r="E1475" s="1" t="s">
        <v>1089</v>
      </c>
      <c r="F1475" s="1"/>
      <c r="G1475" s="5" t="s">
        <v>64</v>
      </c>
      <c r="H1475" s="1"/>
      <c r="I1475" s="1" t="s">
        <v>64</v>
      </c>
      <c r="J1475" s="1"/>
      <c r="K1475" s="1"/>
      <c r="L1475" s="2" t="s">
        <v>4142</v>
      </c>
      <c r="M1475" s="1"/>
      <c r="N1475" s="1"/>
      <c r="O1475" s="1"/>
      <c r="P1475" s="1"/>
      <c r="Q1475" s="1"/>
      <c r="R1475" s="1"/>
      <c r="S1475" s="1"/>
      <c r="T1475" s="1"/>
      <c r="U1475" s="1"/>
      <c r="V1475" s="1"/>
      <c r="W1475" s="1"/>
      <c r="X1475" s="1"/>
      <c r="Y1475" s="1"/>
      <c r="Z1475" s="1"/>
    </row>
    <row r="1476" spans="1:26" ht="33.75" customHeight="1">
      <c r="A1476" s="1">
        <v>2056</v>
      </c>
      <c r="B1476" s="1" t="s">
        <v>4143</v>
      </c>
      <c r="C1476" s="1" t="s">
        <v>3800</v>
      </c>
      <c r="D1476" s="4">
        <v>39896.043749999997</v>
      </c>
      <c r="E1476" s="1" t="s">
        <v>1887</v>
      </c>
      <c r="F1476" s="1"/>
      <c r="G1476" s="5" t="s">
        <v>64</v>
      </c>
      <c r="H1476" s="1"/>
      <c r="I1476" s="1" t="s">
        <v>64</v>
      </c>
      <c r="J1476" s="1"/>
      <c r="K1476" s="1"/>
      <c r="L1476" s="2" t="s">
        <v>4144</v>
      </c>
      <c r="M1476" s="1"/>
      <c r="N1476" s="1"/>
      <c r="O1476" s="1"/>
      <c r="P1476" s="1"/>
      <c r="Q1476" s="1"/>
      <c r="R1476" s="1"/>
      <c r="S1476" s="1"/>
      <c r="T1476" s="1"/>
      <c r="U1476" s="1"/>
      <c r="V1476" s="1"/>
      <c r="W1476" s="1"/>
      <c r="X1476" s="1"/>
      <c r="Y1476" s="1"/>
      <c r="Z1476" s="1"/>
    </row>
    <row r="1477" spans="1:26" ht="33.75" customHeight="1">
      <c r="A1477" s="1">
        <v>2057</v>
      </c>
      <c r="B1477" s="1" t="s">
        <v>4145</v>
      </c>
      <c r="C1477" s="1" t="s">
        <v>3800</v>
      </c>
      <c r="D1477" s="4">
        <v>39896.226388888892</v>
      </c>
      <c r="E1477" s="1" t="s">
        <v>1089</v>
      </c>
      <c r="F1477" s="1"/>
      <c r="G1477" s="5" t="s">
        <v>64</v>
      </c>
      <c r="H1477" s="1"/>
      <c r="I1477" s="1" t="s">
        <v>64</v>
      </c>
      <c r="J1477" s="1"/>
      <c r="K1477" s="1"/>
      <c r="L1477" s="2" t="s">
        <v>4146</v>
      </c>
      <c r="M1477" s="1"/>
      <c r="N1477" s="1"/>
      <c r="O1477" s="1"/>
      <c r="P1477" s="1"/>
      <c r="Q1477" s="1"/>
      <c r="R1477" s="1"/>
      <c r="S1477" s="1"/>
      <c r="T1477" s="1"/>
      <c r="U1477" s="1"/>
      <c r="V1477" s="1"/>
      <c r="W1477" s="1"/>
      <c r="X1477" s="1"/>
      <c r="Y1477" s="1"/>
      <c r="Z1477" s="1"/>
    </row>
    <row r="1478" spans="1:26" ht="33.75" customHeight="1">
      <c r="A1478" s="1">
        <v>2058</v>
      </c>
      <c r="B1478" s="1" t="s">
        <v>4147</v>
      </c>
      <c r="C1478" s="1" t="s">
        <v>3800</v>
      </c>
      <c r="D1478" s="4">
        <v>39896.356944444444</v>
      </c>
      <c r="E1478" s="1" t="s">
        <v>772</v>
      </c>
      <c r="F1478" s="1"/>
      <c r="G1478" s="5" t="s">
        <v>64</v>
      </c>
      <c r="H1478" s="1"/>
      <c r="I1478" s="1" t="s">
        <v>64</v>
      </c>
      <c r="J1478" s="1"/>
      <c r="K1478" s="1"/>
      <c r="L1478" s="2" t="s">
        <v>4148</v>
      </c>
      <c r="M1478" s="1"/>
      <c r="N1478" s="1"/>
      <c r="O1478" s="1"/>
      <c r="P1478" s="1"/>
      <c r="Q1478" s="1"/>
      <c r="R1478" s="1"/>
      <c r="S1478" s="1"/>
      <c r="T1478" s="1"/>
      <c r="U1478" s="1"/>
      <c r="V1478" s="1"/>
      <c r="W1478" s="1"/>
      <c r="X1478" s="1"/>
      <c r="Y1478" s="1"/>
      <c r="Z1478" s="1"/>
    </row>
    <row r="1479" spans="1:26" ht="33.75" customHeight="1">
      <c r="A1479" s="1">
        <v>2059</v>
      </c>
      <c r="B1479" s="1" t="s">
        <v>4149</v>
      </c>
      <c r="C1479" s="1" t="s">
        <v>3800</v>
      </c>
      <c r="D1479" s="4">
        <v>39896.368750000001</v>
      </c>
      <c r="E1479" s="1" t="s">
        <v>772</v>
      </c>
      <c r="F1479" s="1"/>
      <c r="G1479" s="5" t="s">
        <v>15</v>
      </c>
      <c r="H1479" s="5" t="s">
        <v>402</v>
      </c>
      <c r="I1479" s="1" t="s">
        <v>576</v>
      </c>
      <c r="J1479" s="1"/>
      <c r="K1479" s="1"/>
      <c r="L1479" s="2" t="s">
        <v>4150</v>
      </c>
      <c r="M1479" s="1"/>
      <c r="N1479" s="1"/>
      <c r="O1479" s="1"/>
      <c r="P1479" s="1"/>
      <c r="Q1479" s="1"/>
      <c r="R1479" s="1"/>
      <c r="S1479" s="1"/>
      <c r="T1479" s="1"/>
      <c r="U1479" s="1"/>
      <c r="V1479" s="1"/>
      <c r="W1479" s="1"/>
      <c r="X1479" s="1"/>
      <c r="Y1479" s="1"/>
      <c r="Z1479" s="1"/>
    </row>
    <row r="1480" spans="1:26" ht="33.75" customHeight="1">
      <c r="A1480" s="1">
        <v>15</v>
      </c>
      <c r="B1480" s="1" t="s">
        <v>12</v>
      </c>
      <c r="C1480" s="1" t="s">
        <v>4151</v>
      </c>
      <c r="D1480" s="4">
        <v>39896.373032407406</v>
      </c>
      <c r="E1480" s="1" t="s">
        <v>14</v>
      </c>
      <c r="F1480" s="1"/>
      <c r="G1480" s="5" t="s">
        <v>15</v>
      </c>
      <c r="H1480" s="5" t="s">
        <v>50</v>
      </c>
      <c r="I1480" s="1" t="s">
        <v>166</v>
      </c>
      <c r="J1480" s="1"/>
      <c r="K1480" s="1" t="s">
        <v>4152</v>
      </c>
      <c r="L1480" s="2" t="s">
        <v>4153</v>
      </c>
      <c r="M1480" s="1"/>
      <c r="N1480" s="1"/>
      <c r="O1480" s="1"/>
      <c r="P1480" s="1"/>
      <c r="Q1480" s="1"/>
      <c r="R1480" s="1"/>
      <c r="S1480" s="1"/>
      <c r="T1480" s="1"/>
      <c r="U1480" s="1"/>
      <c r="V1480" s="1"/>
      <c r="W1480" s="1"/>
      <c r="X1480" s="1"/>
      <c r="Y1480" s="1"/>
      <c r="Z1480" s="1"/>
    </row>
    <row r="1481" spans="1:26" ht="33.75" customHeight="1">
      <c r="A1481" s="1">
        <v>2060</v>
      </c>
      <c r="B1481" s="1" t="s">
        <v>4154</v>
      </c>
      <c r="C1481" s="1" t="s">
        <v>3800</v>
      </c>
      <c r="D1481" s="4">
        <v>39896.383333333331</v>
      </c>
      <c r="E1481" s="1" t="s">
        <v>772</v>
      </c>
      <c r="F1481" s="1"/>
      <c r="G1481" s="5" t="s">
        <v>64</v>
      </c>
      <c r="H1481" s="1"/>
      <c r="I1481" s="1" t="s">
        <v>64</v>
      </c>
      <c r="J1481" s="1"/>
      <c r="K1481" s="1"/>
      <c r="L1481" s="2" t="s">
        <v>4155</v>
      </c>
      <c r="M1481" s="1"/>
      <c r="N1481" s="1"/>
      <c r="O1481" s="1"/>
      <c r="P1481" s="1"/>
      <c r="Q1481" s="1"/>
      <c r="R1481" s="1"/>
      <c r="S1481" s="1"/>
      <c r="T1481" s="1"/>
      <c r="U1481" s="1"/>
      <c r="V1481" s="1"/>
      <c r="W1481" s="1"/>
      <c r="X1481" s="1"/>
      <c r="Y1481" s="1"/>
      <c r="Z1481" s="1"/>
    </row>
    <row r="1482" spans="1:26" ht="33.75" customHeight="1">
      <c r="A1482" s="1">
        <v>2061</v>
      </c>
      <c r="B1482" s="1" t="s">
        <v>4156</v>
      </c>
      <c r="C1482" s="1" t="s">
        <v>3800</v>
      </c>
      <c r="D1482" s="4">
        <v>39896.398611111108</v>
      </c>
      <c r="E1482" s="1" t="s">
        <v>772</v>
      </c>
      <c r="F1482" s="1" t="s">
        <v>4154</v>
      </c>
      <c r="G1482" s="5" t="s">
        <v>64</v>
      </c>
      <c r="H1482" s="5" t="s">
        <v>263</v>
      </c>
      <c r="I1482" s="1" t="s">
        <v>4157</v>
      </c>
      <c r="J1482" s="1"/>
      <c r="K1482" s="1"/>
      <c r="L1482" s="2" t="s">
        <v>4158</v>
      </c>
      <c r="M1482" s="1"/>
      <c r="N1482" s="1"/>
      <c r="O1482" s="1"/>
      <c r="P1482" s="1"/>
      <c r="Q1482" s="1"/>
      <c r="R1482" s="1"/>
      <c r="S1482" s="1"/>
      <c r="T1482" s="1"/>
      <c r="U1482" s="1"/>
      <c r="V1482" s="1"/>
      <c r="W1482" s="1"/>
      <c r="X1482" s="1"/>
      <c r="Y1482" s="1"/>
      <c r="Z1482" s="1"/>
    </row>
    <row r="1483" spans="1:26" ht="33.75" customHeight="1">
      <c r="A1483" s="1">
        <v>1393</v>
      </c>
      <c r="B1483" s="1" t="s">
        <v>4159</v>
      </c>
      <c r="C1483" s="1" t="s">
        <v>3929</v>
      </c>
      <c r="D1483" s="4">
        <v>39896.431944444441</v>
      </c>
      <c r="E1483" s="1" t="s">
        <v>255</v>
      </c>
      <c r="F1483" s="1"/>
      <c r="G1483" s="5" t="s">
        <v>15</v>
      </c>
      <c r="H1483" s="5" t="s">
        <v>140</v>
      </c>
      <c r="I1483" s="1" t="s">
        <v>4160</v>
      </c>
      <c r="J1483" s="1"/>
      <c r="K1483" s="1"/>
      <c r="L1483" s="2" t="s">
        <v>4161</v>
      </c>
      <c r="M1483" s="1"/>
      <c r="N1483" s="1"/>
      <c r="O1483" s="1"/>
      <c r="P1483" s="1"/>
      <c r="Q1483" s="1"/>
      <c r="R1483" s="1"/>
      <c r="S1483" s="1"/>
      <c r="T1483" s="1"/>
      <c r="U1483" s="1"/>
      <c r="V1483" s="1"/>
      <c r="W1483" s="1"/>
      <c r="X1483" s="1"/>
      <c r="Y1483" s="1"/>
      <c r="Z1483" s="1"/>
    </row>
    <row r="1484" spans="1:26" ht="33.75" customHeight="1">
      <c r="A1484" s="1">
        <v>1496</v>
      </c>
      <c r="B1484" s="1" t="s">
        <v>4162</v>
      </c>
      <c r="C1484" s="1" t="s">
        <v>4151</v>
      </c>
      <c r="D1484" s="4">
        <v>39896.461111111108</v>
      </c>
      <c r="E1484" s="1" t="s">
        <v>255</v>
      </c>
      <c r="F1484" s="1"/>
      <c r="G1484" s="5" t="s">
        <v>15</v>
      </c>
      <c r="H1484" s="5" t="s">
        <v>50</v>
      </c>
      <c r="I1484" s="1" t="s">
        <v>166</v>
      </c>
      <c r="J1484" s="1"/>
      <c r="K1484" s="1"/>
      <c r="L1484" s="2" t="s">
        <v>4163</v>
      </c>
      <c r="M1484" s="1"/>
      <c r="N1484" s="1"/>
      <c r="O1484" s="1"/>
      <c r="P1484" s="1"/>
      <c r="Q1484" s="1"/>
      <c r="R1484" s="1"/>
      <c r="S1484" s="1"/>
      <c r="T1484" s="1"/>
      <c r="U1484" s="1"/>
      <c r="V1484" s="1"/>
      <c r="W1484" s="1"/>
      <c r="X1484" s="1"/>
      <c r="Y1484" s="1"/>
      <c r="Z1484" s="1"/>
    </row>
    <row r="1485" spans="1:26" ht="33.75" customHeight="1">
      <c r="A1485" s="1">
        <v>1497</v>
      </c>
      <c r="B1485" s="1" t="s">
        <v>4164</v>
      </c>
      <c r="C1485" s="1" t="s">
        <v>4151</v>
      </c>
      <c r="D1485" s="4">
        <v>39896.465277777781</v>
      </c>
      <c r="E1485" s="1" t="s">
        <v>4165</v>
      </c>
      <c r="F1485" s="1"/>
      <c r="G1485" s="5" t="s">
        <v>15</v>
      </c>
      <c r="H1485" s="5" t="s">
        <v>22</v>
      </c>
      <c r="I1485" s="1" t="s">
        <v>23</v>
      </c>
      <c r="J1485" s="1"/>
      <c r="K1485" s="1"/>
      <c r="L1485" s="2" t="s">
        <v>4166</v>
      </c>
      <c r="M1485" s="1"/>
      <c r="N1485" s="1"/>
      <c r="O1485" s="1"/>
      <c r="P1485" s="1"/>
      <c r="Q1485" s="1"/>
      <c r="R1485" s="1"/>
      <c r="S1485" s="1"/>
      <c r="T1485" s="1"/>
      <c r="U1485" s="1"/>
      <c r="V1485" s="1"/>
      <c r="W1485" s="1"/>
      <c r="X1485" s="1"/>
      <c r="Y1485" s="1"/>
      <c r="Z1485" s="1"/>
    </row>
    <row r="1486" spans="1:26" ht="33.75" customHeight="1">
      <c r="A1486" s="1">
        <v>1498</v>
      </c>
      <c r="B1486" s="1" t="s">
        <v>4167</v>
      </c>
      <c r="C1486" s="1" t="s">
        <v>4151</v>
      </c>
      <c r="D1486" s="4">
        <v>39896.489583333336</v>
      </c>
      <c r="E1486" s="1" t="s">
        <v>830</v>
      </c>
      <c r="F1486" s="1"/>
      <c r="G1486" s="5" t="s">
        <v>15</v>
      </c>
      <c r="H1486" s="5" t="s">
        <v>22</v>
      </c>
      <c r="I1486" s="1" t="s">
        <v>23</v>
      </c>
      <c r="J1486" s="1"/>
      <c r="K1486" s="1"/>
      <c r="L1486" s="2" t="s">
        <v>4168</v>
      </c>
      <c r="M1486" s="1"/>
      <c r="N1486" s="1"/>
      <c r="O1486" s="1"/>
      <c r="P1486" s="1"/>
      <c r="Q1486" s="1"/>
      <c r="R1486" s="1"/>
      <c r="S1486" s="1"/>
      <c r="T1486" s="1"/>
      <c r="U1486" s="1"/>
      <c r="V1486" s="1"/>
      <c r="W1486" s="1"/>
      <c r="X1486" s="1"/>
      <c r="Y1486" s="1"/>
      <c r="Z1486" s="1"/>
    </row>
    <row r="1487" spans="1:26" ht="33.75" customHeight="1">
      <c r="A1487" s="1">
        <v>1499</v>
      </c>
      <c r="B1487" s="1" t="s">
        <v>4169</v>
      </c>
      <c r="C1487" s="1" t="s">
        <v>4151</v>
      </c>
      <c r="D1487" s="4">
        <v>39896.492361111108</v>
      </c>
      <c r="E1487" s="1" t="s">
        <v>4170</v>
      </c>
      <c r="F1487" s="1"/>
      <c r="G1487" s="5" t="s">
        <v>15</v>
      </c>
      <c r="H1487" s="5" t="s">
        <v>22</v>
      </c>
      <c r="I1487" s="1" t="s">
        <v>23</v>
      </c>
      <c r="J1487" s="1"/>
      <c r="K1487" s="1"/>
      <c r="L1487" s="2" t="s">
        <v>4171</v>
      </c>
      <c r="M1487" s="1"/>
      <c r="N1487" s="1"/>
      <c r="O1487" s="1"/>
      <c r="P1487" s="1"/>
      <c r="Q1487" s="1"/>
      <c r="R1487" s="1"/>
      <c r="S1487" s="1"/>
      <c r="T1487" s="1"/>
      <c r="U1487" s="1"/>
      <c r="V1487" s="1"/>
      <c r="W1487" s="1"/>
      <c r="X1487" s="1"/>
      <c r="Y1487" s="1"/>
      <c r="Z1487" s="1"/>
    </row>
    <row r="1488" spans="1:26" ht="33.75" customHeight="1">
      <c r="A1488" s="1">
        <v>1500</v>
      </c>
      <c r="B1488" s="1" t="s">
        <v>4172</v>
      </c>
      <c r="C1488" s="1" t="s">
        <v>4151</v>
      </c>
      <c r="D1488" s="4">
        <v>39896.497916666667</v>
      </c>
      <c r="E1488" s="1" t="s">
        <v>4173</v>
      </c>
      <c r="F1488" s="1"/>
      <c r="G1488" s="5" t="s">
        <v>15</v>
      </c>
      <c r="H1488" s="5" t="s">
        <v>22</v>
      </c>
      <c r="I1488" s="1" t="s">
        <v>23</v>
      </c>
      <c r="J1488" s="1"/>
      <c r="K1488" s="1"/>
      <c r="L1488" s="2" t="s">
        <v>4174</v>
      </c>
      <c r="M1488" s="1"/>
      <c r="N1488" s="1"/>
      <c r="O1488" s="1"/>
      <c r="P1488" s="1"/>
      <c r="Q1488" s="1"/>
      <c r="R1488" s="1"/>
      <c r="S1488" s="1"/>
      <c r="T1488" s="1"/>
      <c r="U1488" s="1"/>
      <c r="V1488" s="1"/>
      <c r="W1488" s="1"/>
      <c r="X1488" s="1"/>
      <c r="Y1488" s="1"/>
      <c r="Z1488" s="1"/>
    </row>
    <row r="1489" spans="1:26" ht="33.75" customHeight="1">
      <c r="A1489" s="1">
        <v>1501</v>
      </c>
      <c r="B1489" s="1" t="s">
        <v>4175</v>
      </c>
      <c r="C1489" s="1" t="s">
        <v>4151</v>
      </c>
      <c r="D1489" s="4">
        <v>39896.56527777778</v>
      </c>
      <c r="E1489" s="1" t="s">
        <v>4176</v>
      </c>
      <c r="F1489" s="1"/>
      <c r="G1489" s="5" t="s">
        <v>15</v>
      </c>
      <c r="H1489" s="5" t="s">
        <v>22</v>
      </c>
      <c r="I1489" s="1" t="s">
        <v>23</v>
      </c>
      <c r="J1489" s="1"/>
      <c r="K1489" s="1"/>
      <c r="L1489" s="2" t="s">
        <v>4177</v>
      </c>
      <c r="M1489" s="1"/>
      <c r="N1489" s="1"/>
      <c r="O1489" s="1"/>
      <c r="P1489" s="1"/>
      <c r="Q1489" s="1"/>
      <c r="R1489" s="1"/>
      <c r="S1489" s="1"/>
      <c r="T1489" s="1"/>
      <c r="U1489" s="1"/>
      <c r="V1489" s="1"/>
      <c r="W1489" s="1"/>
      <c r="X1489" s="1"/>
      <c r="Y1489" s="1"/>
      <c r="Z1489" s="1"/>
    </row>
    <row r="1490" spans="1:26" ht="33.75" customHeight="1">
      <c r="A1490" s="1">
        <v>2062</v>
      </c>
      <c r="B1490" s="1" t="s">
        <v>4178</v>
      </c>
      <c r="C1490" s="1" t="s">
        <v>3800</v>
      </c>
      <c r="D1490" s="4">
        <v>39896.589583333334</v>
      </c>
      <c r="E1490" s="1" t="s">
        <v>54</v>
      </c>
      <c r="F1490" s="1"/>
      <c r="G1490" s="5" t="s">
        <v>15</v>
      </c>
      <c r="H1490" s="5" t="s">
        <v>55</v>
      </c>
      <c r="I1490" s="1" t="s">
        <v>4179</v>
      </c>
      <c r="J1490" s="1"/>
      <c r="K1490" s="1"/>
      <c r="L1490" s="2" t="s">
        <v>4180</v>
      </c>
      <c r="M1490" s="1"/>
      <c r="N1490" s="1"/>
      <c r="O1490" s="1"/>
      <c r="P1490" s="1"/>
      <c r="Q1490" s="1"/>
      <c r="R1490" s="1"/>
      <c r="S1490" s="1"/>
      <c r="T1490" s="1"/>
      <c r="U1490" s="1"/>
      <c r="V1490" s="1"/>
      <c r="W1490" s="1"/>
      <c r="X1490" s="1"/>
      <c r="Y1490" s="1"/>
      <c r="Z1490" s="1"/>
    </row>
    <row r="1491" spans="1:26" ht="33.75" customHeight="1">
      <c r="A1491" s="1">
        <v>1502</v>
      </c>
      <c r="B1491" s="1" t="s">
        <v>4181</v>
      </c>
      <c r="C1491" s="1" t="s">
        <v>4151</v>
      </c>
      <c r="D1491" s="4">
        <v>39896.613888888889</v>
      </c>
      <c r="E1491" s="1" t="s">
        <v>4182</v>
      </c>
      <c r="F1491" s="1"/>
      <c r="G1491" s="1" t="s">
        <v>15</v>
      </c>
      <c r="H1491" s="1" t="s">
        <v>50</v>
      </c>
      <c r="I1491" s="1" t="s">
        <v>35</v>
      </c>
      <c r="J1491" s="1"/>
      <c r="K1491" s="1" t="s">
        <v>4183</v>
      </c>
      <c r="L1491" s="2" t="s">
        <v>4184</v>
      </c>
      <c r="M1491" s="1"/>
      <c r="N1491" s="1"/>
      <c r="O1491" s="1"/>
      <c r="P1491" s="1"/>
      <c r="Q1491" s="1"/>
      <c r="R1491" s="1"/>
      <c r="S1491" s="1"/>
      <c r="T1491" s="1"/>
      <c r="U1491" s="1"/>
      <c r="V1491" s="1"/>
      <c r="W1491" s="1"/>
      <c r="X1491" s="1"/>
      <c r="Y1491" s="1"/>
      <c r="Z1491" s="1"/>
    </row>
    <row r="1492" spans="1:26" ht="33.75" customHeight="1">
      <c r="A1492" s="1">
        <v>1503</v>
      </c>
      <c r="B1492" s="1" t="s">
        <v>4185</v>
      </c>
      <c r="C1492" s="1" t="s">
        <v>4151</v>
      </c>
      <c r="D1492" s="4">
        <v>39896.618055555555</v>
      </c>
      <c r="E1492" s="1" t="s">
        <v>4186</v>
      </c>
      <c r="F1492" s="1"/>
      <c r="G1492" s="5" t="s">
        <v>15</v>
      </c>
      <c r="H1492" s="5" t="s">
        <v>22</v>
      </c>
      <c r="I1492" s="1" t="s">
        <v>23</v>
      </c>
      <c r="J1492" s="1"/>
      <c r="K1492" s="1" t="s">
        <v>4187</v>
      </c>
      <c r="L1492" s="2" t="s">
        <v>4188</v>
      </c>
      <c r="M1492" s="1"/>
      <c r="N1492" s="1"/>
      <c r="O1492" s="1"/>
      <c r="P1492" s="1"/>
      <c r="Q1492" s="1"/>
      <c r="R1492" s="1"/>
      <c r="S1492" s="1"/>
      <c r="T1492" s="1"/>
      <c r="U1492" s="1"/>
      <c r="V1492" s="1"/>
      <c r="W1492" s="1"/>
      <c r="X1492" s="1"/>
      <c r="Y1492" s="1"/>
      <c r="Z1492" s="1"/>
    </row>
    <row r="1493" spans="1:26" ht="33.75" customHeight="1">
      <c r="A1493" s="1">
        <v>1504</v>
      </c>
      <c r="B1493" s="1" t="s">
        <v>4189</v>
      </c>
      <c r="C1493" s="1" t="s">
        <v>4151</v>
      </c>
      <c r="D1493" s="4">
        <v>39896.625</v>
      </c>
      <c r="E1493" s="1" t="s">
        <v>4190</v>
      </c>
      <c r="F1493" s="1"/>
      <c r="G1493" s="6" t="s">
        <v>78</v>
      </c>
      <c r="H1493" s="5" t="s">
        <v>79</v>
      </c>
      <c r="I1493" s="1" t="s">
        <v>35</v>
      </c>
      <c r="J1493" s="1"/>
      <c r="K1493" s="1" t="s">
        <v>4191</v>
      </c>
      <c r="L1493" s="2" t="s">
        <v>4192</v>
      </c>
      <c r="M1493" s="1"/>
      <c r="N1493" s="1"/>
      <c r="O1493" s="1"/>
      <c r="P1493" s="1"/>
      <c r="Q1493" s="1"/>
      <c r="R1493" s="1"/>
      <c r="S1493" s="1"/>
      <c r="T1493" s="1"/>
      <c r="U1493" s="1"/>
      <c r="V1493" s="1"/>
      <c r="W1493" s="1"/>
      <c r="X1493" s="1"/>
      <c r="Y1493" s="1"/>
      <c r="Z1493" s="1"/>
    </row>
    <row r="1494" spans="1:26" ht="33.75" customHeight="1">
      <c r="A1494" s="1">
        <v>1505</v>
      </c>
      <c r="B1494" s="1" t="s">
        <v>4193</v>
      </c>
      <c r="C1494" s="1" t="s">
        <v>4151</v>
      </c>
      <c r="D1494" s="4">
        <v>39896.638194444444</v>
      </c>
      <c r="E1494" s="1" t="s">
        <v>14</v>
      </c>
      <c r="F1494" s="1"/>
      <c r="G1494" s="1" t="s">
        <v>15</v>
      </c>
      <c r="H1494" s="1" t="s">
        <v>50</v>
      </c>
      <c r="I1494" s="1" t="s">
        <v>166</v>
      </c>
      <c r="J1494" s="1"/>
      <c r="K1494" s="1" t="s">
        <v>4194</v>
      </c>
      <c r="L1494" s="2" t="s">
        <v>4195</v>
      </c>
      <c r="M1494" s="1"/>
      <c r="N1494" s="1"/>
      <c r="O1494" s="1"/>
      <c r="P1494" s="1"/>
      <c r="Q1494" s="1"/>
      <c r="R1494" s="1"/>
      <c r="S1494" s="1"/>
      <c r="T1494" s="1"/>
      <c r="U1494" s="1"/>
      <c r="V1494" s="1"/>
      <c r="W1494" s="1"/>
      <c r="X1494" s="1"/>
      <c r="Y1494" s="1"/>
      <c r="Z1494" s="1"/>
    </row>
    <row r="1495" spans="1:26" ht="33.75" customHeight="1">
      <c r="A1495" s="1">
        <v>1962</v>
      </c>
      <c r="B1495" s="1" t="s">
        <v>4196</v>
      </c>
      <c r="C1495" s="1" t="s">
        <v>3800</v>
      </c>
      <c r="D1495" s="4">
        <v>39896.65</v>
      </c>
      <c r="E1495" s="1" t="s">
        <v>760</v>
      </c>
      <c r="F1495" s="1"/>
      <c r="G1495" s="5" t="s">
        <v>33</v>
      </c>
      <c r="H1495" s="5" t="s">
        <v>34</v>
      </c>
      <c r="I1495" s="1" t="s">
        <v>1605</v>
      </c>
      <c r="J1495" s="1"/>
      <c r="K1495" s="1"/>
      <c r="L1495" s="2" t="s">
        <v>4197</v>
      </c>
      <c r="M1495" s="1"/>
      <c r="N1495" s="1"/>
      <c r="O1495" s="1"/>
      <c r="P1495" s="1"/>
      <c r="Q1495" s="1"/>
      <c r="R1495" s="1"/>
      <c r="S1495" s="1"/>
      <c r="T1495" s="1"/>
      <c r="U1495" s="1"/>
      <c r="V1495" s="1"/>
      <c r="W1495" s="1"/>
      <c r="X1495" s="1"/>
      <c r="Y1495" s="1"/>
      <c r="Z1495" s="1"/>
    </row>
    <row r="1496" spans="1:26" ht="33.75" customHeight="1">
      <c r="A1496" s="1">
        <v>1963</v>
      </c>
      <c r="B1496" s="1" t="s">
        <v>4198</v>
      </c>
      <c r="C1496" s="1" t="s">
        <v>3800</v>
      </c>
      <c r="D1496" s="4">
        <v>39896.652083333334</v>
      </c>
      <c r="E1496" s="1" t="s">
        <v>760</v>
      </c>
      <c r="F1496" s="1"/>
      <c r="G1496" s="5" t="s">
        <v>64</v>
      </c>
      <c r="H1496" s="1"/>
      <c r="I1496" s="1" t="s">
        <v>64</v>
      </c>
      <c r="J1496" s="1"/>
      <c r="K1496" s="1"/>
      <c r="L1496" s="2" t="s">
        <v>4199</v>
      </c>
      <c r="M1496" s="1"/>
      <c r="N1496" s="1"/>
      <c r="O1496" s="1"/>
      <c r="P1496" s="1"/>
      <c r="Q1496" s="1"/>
      <c r="R1496" s="1"/>
      <c r="S1496" s="1"/>
      <c r="T1496" s="1"/>
      <c r="U1496" s="1"/>
      <c r="V1496" s="1"/>
      <c r="W1496" s="1"/>
      <c r="X1496" s="1"/>
      <c r="Y1496" s="1"/>
      <c r="Z1496" s="1"/>
    </row>
    <row r="1497" spans="1:26" ht="33.75" customHeight="1">
      <c r="A1497" s="1">
        <v>1964</v>
      </c>
      <c r="B1497" s="1" t="s">
        <v>4200</v>
      </c>
      <c r="C1497" s="1" t="s">
        <v>3800</v>
      </c>
      <c r="D1497" s="4">
        <v>39896.682638888888</v>
      </c>
      <c r="E1497" s="1" t="s">
        <v>3610</v>
      </c>
      <c r="F1497" s="1"/>
      <c r="G1497" s="5" t="s">
        <v>64</v>
      </c>
      <c r="H1497" s="1"/>
      <c r="I1497" s="1" t="s">
        <v>64</v>
      </c>
      <c r="J1497" s="1"/>
      <c r="K1497" s="1" t="s">
        <v>772</v>
      </c>
      <c r="L1497" s="2" t="s">
        <v>4201</v>
      </c>
      <c r="M1497" s="1"/>
      <c r="N1497" s="1"/>
      <c r="O1497" s="1"/>
      <c r="P1497" s="1"/>
      <c r="Q1497" s="1"/>
      <c r="R1497" s="1"/>
      <c r="S1497" s="1"/>
      <c r="T1497" s="1"/>
      <c r="U1497" s="1"/>
      <c r="V1497" s="1"/>
      <c r="W1497" s="1"/>
      <c r="X1497" s="1"/>
      <c r="Y1497" s="1"/>
      <c r="Z1497" s="1"/>
    </row>
    <row r="1498" spans="1:26" ht="33.75" customHeight="1">
      <c r="A1498" s="1">
        <v>1965</v>
      </c>
      <c r="B1498" s="1" t="s">
        <v>4202</v>
      </c>
      <c r="C1498" s="1" t="s">
        <v>3800</v>
      </c>
      <c r="D1498" s="4">
        <v>39896.684027777781</v>
      </c>
      <c r="E1498" s="1" t="s">
        <v>772</v>
      </c>
      <c r="F1498" s="1" t="s">
        <v>4200</v>
      </c>
      <c r="G1498" s="5" t="s">
        <v>64</v>
      </c>
      <c r="H1498" s="1"/>
      <c r="I1498" s="1" t="s">
        <v>64</v>
      </c>
      <c r="J1498" s="1"/>
      <c r="K1498" s="1"/>
      <c r="L1498" s="2" t="s">
        <v>4203</v>
      </c>
      <c r="M1498" s="1"/>
      <c r="N1498" s="1"/>
      <c r="O1498" s="1"/>
      <c r="P1498" s="1"/>
      <c r="Q1498" s="1"/>
      <c r="R1498" s="1"/>
      <c r="S1498" s="1"/>
      <c r="T1498" s="1"/>
      <c r="U1498" s="1"/>
      <c r="V1498" s="1"/>
      <c r="W1498" s="1"/>
      <c r="X1498" s="1"/>
      <c r="Y1498" s="1"/>
      <c r="Z1498" s="1"/>
    </row>
    <row r="1499" spans="1:26" ht="33.75" customHeight="1">
      <c r="A1499" s="1">
        <v>1506</v>
      </c>
      <c r="B1499" s="1" t="s">
        <v>4204</v>
      </c>
      <c r="C1499" s="1" t="s">
        <v>4151</v>
      </c>
      <c r="D1499" s="4">
        <v>39896.698611111111</v>
      </c>
      <c r="E1499" s="1" t="s">
        <v>255</v>
      </c>
      <c r="F1499" s="1"/>
      <c r="G1499" s="5" t="s">
        <v>15</v>
      </c>
      <c r="H1499" s="5" t="s">
        <v>50</v>
      </c>
      <c r="I1499" s="1" t="s">
        <v>166</v>
      </c>
      <c r="J1499" s="1"/>
      <c r="K1499" s="1" t="s">
        <v>4205</v>
      </c>
      <c r="L1499" s="2" t="s">
        <v>4206</v>
      </c>
      <c r="M1499" s="1"/>
      <c r="N1499" s="1"/>
      <c r="O1499" s="1"/>
      <c r="P1499" s="1"/>
      <c r="Q1499" s="1"/>
      <c r="R1499" s="1"/>
      <c r="S1499" s="1"/>
      <c r="T1499" s="1"/>
      <c r="U1499" s="1"/>
      <c r="V1499" s="1"/>
      <c r="W1499" s="1"/>
      <c r="X1499" s="1"/>
      <c r="Y1499" s="1"/>
      <c r="Z1499" s="1"/>
    </row>
    <row r="1500" spans="1:26" ht="33.75" customHeight="1">
      <c r="A1500" s="1">
        <v>1507</v>
      </c>
      <c r="B1500" s="1" t="s">
        <v>4207</v>
      </c>
      <c r="C1500" s="1" t="s">
        <v>4151</v>
      </c>
      <c r="D1500" s="4">
        <v>39896.730555555558</v>
      </c>
      <c r="E1500" s="1" t="s">
        <v>4208</v>
      </c>
      <c r="F1500" s="1"/>
      <c r="G1500" s="5" t="s">
        <v>33</v>
      </c>
      <c r="H1500" s="5" t="s">
        <v>34</v>
      </c>
      <c r="I1500" s="1" t="s">
        <v>35</v>
      </c>
      <c r="J1500" s="1"/>
      <c r="K1500" s="1" t="s">
        <v>4209</v>
      </c>
      <c r="L1500" s="2" t="s">
        <v>4210</v>
      </c>
      <c r="M1500" s="1"/>
      <c r="N1500" s="1"/>
      <c r="O1500" s="1"/>
      <c r="P1500" s="1"/>
      <c r="Q1500" s="1"/>
      <c r="R1500" s="1"/>
      <c r="S1500" s="1"/>
      <c r="T1500" s="1"/>
      <c r="U1500" s="1"/>
      <c r="V1500" s="1"/>
      <c r="W1500" s="1"/>
      <c r="X1500" s="1"/>
      <c r="Y1500" s="1"/>
      <c r="Z1500" s="1"/>
    </row>
    <row r="1501" spans="1:26" ht="33.75" customHeight="1">
      <c r="A1501" s="1">
        <v>1508</v>
      </c>
      <c r="B1501" s="1" t="s">
        <v>4211</v>
      </c>
      <c r="C1501" s="1" t="s">
        <v>4151</v>
      </c>
      <c r="D1501" s="4">
        <v>39896.732638888891</v>
      </c>
      <c r="E1501" s="1" t="s">
        <v>14</v>
      </c>
      <c r="F1501" s="1" t="s">
        <v>4204</v>
      </c>
      <c r="G1501" s="1" t="s">
        <v>15</v>
      </c>
      <c r="H1501" s="1" t="s">
        <v>50</v>
      </c>
      <c r="I1501" s="1" t="s">
        <v>35</v>
      </c>
      <c r="J1501" s="1"/>
      <c r="K1501" s="1" t="s">
        <v>4212</v>
      </c>
      <c r="L1501" s="2" t="s">
        <v>4213</v>
      </c>
      <c r="M1501" s="1"/>
      <c r="N1501" s="1"/>
      <c r="O1501" s="1"/>
      <c r="P1501" s="1"/>
      <c r="Q1501" s="1"/>
      <c r="R1501" s="1"/>
      <c r="S1501" s="1"/>
      <c r="T1501" s="1"/>
      <c r="U1501" s="1"/>
      <c r="V1501" s="1"/>
      <c r="W1501" s="1"/>
      <c r="X1501" s="1"/>
      <c r="Y1501" s="1"/>
      <c r="Z1501" s="1"/>
    </row>
    <row r="1502" spans="1:26" ht="33.75" customHeight="1">
      <c r="A1502" s="1">
        <v>1394</v>
      </c>
      <c r="B1502" s="1" t="s">
        <v>4214</v>
      </c>
      <c r="C1502" s="1" t="s">
        <v>3929</v>
      </c>
      <c r="D1502" s="4">
        <v>39896.748611111114</v>
      </c>
      <c r="E1502" s="1" t="s">
        <v>772</v>
      </c>
      <c r="F1502" s="1"/>
      <c r="G1502" s="5" t="s">
        <v>26</v>
      </c>
      <c r="H1502" s="5" t="s">
        <v>133</v>
      </c>
      <c r="I1502" s="1" t="s">
        <v>28</v>
      </c>
      <c r="J1502" s="1" t="s">
        <v>134</v>
      </c>
      <c r="K1502" s="1"/>
      <c r="L1502" s="2" t="s">
        <v>4215</v>
      </c>
      <c r="M1502" s="1"/>
      <c r="N1502" s="1"/>
      <c r="O1502" s="1"/>
      <c r="P1502" s="1"/>
      <c r="Q1502" s="1"/>
      <c r="R1502" s="1"/>
      <c r="S1502" s="1"/>
      <c r="T1502" s="1"/>
      <c r="U1502" s="1"/>
      <c r="V1502" s="1"/>
      <c r="W1502" s="1"/>
      <c r="X1502" s="1"/>
      <c r="Y1502" s="1"/>
      <c r="Z1502" s="1"/>
    </row>
    <row r="1503" spans="1:26" ht="33.75" customHeight="1">
      <c r="A1503" s="1">
        <v>1509</v>
      </c>
      <c r="B1503" s="1" t="s">
        <v>4216</v>
      </c>
      <c r="C1503" s="1" t="s">
        <v>4151</v>
      </c>
      <c r="D1503" s="4">
        <v>39896.754166666666</v>
      </c>
      <c r="E1503" s="1" t="s">
        <v>255</v>
      </c>
      <c r="F1503" s="1" t="s">
        <v>4211</v>
      </c>
      <c r="G1503" s="5" t="s">
        <v>15</v>
      </c>
      <c r="H1503" s="5" t="s">
        <v>50</v>
      </c>
      <c r="I1503" s="1" t="s">
        <v>4217</v>
      </c>
      <c r="J1503" s="1"/>
      <c r="K1503" s="1" t="s">
        <v>4218</v>
      </c>
      <c r="L1503" s="2" t="s">
        <v>4219</v>
      </c>
      <c r="M1503" s="1"/>
      <c r="N1503" s="1"/>
      <c r="O1503" s="1"/>
      <c r="P1503" s="1"/>
      <c r="Q1503" s="1"/>
      <c r="R1503" s="1"/>
      <c r="S1503" s="1"/>
      <c r="T1503" s="1"/>
      <c r="U1503" s="1"/>
      <c r="V1503" s="1"/>
      <c r="W1503" s="1"/>
      <c r="X1503" s="1"/>
      <c r="Y1503" s="1"/>
      <c r="Z1503" s="1"/>
    </row>
    <row r="1504" spans="1:26" ht="33.75" customHeight="1">
      <c r="A1504" s="1">
        <v>1966</v>
      </c>
      <c r="B1504" s="1" t="s">
        <v>4220</v>
      </c>
      <c r="C1504" s="1" t="s">
        <v>3800</v>
      </c>
      <c r="D1504" s="4">
        <v>39896.807638888888</v>
      </c>
      <c r="E1504" s="1" t="s">
        <v>772</v>
      </c>
      <c r="F1504" s="1"/>
      <c r="G1504" s="5" t="s">
        <v>64</v>
      </c>
      <c r="H1504" s="1"/>
      <c r="I1504" s="1" t="s">
        <v>64</v>
      </c>
      <c r="J1504" s="1"/>
      <c r="K1504" s="1"/>
      <c r="L1504" s="2" t="s">
        <v>4221</v>
      </c>
      <c r="M1504" s="1"/>
      <c r="N1504" s="1"/>
      <c r="O1504" s="1"/>
      <c r="P1504" s="1"/>
      <c r="Q1504" s="1"/>
      <c r="R1504" s="1"/>
      <c r="S1504" s="1"/>
      <c r="T1504" s="1"/>
      <c r="U1504" s="1"/>
      <c r="V1504" s="1"/>
      <c r="W1504" s="1"/>
      <c r="X1504" s="1"/>
      <c r="Y1504" s="1"/>
      <c r="Z1504" s="1"/>
    </row>
    <row r="1505" spans="1:26" ht="33.75" customHeight="1">
      <c r="A1505" s="1">
        <v>1510</v>
      </c>
      <c r="B1505" s="1" t="s">
        <v>4222</v>
      </c>
      <c r="C1505" s="1" t="s">
        <v>4151</v>
      </c>
      <c r="D1505" s="4">
        <v>39896.816666666666</v>
      </c>
      <c r="E1505" s="1" t="s">
        <v>772</v>
      </c>
      <c r="F1505" s="1" t="s">
        <v>4193</v>
      </c>
      <c r="G1505" s="5" t="s">
        <v>15</v>
      </c>
      <c r="H1505" s="5" t="s">
        <v>150</v>
      </c>
      <c r="I1505" s="1" t="s">
        <v>4223</v>
      </c>
      <c r="J1505" s="1"/>
      <c r="K1505" s="1"/>
      <c r="L1505" s="2" t="s">
        <v>4224</v>
      </c>
      <c r="M1505" s="1"/>
      <c r="N1505" s="1"/>
      <c r="O1505" s="1"/>
      <c r="P1505" s="1"/>
      <c r="Q1505" s="1"/>
      <c r="R1505" s="1"/>
      <c r="S1505" s="1"/>
      <c r="T1505" s="1"/>
      <c r="U1505" s="1"/>
      <c r="V1505" s="1"/>
      <c r="W1505" s="1"/>
      <c r="X1505" s="1"/>
      <c r="Y1505" s="1"/>
      <c r="Z1505" s="1"/>
    </row>
    <row r="1506" spans="1:26" ht="33.75" customHeight="1">
      <c r="A1506" s="1">
        <v>1967</v>
      </c>
      <c r="B1506" s="1" t="s">
        <v>4225</v>
      </c>
      <c r="C1506" s="1" t="s">
        <v>3800</v>
      </c>
      <c r="D1506" s="4">
        <v>39896.818055555559</v>
      </c>
      <c r="E1506" s="1" t="s">
        <v>2893</v>
      </c>
      <c r="F1506" s="1"/>
      <c r="G1506" s="5" t="s">
        <v>26</v>
      </c>
      <c r="H1506" s="5" t="s">
        <v>27</v>
      </c>
      <c r="I1506" s="1" t="s">
        <v>4226</v>
      </c>
      <c r="J1506" s="1"/>
      <c r="K1506" s="1"/>
      <c r="L1506" s="2" t="s">
        <v>4227</v>
      </c>
      <c r="M1506" s="1"/>
      <c r="N1506" s="1"/>
      <c r="O1506" s="1"/>
      <c r="P1506" s="1"/>
      <c r="Q1506" s="1"/>
      <c r="R1506" s="1"/>
      <c r="S1506" s="1"/>
      <c r="T1506" s="1"/>
      <c r="U1506" s="1"/>
      <c r="V1506" s="1"/>
      <c r="W1506" s="1"/>
      <c r="X1506" s="1"/>
      <c r="Y1506" s="1"/>
      <c r="Z1506" s="1"/>
    </row>
    <row r="1507" spans="1:26" ht="33.75" customHeight="1">
      <c r="A1507" s="1">
        <v>1968</v>
      </c>
      <c r="B1507" s="1" t="s">
        <v>4228</v>
      </c>
      <c r="C1507" s="1" t="s">
        <v>3800</v>
      </c>
      <c r="D1507" s="4">
        <v>39896.824305555558</v>
      </c>
      <c r="E1507" s="1" t="s">
        <v>772</v>
      </c>
      <c r="F1507" s="1" t="s">
        <v>4200</v>
      </c>
      <c r="G1507" s="5" t="s">
        <v>64</v>
      </c>
      <c r="H1507" s="1"/>
      <c r="I1507" s="1" t="s">
        <v>64</v>
      </c>
      <c r="J1507" s="1"/>
      <c r="K1507" s="1"/>
      <c r="L1507" s="2" t="s">
        <v>4229</v>
      </c>
      <c r="M1507" s="1"/>
      <c r="N1507" s="1"/>
      <c r="O1507" s="1"/>
      <c r="P1507" s="1"/>
      <c r="Q1507" s="1"/>
      <c r="R1507" s="1"/>
      <c r="S1507" s="1"/>
      <c r="T1507" s="1"/>
      <c r="U1507" s="1"/>
      <c r="V1507" s="1"/>
      <c r="W1507" s="1"/>
      <c r="X1507" s="1"/>
      <c r="Y1507" s="1"/>
      <c r="Z1507" s="1"/>
    </row>
    <row r="1508" spans="1:26" ht="33.75" customHeight="1">
      <c r="A1508" s="1">
        <v>1511</v>
      </c>
      <c r="B1508" s="1" t="s">
        <v>4230</v>
      </c>
      <c r="C1508" s="1" t="s">
        <v>4151</v>
      </c>
      <c r="D1508" s="4">
        <v>39896.862500000003</v>
      </c>
      <c r="E1508" s="1" t="s">
        <v>4231</v>
      </c>
      <c r="F1508" s="1" t="s">
        <v>4193</v>
      </c>
      <c r="G1508" s="6" t="s">
        <v>78</v>
      </c>
      <c r="H1508" s="5" t="s">
        <v>79</v>
      </c>
      <c r="I1508" s="1" t="s">
        <v>166</v>
      </c>
      <c r="J1508" s="1"/>
      <c r="K1508" s="1" t="s">
        <v>4232</v>
      </c>
      <c r="L1508" s="2" t="s">
        <v>4233</v>
      </c>
      <c r="M1508" s="1"/>
      <c r="N1508" s="1"/>
      <c r="O1508" s="1"/>
      <c r="P1508" s="1"/>
      <c r="Q1508" s="1"/>
      <c r="R1508" s="1"/>
      <c r="S1508" s="1"/>
      <c r="T1508" s="1"/>
      <c r="U1508" s="1"/>
      <c r="V1508" s="1"/>
      <c r="W1508" s="1"/>
      <c r="X1508" s="1"/>
      <c r="Y1508" s="1"/>
      <c r="Z1508" s="1"/>
    </row>
    <row r="1509" spans="1:26" ht="33.75" customHeight="1">
      <c r="A1509" s="1">
        <v>1512</v>
      </c>
      <c r="B1509" s="1" t="s">
        <v>4234</v>
      </c>
      <c r="C1509" s="1" t="s">
        <v>4151</v>
      </c>
      <c r="D1509" s="4">
        <v>39896.924305555556</v>
      </c>
      <c r="E1509" s="1" t="s">
        <v>4235</v>
      </c>
      <c r="F1509" s="1"/>
      <c r="G1509" s="1" t="s">
        <v>15</v>
      </c>
      <c r="H1509" s="1" t="s">
        <v>50</v>
      </c>
      <c r="I1509" s="1" t="s">
        <v>166</v>
      </c>
      <c r="J1509" s="1"/>
      <c r="K1509" s="1" t="s">
        <v>4236</v>
      </c>
      <c r="L1509" s="2" t="s">
        <v>4237</v>
      </c>
      <c r="M1509" s="1"/>
      <c r="N1509" s="1"/>
      <c r="O1509" s="1"/>
      <c r="P1509" s="1"/>
      <c r="Q1509" s="1"/>
      <c r="R1509" s="1"/>
      <c r="S1509" s="1"/>
      <c r="T1509" s="1"/>
      <c r="U1509" s="1"/>
      <c r="V1509" s="1"/>
      <c r="W1509" s="1"/>
      <c r="X1509" s="1"/>
      <c r="Y1509" s="1"/>
      <c r="Z1509" s="1"/>
    </row>
    <row r="1510" spans="1:26" ht="33.75" customHeight="1">
      <c r="A1510" s="1">
        <v>1514</v>
      </c>
      <c r="B1510" s="1" t="s">
        <v>4238</v>
      </c>
      <c r="C1510" s="1" t="s">
        <v>4151</v>
      </c>
      <c r="D1510" s="4">
        <v>39896.9375</v>
      </c>
      <c r="E1510" s="1" t="s">
        <v>4239</v>
      </c>
      <c r="F1510" s="1"/>
      <c r="G1510" s="5" t="s">
        <v>33</v>
      </c>
      <c r="H1510" s="5" t="s">
        <v>34</v>
      </c>
      <c r="I1510" s="1" t="s">
        <v>35</v>
      </c>
      <c r="J1510" s="1"/>
      <c r="K1510" s="1" t="s">
        <v>4240</v>
      </c>
      <c r="L1510" s="2" t="s">
        <v>4241</v>
      </c>
      <c r="M1510" s="1"/>
      <c r="N1510" s="1"/>
      <c r="O1510" s="1"/>
      <c r="P1510" s="1"/>
      <c r="Q1510" s="1"/>
      <c r="R1510" s="1"/>
      <c r="S1510" s="1"/>
      <c r="T1510" s="1"/>
      <c r="U1510" s="1"/>
      <c r="V1510" s="1"/>
      <c r="W1510" s="1"/>
      <c r="X1510" s="1"/>
      <c r="Y1510" s="1"/>
      <c r="Z1510" s="1"/>
    </row>
    <row r="1511" spans="1:26" ht="33.75" customHeight="1">
      <c r="A1511" s="1">
        <v>1395</v>
      </c>
      <c r="B1511" s="1" t="s">
        <v>4242</v>
      </c>
      <c r="C1511" s="1" t="s">
        <v>3929</v>
      </c>
      <c r="D1511" s="4">
        <v>39896.961805555555</v>
      </c>
      <c r="E1511" s="1" t="s">
        <v>255</v>
      </c>
      <c r="F1511" s="1" t="s">
        <v>4214</v>
      </c>
      <c r="G1511" s="5" t="s">
        <v>26</v>
      </c>
      <c r="H1511" s="5" t="s">
        <v>27</v>
      </c>
      <c r="I1511" s="1" t="s">
        <v>28</v>
      </c>
      <c r="J1511" s="1" t="s">
        <v>259</v>
      </c>
      <c r="K1511" s="1"/>
      <c r="L1511" s="2" t="s">
        <v>4243</v>
      </c>
      <c r="M1511" s="1"/>
      <c r="N1511" s="1"/>
      <c r="O1511" s="1"/>
      <c r="P1511" s="1"/>
      <c r="Q1511" s="1"/>
      <c r="R1511" s="1"/>
      <c r="S1511" s="1"/>
      <c r="T1511" s="1"/>
      <c r="U1511" s="1"/>
      <c r="V1511" s="1"/>
      <c r="W1511" s="1"/>
      <c r="X1511" s="1"/>
      <c r="Y1511" s="1"/>
      <c r="Z1511" s="1"/>
    </row>
    <row r="1512" spans="1:26" ht="33.75" customHeight="1">
      <c r="A1512" s="1">
        <v>1969</v>
      </c>
      <c r="B1512" s="1" t="s">
        <v>4244</v>
      </c>
      <c r="C1512" s="1" t="s">
        <v>3800</v>
      </c>
      <c r="D1512" s="4">
        <v>39896.993055555555</v>
      </c>
      <c r="E1512" s="1" t="s">
        <v>1887</v>
      </c>
      <c r="F1512" s="1"/>
      <c r="G1512" s="5" t="s">
        <v>15</v>
      </c>
      <c r="H1512" s="5" t="s">
        <v>402</v>
      </c>
      <c r="I1512" s="1" t="s">
        <v>576</v>
      </c>
      <c r="J1512" s="1"/>
      <c r="K1512" s="1"/>
      <c r="L1512" s="2" t="s">
        <v>4245</v>
      </c>
      <c r="M1512" s="1"/>
      <c r="N1512" s="1"/>
      <c r="O1512" s="1"/>
      <c r="P1512" s="1"/>
      <c r="Q1512" s="1"/>
      <c r="R1512" s="1"/>
      <c r="S1512" s="1"/>
      <c r="T1512" s="1"/>
      <c r="U1512" s="1"/>
      <c r="V1512" s="1"/>
      <c r="W1512" s="1"/>
      <c r="X1512" s="1"/>
      <c r="Y1512" s="1"/>
      <c r="Z1512" s="1"/>
    </row>
    <row r="1513" spans="1:26" ht="33.75" customHeight="1">
      <c r="A1513" s="1">
        <v>1347</v>
      </c>
      <c r="B1513" s="1" t="s">
        <v>4246</v>
      </c>
      <c r="C1513" s="1" t="s">
        <v>3255</v>
      </c>
      <c r="D1513" s="4">
        <v>39897.140277777777</v>
      </c>
      <c r="E1513" s="1" t="s">
        <v>4247</v>
      </c>
      <c r="F1513" s="1"/>
      <c r="G1513" s="5" t="s">
        <v>33</v>
      </c>
      <c r="H1513" s="5" t="s">
        <v>34</v>
      </c>
      <c r="I1513" s="1" t="s">
        <v>35</v>
      </c>
      <c r="J1513" s="1"/>
      <c r="K1513" s="1" t="s">
        <v>4248</v>
      </c>
      <c r="L1513" s="2" t="s">
        <v>4249</v>
      </c>
      <c r="M1513" s="1"/>
      <c r="N1513" s="1"/>
      <c r="O1513" s="1"/>
      <c r="P1513" s="1"/>
      <c r="Q1513" s="1"/>
      <c r="R1513" s="1"/>
      <c r="S1513" s="1"/>
      <c r="T1513" s="1"/>
      <c r="U1513" s="1"/>
      <c r="V1513" s="1"/>
      <c r="W1513" s="1"/>
      <c r="X1513" s="1"/>
      <c r="Y1513" s="1"/>
      <c r="Z1513" s="1"/>
    </row>
    <row r="1514" spans="1:26" ht="33.75" customHeight="1">
      <c r="A1514" s="1">
        <v>1515</v>
      </c>
      <c r="B1514" s="1" t="s">
        <v>4250</v>
      </c>
      <c r="C1514" s="1" t="s">
        <v>4151</v>
      </c>
      <c r="D1514" s="4">
        <v>39897.214583333334</v>
      </c>
      <c r="E1514" s="1" t="s">
        <v>393</v>
      </c>
      <c r="F1514" s="1"/>
      <c r="G1514" s="5" t="s">
        <v>15</v>
      </c>
      <c r="H1514" s="5" t="s">
        <v>50</v>
      </c>
      <c r="I1514" s="1" t="s">
        <v>166</v>
      </c>
      <c r="J1514" s="1"/>
      <c r="K1514" s="1" t="s">
        <v>4251</v>
      </c>
      <c r="L1514" s="2" t="s">
        <v>4252</v>
      </c>
      <c r="M1514" s="1"/>
      <c r="N1514" s="1"/>
      <c r="O1514" s="1"/>
      <c r="P1514" s="1"/>
      <c r="Q1514" s="1"/>
      <c r="R1514" s="1"/>
      <c r="S1514" s="1"/>
      <c r="T1514" s="1"/>
      <c r="U1514" s="1"/>
      <c r="V1514" s="1"/>
      <c r="W1514" s="1"/>
      <c r="X1514" s="1"/>
      <c r="Y1514" s="1"/>
      <c r="Z1514" s="1"/>
    </row>
    <row r="1515" spans="1:26" ht="33.75" customHeight="1">
      <c r="A1515" s="1">
        <v>1970</v>
      </c>
      <c r="B1515" s="1" t="s">
        <v>4253</v>
      </c>
      <c r="C1515" s="1" t="s">
        <v>3800</v>
      </c>
      <c r="D1515" s="4">
        <v>39897.29583333333</v>
      </c>
      <c r="E1515" s="1" t="s">
        <v>84</v>
      </c>
      <c r="F1515" s="1"/>
      <c r="G1515" s="5" t="s">
        <v>64</v>
      </c>
      <c r="H1515" s="1"/>
      <c r="I1515" s="1" t="s">
        <v>64</v>
      </c>
      <c r="J1515" s="1"/>
      <c r="K1515" s="1"/>
      <c r="L1515" s="2" t="s">
        <v>4254</v>
      </c>
      <c r="M1515" s="1"/>
      <c r="N1515" s="1"/>
      <c r="O1515" s="1"/>
      <c r="P1515" s="1"/>
      <c r="Q1515" s="1"/>
      <c r="R1515" s="1"/>
      <c r="S1515" s="1"/>
      <c r="T1515" s="1"/>
      <c r="U1515" s="1"/>
      <c r="V1515" s="1"/>
      <c r="W1515" s="1"/>
      <c r="X1515" s="1"/>
      <c r="Y1515" s="1"/>
      <c r="Z1515" s="1"/>
    </row>
    <row r="1516" spans="1:26" ht="33.75" customHeight="1">
      <c r="A1516" s="1">
        <v>1971</v>
      </c>
      <c r="B1516" s="1" t="s">
        <v>4255</v>
      </c>
      <c r="C1516" s="1" t="s">
        <v>3800</v>
      </c>
      <c r="D1516" s="4">
        <v>39897.497916666667</v>
      </c>
      <c r="E1516" s="1" t="s">
        <v>1887</v>
      </c>
      <c r="F1516" s="1"/>
      <c r="G1516" s="5" t="s">
        <v>26</v>
      </c>
      <c r="H1516" s="5" t="s">
        <v>133</v>
      </c>
      <c r="I1516" s="1" t="s">
        <v>4256</v>
      </c>
      <c r="J1516" s="1"/>
      <c r="K1516" s="1"/>
      <c r="L1516" s="2" t="s">
        <v>4257</v>
      </c>
      <c r="M1516" s="1"/>
      <c r="N1516" s="1"/>
      <c r="O1516" s="1"/>
      <c r="P1516" s="1"/>
      <c r="Q1516" s="1"/>
      <c r="R1516" s="1"/>
      <c r="S1516" s="1"/>
      <c r="T1516" s="1"/>
      <c r="U1516" s="1"/>
      <c r="V1516" s="1"/>
      <c r="W1516" s="1"/>
      <c r="X1516" s="1"/>
      <c r="Y1516" s="1"/>
      <c r="Z1516" s="1"/>
    </row>
    <row r="1517" spans="1:26" ht="33.75" customHeight="1">
      <c r="A1517" s="1">
        <v>1517</v>
      </c>
      <c r="B1517" s="1" t="s">
        <v>4258</v>
      </c>
      <c r="C1517" s="1" t="s">
        <v>4151</v>
      </c>
      <c r="D1517" s="4">
        <v>39897.551388888889</v>
      </c>
      <c r="E1517" s="1" t="s">
        <v>14</v>
      </c>
      <c r="F1517" s="1" t="s">
        <v>4250</v>
      </c>
      <c r="G1517" s="1" t="s">
        <v>15</v>
      </c>
      <c r="H1517" s="1" t="s">
        <v>50</v>
      </c>
      <c r="I1517" s="1" t="s">
        <v>166</v>
      </c>
      <c r="J1517" s="1"/>
      <c r="K1517" s="1" t="s">
        <v>4259</v>
      </c>
      <c r="L1517" s="2" t="s">
        <v>4260</v>
      </c>
      <c r="M1517" s="1"/>
      <c r="N1517" s="1"/>
      <c r="O1517" s="1"/>
      <c r="P1517" s="1"/>
      <c r="Q1517" s="1"/>
      <c r="R1517" s="1"/>
      <c r="S1517" s="1"/>
      <c r="T1517" s="1"/>
      <c r="U1517" s="1"/>
      <c r="V1517" s="1"/>
      <c r="W1517" s="1"/>
      <c r="X1517" s="1"/>
      <c r="Y1517" s="1"/>
      <c r="Z1517" s="1"/>
    </row>
    <row r="1518" spans="1:26" ht="33.75" customHeight="1">
      <c r="A1518" s="1">
        <v>1518</v>
      </c>
      <c r="B1518" s="1" t="s">
        <v>4261</v>
      </c>
      <c r="C1518" s="1" t="s">
        <v>4151</v>
      </c>
      <c r="D1518" s="4">
        <v>39897.649305555555</v>
      </c>
      <c r="E1518" s="1" t="s">
        <v>84</v>
      </c>
      <c r="F1518" s="1" t="s">
        <v>4250</v>
      </c>
      <c r="G1518" s="1" t="s">
        <v>15</v>
      </c>
      <c r="H1518" s="1" t="s">
        <v>50</v>
      </c>
      <c r="I1518" s="1" t="s">
        <v>166</v>
      </c>
      <c r="J1518" s="1"/>
      <c r="K1518" s="1" t="s">
        <v>4262</v>
      </c>
      <c r="L1518" s="2" t="s">
        <v>4263</v>
      </c>
      <c r="M1518" s="1"/>
      <c r="N1518" s="1"/>
      <c r="O1518" s="1"/>
      <c r="P1518" s="1"/>
      <c r="Q1518" s="1"/>
      <c r="R1518" s="1"/>
      <c r="S1518" s="1"/>
      <c r="T1518" s="1"/>
      <c r="U1518" s="1"/>
      <c r="V1518" s="1"/>
      <c r="W1518" s="1"/>
      <c r="X1518" s="1"/>
      <c r="Y1518" s="1"/>
      <c r="Z1518" s="1"/>
    </row>
    <row r="1519" spans="1:26" ht="33.75" customHeight="1">
      <c r="A1519" s="1">
        <v>1519</v>
      </c>
      <c r="B1519" s="1" t="s">
        <v>4264</v>
      </c>
      <c r="C1519" s="1" t="s">
        <v>4151</v>
      </c>
      <c r="D1519" s="4">
        <v>39897.725694444445</v>
      </c>
      <c r="E1519" s="1" t="s">
        <v>4265</v>
      </c>
      <c r="F1519" s="1"/>
      <c r="G1519" s="5" t="s">
        <v>15</v>
      </c>
      <c r="H1519" s="5" t="s">
        <v>50</v>
      </c>
      <c r="I1519" s="1" t="s">
        <v>4266</v>
      </c>
      <c r="J1519" s="1"/>
      <c r="K1519" s="1" t="s">
        <v>4267</v>
      </c>
      <c r="L1519" s="2" t="s">
        <v>4268</v>
      </c>
      <c r="M1519" s="1"/>
      <c r="N1519" s="1"/>
      <c r="O1519" s="1"/>
      <c r="P1519" s="1"/>
      <c r="Q1519" s="1"/>
      <c r="R1519" s="1"/>
      <c r="S1519" s="1"/>
      <c r="T1519" s="1"/>
      <c r="U1519" s="1"/>
      <c r="V1519" s="1"/>
      <c r="W1519" s="1"/>
      <c r="X1519" s="1"/>
      <c r="Y1519" s="1"/>
      <c r="Z1519" s="1"/>
    </row>
    <row r="1520" spans="1:26" ht="33.75" customHeight="1">
      <c r="A1520" s="1">
        <v>1396</v>
      </c>
      <c r="B1520" s="1" t="s">
        <v>4269</v>
      </c>
      <c r="C1520" s="1" t="s">
        <v>3929</v>
      </c>
      <c r="D1520" s="4">
        <v>39897.833333333336</v>
      </c>
      <c r="E1520" s="1" t="s">
        <v>772</v>
      </c>
      <c r="F1520" s="1"/>
      <c r="G1520" s="5" t="s">
        <v>26</v>
      </c>
      <c r="H1520" s="5" t="s">
        <v>133</v>
      </c>
      <c r="I1520" s="1" t="s">
        <v>28</v>
      </c>
      <c r="J1520" s="1" t="s">
        <v>134</v>
      </c>
      <c r="K1520" s="1" t="s">
        <v>4270</v>
      </c>
      <c r="L1520" s="2" t="s">
        <v>4271</v>
      </c>
      <c r="M1520" s="1"/>
      <c r="N1520" s="1"/>
      <c r="O1520" s="1"/>
      <c r="P1520" s="1"/>
      <c r="Q1520" s="1"/>
      <c r="R1520" s="1"/>
      <c r="S1520" s="1"/>
      <c r="T1520" s="1"/>
      <c r="U1520" s="1"/>
      <c r="V1520" s="1"/>
      <c r="W1520" s="1"/>
      <c r="X1520" s="1"/>
      <c r="Y1520" s="1"/>
      <c r="Z1520" s="1"/>
    </row>
    <row r="1521" spans="1:26" ht="33.75" customHeight="1">
      <c r="A1521" s="1">
        <v>1705</v>
      </c>
      <c r="B1521" s="1" t="s">
        <v>4272</v>
      </c>
      <c r="C1521" s="1" t="s">
        <v>1519</v>
      </c>
      <c r="D1521" s="4">
        <v>39856.865277777775</v>
      </c>
      <c r="E1521" s="1" t="s">
        <v>1528</v>
      </c>
      <c r="F1521" s="1"/>
      <c r="G1521" s="5" t="s">
        <v>64</v>
      </c>
      <c r="H1521" s="5" t="s">
        <v>282</v>
      </c>
      <c r="I1521" s="1" t="s">
        <v>4273</v>
      </c>
      <c r="J1521" s="1"/>
      <c r="K1521" s="1" t="s">
        <v>4274</v>
      </c>
      <c r="L1521" s="2" t="s">
        <v>4275</v>
      </c>
      <c r="M1521" s="1"/>
      <c r="N1521" s="1"/>
      <c r="O1521" s="1"/>
      <c r="P1521" s="1"/>
      <c r="Q1521" s="1"/>
      <c r="R1521" s="1"/>
      <c r="S1521" s="1"/>
      <c r="T1521" s="1"/>
      <c r="U1521" s="1"/>
      <c r="V1521" s="1"/>
      <c r="W1521" s="1"/>
      <c r="X1521" s="1"/>
      <c r="Y1521" s="1"/>
      <c r="Z1521" s="1"/>
    </row>
    <row r="1522" spans="1:26" ht="33.75" customHeight="1">
      <c r="A1522" s="1">
        <v>1513</v>
      </c>
      <c r="B1522" s="1" t="s">
        <v>4276</v>
      </c>
      <c r="C1522" s="1" t="s">
        <v>4151</v>
      </c>
      <c r="D1522" s="4">
        <v>39898.131249999999</v>
      </c>
      <c r="E1522" s="1" t="s">
        <v>110</v>
      </c>
      <c r="F1522" s="1"/>
      <c r="G1522" s="5" t="s">
        <v>33</v>
      </c>
      <c r="H1522" s="5" t="s">
        <v>34</v>
      </c>
      <c r="I1522" s="1" t="s">
        <v>35</v>
      </c>
      <c r="J1522" s="1"/>
      <c r="K1522" s="1" t="s">
        <v>4277</v>
      </c>
      <c r="L1522" s="2" t="s">
        <v>4278</v>
      </c>
      <c r="M1522" s="1"/>
      <c r="N1522" s="1"/>
      <c r="O1522" s="1"/>
      <c r="P1522" s="1"/>
      <c r="Q1522" s="1"/>
      <c r="R1522" s="1"/>
      <c r="S1522" s="1"/>
      <c r="T1522" s="1"/>
      <c r="U1522" s="1"/>
      <c r="V1522" s="1"/>
      <c r="W1522" s="1"/>
      <c r="X1522" s="1"/>
      <c r="Y1522" s="1"/>
      <c r="Z1522" s="1"/>
    </row>
    <row r="1523" spans="1:26" ht="33.75" customHeight="1">
      <c r="A1523" s="1">
        <v>1520</v>
      </c>
      <c r="B1523" s="1" t="s">
        <v>4279</v>
      </c>
      <c r="C1523" s="1" t="s">
        <v>4151</v>
      </c>
      <c r="D1523" s="4">
        <v>39898.260416666664</v>
      </c>
      <c r="E1523" s="1" t="s">
        <v>255</v>
      </c>
      <c r="F1523" s="1"/>
      <c r="G1523" s="5" t="s">
        <v>15</v>
      </c>
      <c r="H1523" s="5" t="s">
        <v>402</v>
      </c>
      <c r="I1523" s="1" t="s">
        <v>166</v>
      </c>
      <c r="J1523" s="1"/>
      <c r="K1523" s="1" t="s">
        <v>4280</v>
      </c>
      <c r="L1523" s="2" t="s">
        <v>4281</v>
      </c>
      <c r="M1523" s="1"/>
      <c r="N1523" s="1"/>
      <c r="O1523" s="1"/>
      <c r="P1523" s="1"/>
      <c r="Q1523" s="1"/>
      <c r="R1523" s="1"/>
      <c r="S1523" s="1"/>
      <c r="T1523" s="1"/>
      <c r="U1523" s="1"/>
      <c r="V1523" s="1"/>
      <c r="W1523" s="1"/>
      <c r="X1523" s="1"/>
      <c r="Y1523" s="1"/>
      <c r="Z1523" s="1"/>
    </row>
    <row r="1524" spans="1:26" ht="33.75" customHeight="1">
      <c r="A1524" s="1">
        <v>1972</v>
      </c>
      <c r="B1524" s="1" t="s">
        <v>4282</v>
      </c>
      <c r="C1524" s="1" t="s">
        <v>3800</v>
      </c>
      <c r="D1524" s="4">
        <v>39898.538888888892</v>
      </c>
      <c r="E1524" s="1" t="s">
        <v>772</v>
      </c>
      <c r="F1524" s="1" t="s">
        <v>4283</v>
      </c>
      <c r="G1524" s="5" t="s">
        <v>64</v>
      </c>
      <c r="H1524" s="1"/>
      <c r="I1524" s="1" t="s">
        <v>64</v>
      </c>
      <c r="J1524" s="1"/>
      <c r="K1524" s="1"/>
      <c r="L1524" s="2" t="s">
        <v>4284</v>
      </c>
      <c r="M1524" s="1"/>
      <c r="N1524" s="1"/>
      <c r="O1524" s="1"/>
      <c r="P1524" s="1"/>
      <c r="Q1524" s="1"/>
      <c r="R1524" s="1"/>
      <c r="S1524" s="1"/>
      <c r="T1524" s="1"/>
      <c r="U1524" s="1"/>
      <c r="V1524" s="1"/>
      <c r="W1524" s="1"/>
      <c r="X1524" s="1"/>
      <c r="Y1524" s="1"/>
      <c r="Z1524" s="1"/>
    </row>
    <row r="1525" spans="1:26" ht="33.75" customHeight="1">
      <c r="A1525" s="1">
        <v>1973</v>
      </c>
      <c r="B1525" s="1" t="s">
        <v>4285</v>
      </c>
      <c r="C1525" s="1" t="s">
        <v>3800</v>
      </c>
      <c r="D1525" s="4">
        <v>39898.54791666667</v>
      </c>
      <c r="E1525" s="1" t="s">
        <v>1887</v>
      </c>
      <c r="F1525" s="1"/>
      <c r="G1525" s="5" t="s">
        <v>64</v>
      </c>
      <c r="H1525" s="1"/>
      <c r="I1525" s="1" t="s">
        <v>64</v>
      </c>
      <c r="J1525" s="1"/>
      <c r="K1525" s="1" t="s">
        <v>4286</v>
      </c>
      <c r="L1525" s="2" t="s">
        <v>4287</v>
      </c>
      <c r="M1525" s="1"/>
      <c r="N1525" s="1"/>
      <c r="O1525" s="1"/>
      <c r="P1525" s="1"/>
      <c r="Q1525" s="1"/>
      <c r="R1525" s="1"/>
      <c r="S1525" s="1"/>
      <c r="T1525" s="1"/>
      <c r="U1525" s="1"/>
      <c r="V1525" s="1"/>
      <c r="W1525" s="1"/>
      <c r="X1525" s="1"/>
      <c r="Y1525" s="1"/>
      <c r="Z1525" s="1"/>
    </row>
    <row r="1526" spans="1:26" ht="33.75" customHeight="1">
      <c r="A1526" s="1">
        <v>1974</v>
      </c>
      <c r="B1526" s="1" t="s">
        <v>4288</v>
      </c>
      <c r="C1526" s="1" t="s">
        <v>3800</v>
      </c>
      <c r="D1526" s="4">
        <v>39898.551388888889</v>
      </c>
      <c r="E1526" s="1" t="s">
        <v>1887</v>
      </c>
      <c r="F1526" s="1"/>
      <c r="G1526" s="5" t="s">
        <v>26</v>
      </c>
      <c r="H1526" s="5" t="s">
        <v>133</v>
      </c>
      <c r="I1526" s="1" t="s">
        <v>4256</v>
      </c>
      <c r="J1526" s="1"/>
      <c r="K1526" s="1"/>
      <c r="L1526" s="2" t="s">
        <v>4289</v>
      </c>
      <c r="M1526" s="1"/>
      <c r="N1526" s="1"/>
      <c r="O1526" s="1"/>
      <c r="P1526" s="1"/>
      <c r="Q1526" s="1"/>
      <c r="R1526" s="1"/>
      <c r="S1526" s="1"/>
      <c r="T1526" s="1"/>
      <c r="U1526" s="1"/>
      <c r="V1526" s="1"/>
      <c r="W1526" s="1"/>
      <c r="X1526" s="1"/>
      <c r="Y1526" s="1"/>
      <c r="Z1526" s="1"/>
    </row>
    <row r="1527" spans="1:26" ht="33.75" customHeight="1">
      <c r="A1527" s="1">
        <v>1975</v>
      </c>
      <c r="B1527" s="1" t="s">
        <v>4290</v>
      </c>
      <c r="C1527" s="1" t="s">
        <v>3800</v>
      </c>
      <c r="D1527" s="4">
        <v>39898.695833333331</v>
      </c>
      <c r="E1527" s="1" t="s">
        <v>84</v>
      </c>
      <c r="F1527" s="1"/>
      <c r="G1527" s="5" t="s">
        <v>64</v>
      </c>
      <c r="H1527" s="1"/>
      <c r="I1527" s="1" t="s">
        <v>64</v>
      </c>
      <c r="J1527" s="1"/>
      <c r="K1527" s="1"/>
      <c r="L1527" s="2" t="s">
        <v>4291</v>
      </c>
      <c r="M1527" s="1"/>
      <c r="N1527" s="1"/>
      <c r="O1527" s="1"/>
      <c r="P1527" s="1"/>
      <c r="Q1527" s="1"/>
      <c r="R1527" s="1"/>
      <c r="S1527" s="1"/>
      <c r="T1527" s="1"/>
      <c r="U1527" s="1"/>
      <c r="V1527" s="1"/>
      <c r="W1527" s="1"/>
      <c r="X1527" s="1"/>
      <c r="Y1527" s="1"/>
      <c r="Z1527" s="1"/>
    </row>
    <row r="1528" spans="1:26" ht="33.75" customHeight="1">
      <c r="A1528" s="1">
        <v>1976</v>
      </c>
      <c r="B1528" s="1" t="s">
        <v>4292</v>
      </c>
      <c r="C1528" s="1" t="s">
        <v>3800</v>
      </c>
      <c r="D1528" s="4">
        <v>39898.697222222225</v>
      </c>
      <c r="E1528" s="1" t="s">
        <v>84</v>
      </c>
      <c r="F1528" s="1"/>
      <c r="G1528" s="5" t="s">
        <v>64</v>
      </c>
      <c r="H1528" s="5" t="s">
        <v>179</v>
      </c>
      <c r="I1528" s="1" t="s">
        <v>179</v>
      </c>
      <c r="J1528" s="1"/>
      <c r="K1528" s="1"/>
      <c r="L1528" s="2" t="s">
        <v>4293</v>
      </c>
      <c r="M1528" s="1"/>
      <c r="N1528" s="1"/>
      <c r="O1528" s="1"/>
      <c r="P1528" s="1"/>
      <c r="Q1528" s="1"/>
      <c r="R1528" s="1"/>
      <c r="S1528" s="1"/>
      <c r="T1528" s="1"/>
      <c r="U1528" s="1"/>
      <c r="V1528" s="1"/>
      <c r="W1528" s="1"/>
      <c r="X1528" s="1"/>
      <c r="Y1528" s="1"/>
      <c r="Z1528" s="1"/>
    </row>
    <row r="1529" spans="1:26" ht="33.75" customHeight="1">
      <c r="A1529" s="1">
        <v>1977</v>
      </c>
      <c r="B1529" s="1" t="s">
        <v>4294</v>
      </c>
      <c r="C1529" s="1" t="s">
        <v>3800</v>
      </c>
      <c r="D1529" s="4">
        <v>39898.700694444444</v>
      </c>
      <c r="E1529" s="1" t="s">
        <v>84</v>
      </c>
      <c r="F1529" s="1"/>
      <c r="G1529" s="5" t="s">
        <v>64</v>
      </c>
      <c r="H1529" s="5" t="s">
        <v>179</v>
      </c>
      <c r="I1529" s="1" t="s">
        <v>179</v>
      </c>
      <c r="J1529" s="1"/>
      <c r="K1529" s="1"/>
      <c r="L1529" s="2" t="s">
        <v>4295</v>
      </c>
      <c r="M1529" s="1"/>
      <c r="N1529" s="1"/>
      <c r="O1529" s="1"/>
      <c r="P1529" s="1"/>
      <c r="Q1529" s="1"/>
      <c r="R1529" s="1"/>
      <c r="S1529" s="1"/>
      <c r="T1529" s="1"/>
      <c r="U1529" s="1"/>
      <c r="V1529" s="1"/>
      <c r="W1529" s="1"/>
      <c r="X1529" s="1"/>
      <c r="Y1529" s="1"/>
      <c r="Z1529" s="1"/>
    </row>
    <row r="1530" spans="1:26" ht="33.75" customHeight="1">
      <c r="A1530" s="1">
        <v>1521</v>
      </c>
      <c r="B1530" s="1" t="s">
        <v>4296</v>
      </c>
      <c r="C1530" s="1" t="s">
        <v>4151</v>
      </c>
      <c r="D1530" s="4">
        <v>39898.803472222222</v>
      </c>
      <c r="E1530" s="1" t="s">
        <v>4297</v>
      </c>
      <c r="F1530" s="1"/>
      <c r="G1530" s="5" t="s">
        <v>15</v>
      </c>
      <c r="H1530" s="5" t="s">
        <v>50</v>
      </c>
      <c r="I1530" s="1" t="s">
        <v>166</v>
      </c>
      <c r="J1530" s="1"/>
      <c r="K1530" s="1" t="s">
        <v>4298</v>
      </c>
      <c r="L1530" s="2" t="s">
        <v>4299</v>
      </c>
      <c r="M1530" s="1"/>
      <c r="N1530" s="1"/>
      <c r="O1530" s="1"/>
      <c r="P1530" s="1"/>
      <c r="Q1530" s="1"/>
      <c r="R1530" s="1"/>
      <c r="S1530" s="1"/>
      <c r="T1530" s="1"/>
      <c r="U1530" s="1"/>
      <c r="V1530" s="1"/>
      <c r="W1530" s="1"/>
      <c r="X1530" s="1"/>
      <c r="Y1530" s="1"/>
      <c r="Z1530" s="1"/>
    </row>
    <row r="1531" spans="1:26" ht="33.75" customHeight="1">
      <c r="A1531" s="1">
        <v>1978</v>
      </c>
      <c r="B1531" s="1" t="s">
        <v>4300</v>
      </c>
      <c r="C1531" s="1" t="s">
        <v>3800</v>
      </c>
      <c r="D1531" s="4">
        <v>39898.821527777778</v>
      </c>
      <c r="E1531" s="1" t="s">
        <v>84</v>
      </c>
      <c r="F1531" s="1"/>
      <c r="G1531" s="5" t="s">
        <v>64</v>
      </c>
      <c r="H1531" s="5" t="s">
        <v>179</v>
      </c>
      <c r="I1531" s="1" t="s">
        <v>179</v>
      </c>
      <c r="J1531" s="1"/>
      <c r="K1531" s="1"/>
      <c r="L1531" s="2" t="s">
        <v>4301</v>
      </c>
      <c r="M1531" s="1"/>
      <c r="N1531" s="1"/>
      <c r="O1531" s="1"/>
      <c r="P1531" s="1"/>
      <c r="Q1531" s="1"/>
      <c r="R1531" s="1"/>
      <c r="S1531" s="1"/>
      <c r="T1531" s="1"/>
      <c r="U1531" s="1"/>
      <c r="V1531" s="1"/>
      <c r="W1531" s="1"/>
      <c r="X1531" s="1"/>
      <c r="Y1531" s="1"/>
      <c r="Z1531" s="1"/>
    </row>
    <row r="1532" spans="1:26" ht="33.75" customHeight="1">
      <c r="A1532" s="1">
        <v>1979</v>
      </c>
      <c r="B1532" s="1" t="s">
        <v>4302</v>
      </c>
      <c r="C1532" s="1" t="s">
        <v>3800</v>
      </c>
      <c r="D1532" s="4">
        <v>39898.841666666667</v>
      </c>
      <c r="E1532" s="1" t="s">
        <v>1089</v>
      </c>
      <c r="F1532" s="1"/>
      <c r="G1532" s="5" t="s">
        <v>64</v>
      </c>
      <c r="H1532" s="1"/>
      <c r="I1532" s="1" t="s">
        <v>64</v>
      </c>
      <c r="J1532" s="1"/>
      <c r="K1532" s="1"/>
      <c r="L1532" s="2" t="s">
        <v>4303</v>
      </c>
      <c r="M1532" s="1"/>
      <c r="N1532" s="1"/>
      <c r="O1532" s="1"/>
      <c r="P1532" s="1"/>
      <c r="Q1532" s="1"/>
      <c r="R1532" s="1"/>
      <c r="S1532" s="1"/>
      <c r="T1532" s="1"/>
      <c r="U1532" s="1"/>
      <c r="V1532" s="1"/>
      <c r="W1532" s="1"/>
      <c r="X1532" s="1"/>
      <c r="Y1532" s="1"/>
      <c r="Z1532" s="1"/>
    </row>
    <row r="1533" spans="1:26" ht="33.75" customHeight="1">
      <c r="A1533" s="1">
        <v>1980</v>
      </c>
      <c r="B1533" s="1" t="s">
        <v>4304</v>
      </c>
      <c r="C1533" s="1" t="s">
        <v>3800</v>
      </c>
      <c r="D1533" s="4">
        <v>39898.878472222219</v>
      </c>
      <c r="E1533" s="1" t="s">
        <v>84</v>
      </c>
      <c r="F1533" s="1"/>
      <c r="G1533" s="5" t="s">
        <v>64</v>
      </c>
      <c r="H1533" s="1"/>
      <c r="I1533" s="1" t="s">
        <v>64</v>
      </c>
      <c r="J1533" s="1"/>
      <c r="K1533" s="1"/>
      <c r="L1533" s="2" t="s">
        <v>4305</v>
      </c>
      <c r="M1533" s="1"/>
      <c r="N1533" s="1"/>
      <c r="O1533" s="1"/>
      <c r="P1533" s="1"/>
      <c r="Q1533" s="1"/>
      <c r="R1533" s="1"/>
      <c r="S1533" s="1"/>
      <c r="T1533" s="1"/>
      <c r="U1533" s="1"/>
      <c r="V1533" s="1"/>
      <c r="W1533" s="1"/>
      <c r="X1533" s="1"/>
      <c r="Y1533" s="1"/>
      <c r="Z1533" s="1"/>
    </row>
    <row r="1534" spans="1:26" ht="33.75" customHeight="1">
      <c r="A1534" s="1">
        <v>1981</v>
      </c>
      <c r="B1534" s="1" t="s">
        <v>4306</v>
      </c>
      <c r="C1534" s="1" t="s">
        <v>3800</v>
      </c>
      <c r="D1534" s="4">
        <v>39898.957638888889</v>
      </c>
      <c r="E1534" s="1" t="s">
        <v>84</v>
      </c>
      <c r="F1534" s="1"/>
      <c r="G1534" s="5" t="s">
        <v>64</v>
      </c>
      <c r="H1534" s="1"/>
      <c r="I1534" s="1" t="s">
        <v>64</v>
      </c>
      <c r="J1534" s="1"/>
      <c r="K1534" s="1"/>
      <c r="L1534" s="2" t="s">
        <v>4307</v>
      </c>
      <c r="M1534" s="1"/>
      <c r="N1534" s="1"/>
      <c r="O1534" s="1"/>
      <c r="P1534" s="1"/>
      <c r="Q1534" s="1"/>
      <c r="R1534" s="1"/>
      <c r="S1534" s="1"/>
      <c r="T1534" s="1"/>
      <c r="U1534" s="1"/>
      <c r="V1534" s="1"/>
      <c r="W1534" s="1"/>
      <c r="X1534" s="1"/>
      <c r="Y1534" s="1"/>
      <c r="Z1534" s="1"/>
    </row>
    <row r="1535" spans="1:26" ht="33.75" customHeight="1">
      <c r="A1535" s="1">
        <v>1982</v>
      </c>
      <c r="B1535" s="1" t="s">
        <v>4308</v>
      </c>
      <c r="C1535" s="1" t="s">
        <v>3800</v>
      </c>
      <c r="D1535" s="4">
        <v>39898.964583333334</v>
      </c>
      <c r="E1535" s="1" t="s">
        <v>1887</v>
      </c>
      <c r="F1535" s="1"/>
      <c r="G1535" s="5" t="s">
        <v>26</v>
      </c>
      <c r="H1535" s="5" t="s">
        <v>133</v>
      </c>
      <c r="I1535" s="1" t="s">
        <v>28</v>
      </c>
      <c r="J1535" s="1" t="s">
        <v>134</v>
      </c>
      <c r="K1535" s="1"/>
      <c r="L1535" s="2" t="s">
        <v>4309</v>
      </c>
      <c r="M1535" s="1"/>
      <c r="N1535" s="1"/>
      <c r="O1535" s="1"/>
      <c r="P1535" s="1"/>
      <c r="Q1535" s="1"/>
      <c r="R1535" s="1"/>
      <c r="S1535" s="1"/>
      <c r="T1535" s="1"/>
      <c r="U1535" s="1"/>
      <c r="V1535" s="1"/>
      <c r="W1535" s="1"/>
      <c r="X1535" s="1"/>
      <c r="Y1535" s="1"/>
      <c r="Z1535" s="1"/>
    </row>
    <row r="1536" spans="1:26" ht="33.75" customHeight="1">
      <c r="A1536" s="1">
        <v>1983</v>
      </c>
      <c r="B1536" s="1" t="s">
        <v>4310</v>
      </c>
      <c r="C1536" s="1" t="s">
        <v>3800</v>
      </c>
      <c r="D1536" s="4">
        <v>39898.96597222222</v>
      </c>
      <c r="E1536" s="1" t="s">
        <v>1887</v>
      </c>
      <c r="F1536" s="1"/>
      <c r="G1536" s="5" t="s">
        <v>26</v>
      </c>
      <c r="H1536" s="5" t="s">
        <v>133</v>
      </c>
      <c r="I1536" s="1" t="s">
        <v>4311</v>
      </c>
      <c r="J1536" s="1"/>
      <c r="K1536" s="1" t="s">
        <v>4312</v>
      </c>
      <c r="L1536" s="2" t="s">
        <v>4313</v>
      </c>
      <c r="M1536" s="1"/>
      <c r="N1536" s="1"/>
      <c r="O1536" s="1"/>
      <c r="P1536" s="1"/>
      <c r="Q1536" s="1"/>
      <c r="R1536" s="1"/>
      <c r="S1536" s="1"/>
      <c r="T1536" s="1"/>
      <c r="U1536" s="1"/>
      <c r="V1536" s="1"/>
      <c r="W1536" s="1"/>
      <c r="X1536" s="1"/>
      <c r="Y1536" s="1"/>
      <c r="Z1536" s="1"/>
    </row>
    <row r="1537" spans="1:26" ht="33.75" customHeight="1">
      <c r="A1537" s="1">
        <v>1523</v>
      </c>
      <c r="B1537" s="1" t="s">
        <v>4314</v>
      </c>
      <c r="C1537" s="1" t="s">
        <v>4151</v>
      </c>
      <c r="D1537" s="4">
        <v>39899.057638888888</v>
      </c>
      <c r="E1537" s="1" t="s">
        <v>435</v>
      </c>
      <c r="F1537" s="1"/>
      <c r="G1537" s="5" t="s">
        <v>15</v>
      </c>
      <c r="H1537" s="5" t="s">
        <v>50</v>
      </c>
      <c r="I1537" s="1" t="s">
        <v>166</v>
      </c>
      <c r="J1537" s="1"/>
      <c r="K1537" s="1" t="s">
        <v>4315</v>
      </c>
      <c r="L1537" s="2" t="s">
        <v>4316</v>
      </c>
      <c r="M1537" s="1"/>
      <c r="N1537" s="1"/>
      <c r="O1537" s="1"/>
      <c r="P1537" s="1"/>
      <c r="Q1537" s="1"/>
      <c r="R1537" s="1"/>
      <c r="S1537" s="1"/>
      <c r="T1537" s="1"/>
      <c r="U1537" s="1"/>
      <c r="V1537" s="1"/>
      <c r="W1537" s="1"/>
      <c r="X1537" s="1"/>
      <c r="Y1537" s="1"/>
      <c r="Z1537" s="1"/>
    </row>
    <row r="1538" spans="1:26" ht="33.75" customHeight="1">
      <c r="A1538" s="1">
        <v>1524</v>
      </c>
      <c r="B1538" s="1" t="s">
        <v>4317</v>
      </c>
      <c r="C1538" s="1" t="s">
        <v>4151</v>
      </c>
      <c r="D1538" s="4">
        <v>39899.276388888888</v>
      </c>
      <c r="E1538" s="1" t="s">
        <v>688</v>
      </c>
      <c r="F1538" s="1" t="s">
        <v>4318</v>
      </c>
      <c r="G1538" s="5" t="s">
        <v>26</v>
      </c>
      <c r="H1538" s="5" t="s">
        <v>133</v>
      </c>
      <c r="I1538" s="1" t="s">
        <v>166</v>
      </c>
      <c r="J1538" s="1"/>
      <c r="K1538" s="1" t="s">
        <v>4319</v>
      </c>
      <c r="L1538" s="2" t="s">
        <v>4320</v>
      </c>
      <c r="M1538" s="1"/>
      <c r="N1538" s="1"/>
      <c r="O1538" s="1"/>
      <c r="P1538" s="1"/>
      <c r="Q1538" s="1"/>
      <c r="R1538" s="1"/>
      <c r="S1538" s="1"/>
      <c r="T1538" s="1"/>
      <c r="U1538" s="1"/>
      <c r="V1538" s="1"/>
      <c r="W1538" s="1"/>
      <c r="X1538" s="1"/>
      <c r="Y1538" s="1"/>
      <c r="Z1538" s="1"/>
    </row>
    <row r="1539" spans="1:26" ht="33.75" customHeight="1">
      <c r="A1539" s="1">
        <v>1984</v>
      </c>
      <c r="B1539" s="1" t="s">
        <v>4321</v>
      </c>
      <c r="C1539" s="1" t="s">
        <v>3800</v>
      </c>
      <c r="D1539" s="4">
        <v>39899.493055555555</v>
      </c>
      <c r="E1539" s="1" t="s">
        <v>84</v>
      </c>
      <c r="F1539" s="1"/>
      <c r="G1539" s="5" t="s">
        <v>33</v>
      </c>
      <c r="H1539" s="5" t="s">
        <v>34</v>
      </c>
      <c r="I1539" s="1" t="s">
        <v>1605</v>
      </c>
      <c r="J1539" s="1"/>
      <c r="K1539" s="1"/>
      <c r="L1539" s="2" t="s">
        <v>4322</v>
      </c>
      <c r="M1539" s="1"/>
      <c r="N1539" s="1"/>
      <c r="O1539" s="1"/>
      <c r="P1539" s="1"/>
      <c r="Q1539" s="1"/>
      <c r="R1539" s="1"/>
      <c r="S1539" s="1"/>
      <c r="T1539" s="1"/>
      <c r="U1539" s="1"/>
      <c r="V1539" s="1"/>
      <c r="W1539" s="1"/>
      <c r="X1539" s="1"/>
      <c r="Y1539" s="1"/>
      <c r="Z1539" s="1"/>
    </row>
    <row r="1540" spans="1:26" ht="33.75" customHeight="1">
      <c r="A1540" s="1">
        <v>1985</v>
      </c>
      <c r="B1540" s="1" t="s">
        <v>4323</v>
      </c>
      <c r="C1540" s="1" t="s">
        <v>3800</v>
      </c>
      <c r="D1540" s="4">
        <v>39899.518750000003</v>
      </c>
      <c r="E1540" s="1" t="s">
        <v>772</v>
      </c>
      <c r="F1540" s="1"/>
      <c r="G1540" s="5" t="s">
        <v>64</v>
      </c>
      <c r="H1540" s="1"/>
      <c r="I1540" s="1" t="s">
        <v>64</v>
      </c>
      <c r="J1540" s="1"/>
      <c r="K1540" s="1"/>
      <c r="L1540" s="2" t="s">
        <v>4324</v>
      </c>
      <c r="M1540" s="1"/>
      <c r="N1540" s="1"/>
      <c r="O1540" s="1"/>
      <c r="P1540" s="1"/>
      <c r="Q1540" s="1"/>
      <c r="R1540" s="1"/>
      <c r="S1540" s="1"/>
      <c r="T1540" s="1"/>
      <c r="U1540" s="1"/>
      <c r="V1540" s="1"/>
      <c r="W1540" s="1"/>
      <c r="X1540" s="1"/>
      <c r="Y1540" s="1"/>
      <c r="Z1540" s="1"/>
    </row>
    <row r="1541" spans="1:26" ht="33.75" customHeight="1">
      <c r="A1541" s="1">
        <v>1986</v>
      </c>
      <c r="B1541" s="1" t="s">
        <v>4325</v>
      </c>
      <c r="C1541" s="1" t="s">
        <v>3800</v>
      </c>
      <c r="D1541" s="4">
        <v>39899.522222222222</v>
      </c>
      <c r="E1541" s="1" t="s">
        <v>772</v>
      </c>
      <c r="F1541" s="1"/>
      <c r="G1541" s="5" t="s">
        <v>64</v>
      </c>
      <c r="H1541" s="1"/>
      <c r="I1541" s="1" t="s">
        <v>64</v>
      </c>
      <c r="J1541" s="1"/>
      <c r="K1541" s="1" t="s">
        <v>4326</v>
      </c>
      <c r="L1541" s="2" t="s">
        <v>4327</v>
      </c>
      <c r="M1541" s="1"/>
      <c r="N1541" s="1"/>
      <c r="O1541" s="1"/>
      <c r="P1541" s="1"/>
      <c r="Q1541" s="1"/>
      <c r="R1541" s="1"/>
      <c r="S1541" s="1"/>
      <c r="T1541" s="1"/>
      <c r="U1541" s="1"/>
      <c r="V1541" s="1"/>
      <c r="W1541" s="1"/>
      <c r="X1541" s="1"/>
      <c r="Y1541" s="1"/>
      <c r="Z1541" s="1"/>
    </row>
    <row r="1542" spans="1:26" ht="33.75" customHeight="1">
      <c r="A1542" s="1">
        <v>1525</v>
      </c>
      <c r="B1542" s="1" t="s">
        <v>4328</v>
      </c>
      <c r="C1542" s="1" t="s">
        <v>4151</v>
      </c>
      <c r="D1542" s="4">
        <v>39899.665277777778</v>
      </c>
      <c r="E1542" s="1" t="s">
        <v>435</v>
      </c>
      <c r="F1542" s="1" t="s">
        <v>4329</v>
      </c>
      <c r="G1542" s="5" t="s">
        <v>15</v>
      </c>
      <c r="H1542" s="5" t="s">
        <v>50</v>
      </c>
      <c r="I1542" s="1" t="s">
        <v>166</v>
      </c>
      <c r="J1542" s="1"/>
      <c r="K1542" s="1" t="s">
        <v>4330</v>
      </c>
      <c r="L1542" s="2" t="s">
        <v>4331</v>
      </c>
      <c r="M1542" s="1"/>
      <c r="N1542" s="1"/>
      <c r="O1542" s="1"/>
      <c r="P1542" s="1"/>
      <c r="Q1542" s="1"/>
      <c r="R1542" s="1"/>
      <c r="S1542" s="1"/>
      <c r="T1542" s="1"/>
      <c r="U1542" s="1"/>
      <c r="V1542" s="1"/>
      <c r="W1542" s="1"/>
      <c r="X1542" s="1"/>
      <c r="Y1542" s="1"/>
      <c r="Z1542" s="1"/>
    </row>
    <row r="1543" spans="1:26" ht="33.75" customHeight="1">
      <c r="A1543" s="1">
        <v>1526</v>
      </c>
      <c r="B1543" s="1" t="s">
        <v>4332</v>
      </c>
      <c r="C1543" s="1" t="s">
        <v>4151</v>
      </c>
      <c r="D1543" s="4">
        <v>39899.691666666666</v>
      </c>
      <c r="E1543" s="1" t="s">
        <v>14</v>
      </c>
      <c r="F1543" s="1" t="s">
        <v>4328</v>
      </c>
      <c r="G1543" s="5" t="s">
        <v>15</v>
      </c>
      <c r="H1543" s="5" t="s">
        <v>50</v>
      </c>
      <c r="I1543" s="1" t="s">
        <v>166</v>
      </c>
      <c r="J1543" s="1"/>
      <c r="K1543" s="1" t="s">
        <v>4333</v>
      </c>
      <c r="L1543" s="2" t="s">
        <v>4334</v>
      </c>
      <c r="M1543" s="1"/>
      <c r="N1543" s="1"/>
      <c r="O1543" s="1"/>
      <c r="P1543" s="1"/>
      <c r="Q1543" s="1"/>
      <c r="R1543" s="1"/>
      <c r="S1543" s="1"/>
      <c r="T1543" s="1"/>
      <c r="U1543" s="1"/>
      <c r="V1543" s="1"/>
      <c r="W1543" s="1"/>
      <c r="X1543" s="1"/>
      <c r="Y1543" s="1"/>
      <c r="Z1543" s="1"/>
    </row>
    <row r="1544" spans="1:26" ht="33.75" customHeight="1">
      <c r="A1544" s="1">
        <v>1527</v>
      </c>
      <c r="B1544" s="1" t="s">
        <v>4335</v>
      </c>
      <c r="C1544" s="1" t="s">
        <v>4151</v>
      </c>
      <c r="D1544" s="4">
        <v>39899.77847222222</v>
      </c>
      <c r="E1544" s="1" t="s">
        <v>255</v>
      </c>
      <c r="F1544" s="1" t="s">
        <v>4332</v>
      </c>
      <c r="G1544" s="5" t="s">
        <v>15</v>
      </c>
      <c r="H1544" s="5" t="s">
        <v>50</v>
      </c>
      <c r="I1544" s="1" t="s">
        <v>166</v>
      </c>
      <c r="J1544" s="1"/>
      <c r="K1544" s="1" t="s">
        <v>4336</v>
      </c>
      <c r="L1544" s="2" t="s">
        <v>4337</v>
      </c>
      <c r="M1544" s="1"/>
      <c r="N1544" s="1"/>
      <c r="O1544" s="1"/>
      <c r="P1544" s="1"/>
      <c r="Q1544" s="1"/>
      <c r="R1544" s="1"/>
      <c r="S1544" s="1"/>
      <c r="T1544" s="1"/>
      <c r="U1544" s="1"/>
      <c r="V1544" s="1"/>
      <c r="W1544" s="1"/>
      <c r="X1544" s="1"/>
      <c r="Y1544" s="1"/>
      <c r="Z1544" s="1"/>
    </row>
    <row r="1545" spans="1:26" ht="33.75" customHeight="1">
      <c r="A1545" s="1">
        <v>1528</v>
      </c>
      <c r="B1545" s="1" t="s">
        <v>4338</v>
      </c>
      <c r="C1545" s="1" t="s">
        <v>4151</v>
      </c>
      <c r="D1545" s="4">
        <v>39899.79583333333</v>
      </c>
      <c r="E1545" s="1" t="s">
        <v>4297</v>
      </c>
      <c r="F1545" s="1" t="s">
        <v>4328</v>
      </c>
      <c r="G1545" s="5" t="s">
        <v>15</v>
      </c>
      <c r="H1545" s="5" t="s">
        <v>50</v>
      </c>
      <c r="I1545" s="1" t="s">
        <v>166</v>
      </c>
      <c r="J1545" s="1"/>
      <c r="K1545" s="1" t="s">
        <v>4339</v>
      </c>
      <c r="L1545" s="2" t="s">
        <v>4340</v>
      </c>
      <c r="M1545" s="1"/>
      <c r="N1545" s="1"/>
      <c r="O1545" s="1"/>
      <c r="P1545" s="1"/>
      <c r="Q1545" s="1"/>
      <c r="R1545" s="1"/>
      <c r="S1545" s="1"/>
      <c r="T1545" s="1"/>
      <c r="U1545" s="1"/>
      <c r="V1545" s="1"/>
      <c r="W1545" s="1"/>
      <c r="X1545" s="1"/>
      <c r="Y1545" s="1"/>
      <c r="Z1545" s="1"/>
    </row>
    <row r="1546" spans="1:26" ht="33.75" customHeight="1">
      <c r="A1546" s="1">
        <v>1397</v>
      </c>
      <c r="B1546" s="1" t="s">
        <v>4341</v>
      </c>
      <c r="C1546" s="1" t="s">
        <v>3929</v>
      </c>
      <c r="D1546" s="4">
        <v>39899.810416666667</v>
      </c>
      <c r="E1546" s="1" t="s">
        <v>14</v>
      </c>
      <c r="F1546" s="1"/>
      <c r="G1546" s="5" t="s">
        <v>64</v>
      </c>
      <c r="H1546" s="1"/>
      <c r="I1546" s="1" t="s">
        <v>64</v>
      </c>
      <c r="J1546" s="1"/>
      <c r="K1546" s="1"/>
      <c r="L1546" s="2" t="s">
        <v>4342</v>
      </c>
      <c r="M1546" s="1"/>
      <c r="N1546" s="1"/>
      <c r="O1546" s="1"/>
      <c r="P1546" s="1"/>
      <c r="Q1546" s="1"/>
      <c r="R1546" s="1"/>
      <c r="S1546" s="1"/>
      <c r="T1546" s="1"/>
      <c r="U1546" s="1"/>
      <c r="V1546" s="1"/>
      <c r="W1546" s="1"/>
      <c r="X1546" s="1"/>
      <c r="Y1546" s="1"/>
      <c r="Z1546" s="1"/>
    </row>
    <row r="1547" spans="1:26" ht="33.75" customHeight="1">
      <c r="A1547" s="1">
        <v>1398</v>
      </c>
      <c r="B1547" s="1" t="s">
        <v>4343</v>
      </c>
      <c r="C1547" s="1" t="s">
        <v>3929</v>
      </c>
      <c r="D1547" s="4">
        <v>39899.811805555553</v>
      </c>
      <c r="E1547" s="1" t="s">
        <v>14</v>
      </c>
      <c r="F1547" s="1"/>
      <c r="G1547" s="5" t="s">
        <v>15</v>
      </c>
      <c r="H1547" s="5" t="s">
        <v>140</v>
      </c>
      <c r="I1547" s="1" t="s">
        <v>35</v>
      </c>
      <c r="J1547" s="1"/>
      <c r="K1547" s="1" t="s">
        <v>4344</v>
      </c>
      <c r="L1547" s="2" t="s">
        <v>4345</v>
      </c>
      <c r="M1547" s="1"/>
      <c r="N1547" s="1"/>
      <c r="O1547" s="1"/>
      <c r="P1547" s="1"/>
      <c r="Q1547" s="1"/>
      <c r="R1547" s="1"/>
      <c r="S1547" s="1"/>
      <c r="T1547" s="1"/>
      <c r="U1547" s="1"/>
      <c r="V1547" s="1"/>
      <c r="W1547" s="1"/>
      <c r="X1547" s="1"/>
      <c r="Y1547" s="1"/>
      <c r="Z1547" s="1"/>
    </row>
    <row r="1548" spans="1:26" ht="33.75" customHeight="1">
      <c r="A1548" s="1">
        <v>1399</v>
      </c>
      <c r="B1548" s="1" t="s">
        <v>4346</v>
      </c>
      <c r="C1548" s="1" t="s">
        <v>3929</v>
      </c>
      <c r="D1548" s="4">
        <v>39900.013888888891</v>
      </c>
      <c r="E1548" s="1" t="s">
        <v>320</v>
      </c>
      <c r="F1548" s="1" t="s">
        <v>4343</v>
      </c>
      <c r="G1548" s="5" t="s">
        <v>15</v>
      </c>
      <c r="H1548" s="5" t="s">
        <v>140</v>
      </c>
      <c r="I1548" s="1" t="s">
        <v>35</v>
      </c>
      <c r="J1548" s="1"/>
      <c r="K1548" s="1" t="s">
        <v>4347</v>
      </c>
      <c r="L1548" s="2" t="s">
        <v>4348</v>
      </c>
      <c r="M1548" s="1"/>
      <c r="N1548" s="1"/>
      <c r="O1548" s="1"/>
      <c r="P1548" s="1"/>
      <c r="Q1548" s="1"/>
      <c r="R1548" s="1"/>
      <c r="S1548" s="1"/>
      <c r="T1548" s="1"/>
      <c r="U1548" s="1"/>
      <c r="V1548" s="1"/>
      <c r="W1548" s="1"/>
      <c r="X1548" s="1"/>
      <c r="Y1548" s="1"/>
      <c r="Z1548" s="1"/>
    </row>
    <row r="1549" spans="1:26" ht="33.75" customHeight="1">
      <c r="A1549" s="1">
        <v>1987</v>
      </c>
      <c r="B1549" s="1" t="s">
        <v>4349</v>
      </c>
      <c r="C1549" s="1" t="s">
        <v>3800</v>
      </c>
      <c r="D1549" s="4">
        <v>39900.065972222219</v>
      </c>
      <c r="E1549" s="1" t="s">
        <v>1887</v>
      </c>
      <c r="F1549" s="1"/>
      <c r="G1549" s="5" t="s">
        <v>64</v>
      </c>
      <c r="H1549" s="1"/>
      <c r="I1549" s="1" t="s">
        <v>64</v>
      </c>
      <c r="J1549" s="1"/>
      <c r="K1549" s="1"/>
      <c r="L1549" s="2" t="s">
        <v>4350</v>
      </c>
      <c r="M1549" s="1"/>
      <c r="N1549" s="1"/>
      <c r="O1549" s="1"/>
      <c r="P1549" s="1"/>
      <c r="Q1549" s="1"/>
      <c r="R1549" s="1"/>
      <c r="S1549" s="1"/>
      <c r="T1549" s="1"/>
      <c r="U1549" s="1"/>
      <c r="V1549" s="1"/>
      <c r="W1549" s="1"/>
      <c r="X1549" s="1"/>
      <c r="Y1549" s="1"/>
      <c r="Z1549" s="1"/>
    </row>
    <row r="1550" spans="1:26" ht="33.75" customHeight="1">
      <c r="A1550" s="1">
        <v>1529</v>
      </c>
      <c r="B1550" s="1" t="s">
        <v>4351</v>
      </c>
      <c r="C1550" s="1" t="s">
        <v>4151</v>
      </c>
      <c r="D1550" s="4">
        <v>39900.122916666667</v>
      </c>
      <c r="E1550" s="1" t="s">
        <v>435</v>
      </c>
      <c r="F1550" s="1"/>
      <c r="G1550" s="5" t="s">
        <v>26</v>
      </c>
      <c r="H1550" s="5" t="s">
        <v>27</v>
      </c>
      <c r="I1550" s="1" t="s">
        <v>28</v>
      </c>
      <c r="J1550" s="1" t="s">
        <v>29</v>
      </c>
      <c r="K1550" s="1" t="s">
        <v>4352</v>
      </c>
      <c r="L1550" s="2" t="s">
        <v>4353</v>
      </c>
      <c r="M1550" s="1"/>
      <c r="N1550" s="1"/>
      <c r="O1550" s="1"/>
      <c r="P1550" s="1"/>
      <c r="Q1550" s="1"/>
      <c r="R1550" s="1"/>
      <c r="S1550" s="1"/>
      <c r="T1550" s="1"/>
      <c r="U1550" s="1"/>
      <c r="V1550" s="1"/>
      <c r="W1550" s="1"/>
      <c r="X1550" s="1"/>
      <c r="Y1550" s="1"/>
      <c r="Z1550" s="1"/>
    </row>
    <row r="1551" spans="1:26" ht="33.75" customHeight="1">
      <c r="A1551" s="1">
        <v>1988</v>
      </c>
      <c r="B1551" s="1" t="s">
        <v>4354</v>
      </c>
      <c r="C1551" s="1" t="s">
        <v>3800</v>
      </c>
      <c r="D1551" s="4">
        <v>39900.23333333333</v>
      </c>
      <c r="E1551" s="1" t="s">
        <v>84</v>
      </c>
      <c r="F1551" s="1"/>
      <c r="G1551" s="5" t="s">
        <v>33</v>
      </c>
      <c r="H1551" s="5" t="s">
        <v>34</v>
      </c>
      <c r="I1551" s="1" t="s">
        <v>1605</v>
      </c>
      <c r="J1551" s="1"/>
      <c r="K1551" s="1"/>
      <c r="L1551" s="2" t="s">
        <v>4355</v>
      </c>
      <c r="M1551" s="1"/>
      <c r="N1551" s="1"/>
      <c r="O1551" s="1"/>
      <c r="P1551" s="1"/>
      <c r="Q1551" s="1"/>
      <c r="R1551" s="1"/>
      <c r="S1551" s="1"/>
      <c r="T1551" s="1"/>
      <c r="U1551" s="1"/>
      <c r="V1551" s="1"/>
      <c r="W1551" s="1"/>
      <c r="X1551" s="1"/>
      <c r="Y1551" s="1"/>
      <c r="Z1551" s="1"/>
    </row>
    <row r="1552" spans="1:26" ht="33.75" customHeight="1">
      <c r="A1552" s="1">
        <v>1989</v>
      </c>
      <c r="B1552" s="1" t="s">
        <v>4356</v>
      </c>
      <c r="C1552" s="1" t="s">
        <v>3800</v>
      </c>
      <c r="D1552" s="4">
        <v>39900.422222222223</v>
      </c>
      <c r="E1552" s="1" t="s">
        <v>1089</v>
      </c>
      <c r="F1552" s="1"/>
      <c r="G1552" s="5" t="s">
        <v>15</v>
      </c>
      <c r="H1552" s="5" t="s">
        <v>402</v>
      </c>
      <c r="I1552" s="1" t="s">
        <v>576</v>
      </c>
      <c r="J1552" s="1"/>
      <c r="K1552" s="1"/>
      <c r="L1552" s="2" t="s">
        <v>4357</v>
      </c>
      <c r="M1552" s="1"/>
      <c r="N1552" s="1"/>
      <c r="O1552" s="1"/>
      <c r="P1552" s="1"/>
      <c r="Q1552" s="1"/>
      <c r="R1552" s="1"/>
      <c r="S1552" s="1"/>
      <c r="T1552" s="1"/>
      <c r="U1552" s="1"/>
      <c r="V1552" s="1"/>
      <c r="W1552" s="1"/>
      <c r="X1552" s="1"/>
      <c r="Y1552" s="1"/>
      <c r="Z1552" s="1"/>
    </row>
    <row r="1553" spans="1:26" ht="33.75" customHeight="1">
      <c r="A1553" s="1">
        <v>1990</v>
      </c>
      <c r="B1553" s="1" t="s">
        <v>4358</v>
      </c>
      <c r="C1553" s="1" t="s">
        <v>3800</v>
      </c>
      <c r="D1553" s="4">
        <v>39900.45416666667</v>
      </c>
      <c r="E1553" s="1" t="s">
        <v>1887</v>
      </c>
      <c r="F1553" s="1"/>
      <c r="G1553" s="5" t="s">
        <v>64</v>
      </c>
      <c r="H1553" s="1"/>
      <c r="I1553" s="1" t="s">
        <v>64</v>
      </c>
      <c r="J1553" s="1"/>
      <c r="K1553" s="1"/>
      <c r="L1553" s="2" t="s">
        <v>4359</v>
      </c>
      <c r="M1553" s="1"/>
      <c r="N1553" s="1"/>
      <c r="O1553" s="1"/>
      <c r="P1553" s="1"/>
      <c r="Q1553" s="1"/>
      <c r="R1553" s="1"/>
      <c r="S1553" s="1"/>
      <c r="T1553" s="1"/>
      <c r="U1553" s="1"/>
      <c r="V1553" s="1"/>
      <c r="W1553" s="1"/>
      <c r="X1553" s="1"/>
      <c r="Y1553" s="1"/>
      <c r="Z1553" s="1"/>
    </row>
    <row r="1554" spans="1:26" ht="33.75" customHeight="1">
      <c r="A1554" s="1">
        <v>1991</v>
      </c>
      <c r="B1554" s="1" t="s">
        <v>4360</v>
      </c>
      <c r="C1554" s="1" t="s">
        <v>3800</v>
      </c>
      <c r="D1554" s="4">
        <v>39900.538888888892</v>
      </c>
      <c r="E1554" s="1" t="s">
        <v>772</v>
      </c>
      <c r="F1554" s="1"/>
      <c r="G1554" s="5" t="s">
        <v>64</v>
      </c>
      <c r="H1554" s="1"/>
      <c r="I1554" s="1" t="s">
        <v>64</v>
      </c>
      <c r="J1554" s="1"/>
      <c r="K1554" s="1"/>
      <c r="L1554" s="2" t="s">
        <v>4361</v>
      </c>
      <c r="M1554" s="1"/>
      <c r="N1554" s="1"/>
      <c r="O1554" s="1"/>
      <c r="P1554" s="1"/>
      <c r="Q1554" s="1"/>
      <c r="R1554" s="1"/>
      <c r="S1554" s="1"/>
      <c r="T1554" s="1"/>
      <c r="U1554" s="1"/>
      <c r="V1554" s="1"/>
      <c r="W1554" s="1"/>
      <c r="X1554" s="1"/>
      <c r="Y1554" s="1"/>
      <c r="Z1554" s="1"/>
    </row>
    <row r="1555" spans="1:26" ht="33.75" customHeight="1">
      <c r="A1555" s="1">
        <v>1530</v>
      </c>
      <c r="B1555" s="1" t="s">
        <v>4362</v>
      </c>
      <c r="C1555" s="1" t="s">
        <v>4151</v>
      </c>
      <c r="D1555" s="4">
        <v>39900.777777777781</v>
      </c>
      <c r="E1555" s="1" t="s">
        <v>1887</v>
      </c>
      <c r="F1555" s="1"/>
      <c r="G1555" s="5" t="s">
        <v>15</v>
      </c>
      <c r="H1555" s="5" t="s">
        <v>50</v>
      </c>
      <c r="I1555" s="1" t="s">
        <v>166</v>
      </c>
      <c r="J1555" s="1"/>
      <c r="K1555" s="1" t="s">
        <v>4363</v>
      </c>
      <c r="L1555" s="2" t="s">
        <v>4364</v>
      </c>
      <c r="M1555" s="1"/>
      <c r="N1555" s="1"/>
      <c r="O1555" s="1"/>
      <c r="P1555" s="1"/>
      <c r="Q1555" s="1"/>
      <c r="R1555" s="1"/>
      <c r="S1555" s="1"/>
      <c r="T1555" s="1"/>
      <c r="U1555" s="1"/>
      <c r="V1555" s="1"/>
      <c r="W1555" s="1"/>
      <c r="X1555" s="1"/>
      <c r="Y1555" s="1"/>
      <c r="Z1555" s="1"/>
    </row>
    <row r="1556" spans="1:26" ht="33.75" customHeight="1">
      <c r="A1556" s="1">
        <v>1531</v>
      </c>
      <c r="B1556" s="1" t="s">
        <v>4365</v>
      </c>
      <c r="C1556" s="1" t="s">
        <v>4151</v>
      </c>
      <c r="D1556" s="4">
        <v>39900.843055555553</v>
      </c>
      <c r="E1556" s="1" t="s">
        <v>14</v>
      </c>
      <c r="F1556" s="1" t="s">
        <v>4366</v>
      </c>
      <c r="G1556" s="5" t="s">
        <v>15</v>
      </c>
      <c r="H1556" s="5" t="s">
        <v>50</v>
      </c>
      <c r="I1556" s="1" t="s">
        <v>166</v>
      </c>
      <c r="J1556" s="1"/>
      <c r="K1556" s="1" t="s">
        <v>4367</v>
      </c>
      <c r="L1556" s="2" t="s">
        <v>4368</v>
      </c>
      <c r="M1556" s="1"/>
      <c r="N1556" s="1"/>
      <c r="O1556" s="1"/>
      <c r="P1556" s="1"/>
      <c r="Q1556" s="1"/>
      <c r="R1556" s="1"/>
      <c r="S1556" s="1"/>
      <c r="T1556" s="1"/>
      <c r="U1556" s="1"/>
      <c r="V1556" s="1"/>
      <c r="W1556" s="1"/>
      <c r="X1556" s="1"/>
      <c r="Y1556" s="1"/>
      <c r="Z1556" s="1"/>
    </row>
    <row r="1557" spans="1:26" ht="33.75" customHeight="1">
      <c r="A1557" s="1">
        <v>1532</v>
      </c>
      <c r="B1557" s="1" t="s">
        <v>4369</v>
      </c>
      <c r="C1557" s="1" t="s">
        <v>4151</v>
      </c>
      <c r="D1557" s="4">
        <v>39900.865277777775</v>
      </c>
      <c r="E1557" s="1" t="s">
        <v>435</v>
      </c>
      <c r="F1557" s="1"/>
      <c r="G1557" s="5" t="s">
        <v>15</v>
      </c>
      <c r="H1557" s="5" t="s">
        <v>50</v>
      </c>
      <c r="I1557" s="1" t="s">
        <v>166</v>
      </c>
      <c r="J1557" s="1"/>
      <c r="K1557" s="1" t="s">
        <v>4370</v>
      </c>
      <c r="L1557" s="2" t="s">
        <v>4371</v>
      </c>
      <c r="M1557" s="1"/>
      <c r="N1557" s="1"/>
      <c r="O1557" s="1"/>
      <c r="P1557" s="1"/>
      <c r="Q1557" s="1"/>
      <c r="R1557" s="1"/>
      <c r="S1557" s="1"/>
      <c r="T1557" s="1"/>
      <c r="U1557" s="1"/>
      <c r="V1557" s="1"/>
      <c r="W1557" s="1"/>
      <c r="X1557" s="1"/>
      <c r="Y1557" s="1"/>
      <c r="Z1557" s="1"/>
    </row>
    <row r="1558" spans="1:26" ht="33.75" customHeight="1">
      <c r="A1558" s="1">
        <v>1402</v>
      </c>
      <c r="B1558" s="1" t="s">
        <v>4372</v>
      </c>
      <c r="C1558" s="1" t="s">
        <v>3929</v>
      </c>
      <c r="D1558" s="4">
        <v>39901.026388888888</v>
      </c>
      <c r="E1558" s="1" t="s">
        <v>772</v>
      </c>
      <c r="F1558" s="1"/>
      <c r="G1558" s="5" t="s">
        <v>64</v>
      </c>
      <c r="H1558" s="1"/>
      <c r="I1558" s="1" t="s">
        <v>64</v>
      </c>
      <c r="J1558" s="1"/>
      <c r="K1558" s="1"/>
      <c r="L1558" s="2" t="s">
        <v>4373</v>
      </c>
      <c r="M1558" s="1"/>
      <c r="N1558" s="1"/>
      <c r="O1558" s="1"/>
      <c r="P1558" s="1"/>
      <c r="Q1558" s="1"/>
      <c r="R1558" s="1"/>
      <c r="S1558" s="1"/>
      <c r="T1558" s="1"/>
      <c r="U1558" s="1"/>
      <c r="V1558" s="1"/>
      <c r="W1558" s="1"/>
      <c r="X1558" s="1"/>
      <c r="Y1558" s="1"/>
      <c r="Z1558" s="1"/>
    </row>
    <row r="1559" spans="1:26" ht="33.75" customHeight="1">
      <c r="A1559" s="1">
        <v>1533</v>
      </c>
      <c r="B1559" s="1" t="s">
        <v>4374</v>
      </c>
      <c r="C1559" s="1" t="s">
        <v>4151</v>
      </c>
      <c r="D1559" s="4">
        <v>39901.029166666667</v>
      </c>
      <c r="E1559" s="1" t="s">
        <v>84</v>
      </c>
      <c r="F1559" s="1"/>
      <c r="G1559" s="1" t="s">
        <v>15</v>
      </c>
      <c r="H1559" s="1" t="s">
        <v>50</v>
      </c>
      <c r="I1559" s="1" t="s">
        <v>166</v>
      </c>
      <c r="J1559" s="1"/>
      <c r="K1559" s="1" t="s">
        <v>4375</v>
      </c>
      <c r="L1559" s="2" t="s">
        <v>4376</v>
      </c>
      <c r="M1559" s="1"/>
      <c r="N1559" s="1"/>
      <c r="O1559" s="1"/>
      <c r="P1559" s="1"/>
      <c r="Q1559" s="1"/>
      <c r="R1559" s="1"/>
      <c r="S1559" s="1"/>
      <c r="T1559" s="1"/>
      <c r="U1559" s="1"/>
      <c r="V1559" s="1"/>
      <c r="W1559" s="1"/>
      <c r="X1559" s="1"/>
      <c r="Y1559" s="1"/>
      <c r="Z1559" s="1"/>
    </row>
    <row r="1560" spans="1:26" ht="33.75" customHeight="1">
      <c r="A1560" s="1">
        <v>1992</v>
      </c>
      <c r="B1560" s="1" t="s">
        <v>4377</v>
      </c>
      <c r="C1560" s="1" t="s">
        <v>3800</v>
      </c>
      <c r="D1560" s="4">
        <v>39901.453472222223</v>
      </c>
      <c r="E1560" s="1" t="s">
        <v>772</v>
      </c>
      <c r="F1560" s="1"/>
      <c r="G1560" s="5" t="s">
        <v>64</v>
      </c>
      <c r="H1560" s="1"/>
      <c r="I1560" s="1" t="s">
        <v>64</v>
      </c>
      <c r="J1560" s="1"/>
      <c r="K1560" s="1"/>
      <c r="L1560" s="2" t="s">
        <v>4378</v>
      </c>
      <c r="M1560" s="1"/>
      <c r="N1560" s="1"/>
      <c r="O1560" s="1"/>
      <c r="P1560" s="1"/>
      <c r="Q1560" s="1"/>
      <c r="R1560" s="1"/>
      <c r="S1560" s="1"/>
      <c r="T1560" s="1"/>
      <c r="U1560" s="1"/>
      <c r="V1560" s="1"/>
      <c r="W1560" s="1"/>
      <c r="X1560" s="1"/>
      <c r="Y1560" s="1"/>
      <c r="Z1560" s="1"/>
    </row>
    <row r="1561" spans="1:26" ht="33.75" customHeight="1">
      <c r="A1561" s="1">
        <v>1993</v>
      </c>
      <c r="B1561" s="1" t="s">
        <v>4379</v>
      </c>
      <c r="C1561" s="1" t="s">
        <v>3800</v>
      </c>
      <c r="D1561" s="4">
        <v>39901.598611111112</v>
      </c>
      <c r="E1561" s="1" t="s">
        <v>54</v>
      </c>
      <c r="F1561" s="1"/>
      <c r="G1561" s="5" t="s">
        <v>64</v>
      </c>
      <c r="H1561" s="1"/>
      <c r="I1561" s="1" t="s">
        <v>64</v>
      </c>
      <c r="J1561" s="1"/>
      <c r="K1561" s="1" t="s">
        <v>4380</v>
      </c>
      <c r="L1561" s="2" t="s">
        <v>4381</v>
      </c>
      <c r="M1561" s="1"/>
      <c r="N1561" s="1"/>
      <c r="O1561" s="1"/>
      <c r="P1561" s="1"/>
      <c r="Q1561" s="1"/>
      <c r="R1561" s="1"/>
      <c r="S1561" s="1"/>
      <c r="T1561" s="1"/>
      <c r="U1561" s="1"/>
      <c r="V1561" s="1"/>
      <c r="W1561" s="1"/>
      <c r="X1561" s="1"/>
      <c r="Y1561" s="1"/>
      <c r="Z1561" s="1"/>
    </row>
    <row r="1562" spans="1:26" ht="33.75" customHeight="1">
      <c r="A1562" s="1">
        <v>1994</v>
      </c>
      <c r="B1562" s="1" t="s">
        <v>4382</v>
      </c>
      <c r="C1562" s="1" t="s">
        <v>3800</v>
      </c>
      <c r="D1562" s="4">
        <v>39901.604166666664</v>
      </c>
      <c r="E1562" s="1" t="s">
        <v>54</v>
      </c>
      <c r="F1562" s="1"/>
      <c r="G1562" s="5" t="s">
        <v>64</v>
      </c>
      <c r="H1562" s="1"/>
      <c r="I1562" s="1" t="s">
        <v>64</v>
      </c>
      <c r="J1562" s="1"/>
      <c r="K1562" s="1"/>
      <c r="L1562" s="2" t="s">
        <v>4383</v>
      </c>
      <c r="M1562" s="1"/>
      <c r="N1562" s="1"/>
      <c r="O1562" s="1"/>
      <c r="P1562" s="1"/>
      <c r="Q1562" s="1"/>
      <c r="R1562" s="1"/>
      <c r="S1562" s="1"/>
      <c r="T1562" s="1"/>
      <c r="U1562" s="1"/>
      <c r="V1562" s="1"/>
      <c r="W1562" s="1"/>
      <c r="X1562" s="1"/>
      <c r="Y1562" s="1"/>
      <c r="Z1562" s="1"/>
    </row>
    <row r="1563" spans="1:26" ht="33.75" customHeight="1">
      <c r="A1563" s="1">
        <v>1995</v>
      </c>
      <c r="B1563" s="1" t="s">
        <v>4384</v>
      </c>
      <c r="C1563" s="1" t="s">
        <v>3800</v>
      </c>
      <c r="D1563" s="4">
        <v>39901.661805555559</v>
      </c>
      <c r="E1563" s="1" t="s">
        <v>84</v>
      </c>
      <c r="F1563" s="1"/>
      <c r="G1563" s="5" t="s">
        <v>64</v>
      </c>
      <c r="H1563" s="1"/>
      <c r="I1563" s="1" t="s">
        <v>64</v>
      </c>
      <c r="J1563" s="1"/>
      <c r="K1563" s="1" t="s">
        <v>4385</v>
      </c>
      <c r="L1563" s="2" t="s">
        <v>4386</v>
      </c>
      <c r="M1563" s="1"/>
      <c r="N1563" s="1"/>
      <c r="O1563" s="1"/>
      <c r="P1563" s="1"/>
      <c r="Q1563" s="1"/>
      <c r="R1563" s="1"/>
      <c r="S1563" s="1"/>
      <c r="T1563" s="1"/>
      <c r="U1563" s="1"/>
      <c r="V1563" s="1"/>
      <c r="W1563" s="1"/>
      <c r="X1563" s="1"/>
      <c r="Y1563" s="1"/>
      <c r="Z1563" s="1"/>
    </row>
    <row r="1564" spans="1:26" ht="33.75" customHeight="1">
      <c r="A1564" s="1">
        <v>1996</v>
      </c>
      <c r="B1564" s="1" t="s">
        <v>4387</v>
      </c>
      <c r="C1564" s="1" t="s">
        <v>3800</v>
      </c>
      <c r="D1564" s="4">
        <v>39901.678472222222</v>
      </c>
      <c r="E1564" s="1" t="s">
        <v>772</v>
      </c>
      <c r="F1564" s="1"/>
      <c r="G1564" s="5" t="s">
        <v>15</v>
      </c>
      <c r="H1564" s="5" t="s">
        <v>402</v>
      </c>
      <c r="I1564" s="1" t="s">
        <v>576</v>
      </c>
      <c r="J1564" s="1"/>
      <c r="K1564" s="1"/>
      <c r="L1564" s="2" t="s">
        <v>4388</v>
      </c>
      <c r="M1564" s="1"/>
      <c r="N1564" s="1"/>
      <c r="O1564" s="1"/>
      <c r="P1564" s="1"/>
      <c r="Q1564" s="1"/>
      <c r="R1564" s="1"/>
      <c r="S1564" s="1"/>
      <c r="T1564" s="1"/>
      <c r="U1564" s="1"/>
      <c r="V1564" s="1"/>
      <c r="W1564" s="1"/>
      <c r="X1564" s="1"/>
      <c r="Y1564" s="1"/>
      <c r="Z1564" s="1"/>
    </row>
    <row r="1565" spans="1:26" ht="33.75" customHeight="1">
      <c r="A1565" s="1">
        <v>1997</v>
      </c>
      <c r="B1565" s="1" t="s">
        <v>4389</v>
      </c>
      <c r="C1565" s="1" t="s">
        <v>3800</v>
      </c>
      <c r="D1565" s="4">
        <v>39901.686805555553</v>
      </c>
      <c r="E1565" s="1" t="s">
        <v>84</v>
      </c>
      <c r="F1565" s="1"/>
      <c r="G1565" s="5" t="s">
        <v>26</v>
      </c>
      <c r="H1565" s="5" t="s">
        <v>133</v>
      </c>
      <c r="I1565" s="1" t="s">
        <v>28</v>
      </c>
      <c r="J1565" s="1" t="s">
        <v>134</v>
      </c>
      <c r="K1565" s="1" t="s">
        <v>4390</v>
      </c>
      <c r="L1565" s="2" t="s">
        <v>4391</v>
      </c>
      <c r="M1565" s="1"/>
      <c r="N1565" s="1"/>
      <c r="O1565" s="1"/>
      <c r="P1565" s="1"/>
      <c r="Q1565" s="1"/>
      <c r="R1565" s="1"/>
      <c r="S1565" s="1"/>
      <c r="T1565" s="1"/>
      <c r="U1565" s="1"/>
      <c r="V1565" s="1"/>
      <c r="W1565" s="1"/>
      <c r="X1565" s="1"/>
      <c r="Y1565" s="1"/>
      <c r="Z1565" s="1"/>
    </row>
    <row r="1566" spans="1:26" ht="33.75" customHeight="1">
      <c r="A1566" s="1">
        <v>1998</v>
      </c>
      <c r="B1566" s="1" t="s">
        <v>4392</v>
      </c>
      <c r="C1566" s="1" t="s">
        <v>3800</v>
      </c>
      <c r="D1566" s="4">
        <v>39901.706944444442</v>
      </c>
      <c r="E1566" s="1" t="s">
        <v>772</v>
      </c>
      <c r="F1566" s="1"/>
      <c r="G1566" s="5" t="s">
        <v>64</v>
      </c>
      <c r="H1566" s="1"/>
      <c r="I1566" s="1" t="s">
        <v>64</v>
      </c>
      <c r="J1566" s="1"/>
      <c r="K1566" s="1"/>
      <c r="L1566" s="2" t="s">
        <v>4393</v>
      </c>
      <c r="M1566" s="1"/>
      <c r="N1566" s="1"/>
      <c r="O1566" s="1"/>
      <c r="P1566" s="1"/>
      <c r="Q1566" s="1"/>
      <c r="R1566" s="1"/>
      <c r="S1566" s="1"/>
      <c r="T1566" s="1"/>
      <c r="U1566" s="1"/>
      <c r="V1566" s="1"/>
      <c r="W1566" s="1"/>
      <c r="X1566" s="1"/>
      <c r="Y1566" s="1"/>
      <c r="Z1566" s="1"/>
    </row>
    <row r="1567" spans="1:26" ht="33.75" customHeight="1">
      <c r="A1567" s="1">
        <v>1999</v>
      </c>
      <c r="B1567" s="1" t="s">
        <v>4394</v>
      </c>
      <c r="C1567" s="1" t="s">
        <v>3800</v>
      </c>
      <c r="D1567" s="4">
        <v>39901.750694444447</v>
      </c>
      <c r="E1567" s="1" t="s">
        <v>84</v>
      </c>
      <c r="F1567" s="1"/>
      <c r="G1567" s="5" t="s">
        <v>33</v>
      </c>
      <c r="H1567" s="5" t="s">
        <v>34</v>
      </c>
      <c r="I1567" s="1" t="s">
        <v>1605</v>
      </c>
      <c r="J1567" s="1"/>
      <c r="K1567" s="1"/>
      <c r="L1567" s="2" t="s">
        <v>4395</v>
      </c>
      <c r="M1567" s="1"/>
      <c r="N1567" s="1"/>
      <c r="O1567" s="1"/>
      <c r="P1567" s="1"/>
      <c r="Q1567" s="1"/>
      <c r="R1567" s="1"/>
      <c r="S1567" s="1"/>
      <c r="T1567" s="1"/>
      <c r="U1567" s="1"/>
      <c r="V1567" s="1"/>
      <c r="W1567" s="1"/>
      <c r="X1567" s="1"/>
      <c r="Y1567" s="1"/>
      <c r="Z1567" s="1"/>
    </row>
    <row r="1568" spans="1:26" ht="33.75" customHeight="1">
      <c r="A1568" s="1">
        <v>2000</v>
      </c>
      <c r="B1568" s="1" t="s">
        <v>4396</v>
      </c>
      <c r="C1568" s="1" t="s">
        <v>3800</v>
      </c>
      <c r="D1568" s="4">
        <v>39901.782638888886</v>
      </c>
      <c r="E1568" s="1" t="s">
        <v>772</v>
      </c>
      <c r="F1568" s="1"/>
      <c r="G1568" s="5" t="s">
        <v>64</v>
      </c>
      <c r="H1568" s="1"/>
      <c r="I1568" s="1" t="s">
        <v>64</v>
      </c>
      <c r="J1568" s="1"/>
      <c r="K1568" s="1"/>
      <c r="L1568" s="2" t="s">
        <v>4397</v>
      </c>
      <c r="M1568" s="1"/>
      <c r="N1568" s="1"/>
      <c r="O1568" s="1"/>
      <c r="P1568" s="1"/>
      <c r="Q1568" s="1"/>
      <c r="R1568" s="1"/>
      <c r="S1568" s="1"/>
      <c r="T1568" s="1"/>
      <c r="U1568" s="1"/>
      <c r="V1568" s="1"/>
      <c r="W1568" s="1"/>
      <c r="X1568" s="1"/>
      <c r="Y1568" s="1"/>
      <c r="Z1568" s="1"/>
    </row>
    <row r="1569" spans="1:26" ht="33.75" customHeight="1">
      <c r="A1569" s="1">
        <v>2001</v>
      </c>
      <c r="B1569" s="1" t="s">
        <v>4398</v>
      </c>
      <c r="C1569" s="1" t="s">
        <v>3800</v>
      </c>
      <c r="D1569" s="4">
        <v>39901.825694444444</v>
      </c>
      <c r="E1569" s="1" t="s">
        <v>772</v>
      </c>
      <c r="F1569" s="1"/>
      <c r="G1569" s="5" t="s">
        <v>64</v>
      </c>
      <c r="H1569" s="1"/>
      <c r="I1569" s="1" t="s">
        <v>64</v>
      </c>
      <c r="J1569" s="1"/>
      <c r="K1569" s="1"/>
      <c r="L1569" s="2" t="s">
        <v>4399</v>
      </c>
      <c r="M1569" s="1"/>
      <c r="N1569" s="1"/>
      <c r="O1569" s="1"/>
      <c r="P1569" s="1"/>
      <c r="Q1569" s="1"/>
      <c r="R1569" s="1"/>
      <c r="S1569" s="1"/>
      <c r="T1569" s="1"/>
      <c r="U1569" s="1"/>
      <c r="V1569" s="1"/>
      <c r="W1569" s="1"/>
      <c r="X1569" s="1"/>
      <c r="Y1569" s="1"/>
      <c r="Z1569" s="1"/>
    </row>
    <row r="1570" spans="1:26" ht="33.75" customHeight="1">
      <c r="A1570" s="1">
        <v>2002</v>
      </c>
      <c r="B1570" s="1" t="s">
        <v>4400</v>
      </c>
      <c r="C1570" s="1" t="s">
        <v>3800</v>
      </c>
      <c r="D1570" s="4">
        <v>39901.829861111109</v>
      </c>
      <c r="E1570" s="1" t="s">
        <v>772</v>
      </c>
      <c r="F1570" s="1">
        <v>1149</v>
      </c>
      <c r="G1570" s="5" t="s">
        <v>64</v>
      </c>
      <c r="H1570" s="1"/>
      <c r="I1570" s="1" t="s">
        <v>64</v>
      </c>
      <c r="J1570" s="1"/>
      <c r="K1570" s="1"/>
      <c r="L1570" s="2" t="s">
        <v>4401</v>
      </c>
      <c r="M1570" s="1"/>
      <c r="N1570" s="1"/>
      <c r="O1570" s="1"/>
      <c r="P1570" s="1"/>
      <c r="Q1570" s="1"/>
      <c r="R1570" s="1"/>
      <c r="S1570" s="1"/>
      <c r="T1570" s="1"/>
      <c r="U1570" s="1"/>
      <c r="V1570" s="1"/>
      <c r="W1570" s="1"/>
      <c r="X1570" s="1"/>
      <c r="Y1570" s="1"/>
      <c r="Z1570" s="1"/>
    </row>
    <row r="1571" spans="1:26" ht="33.75" customHeight="1">
      <c r="A1571" s="1">
        <v>2003</v>
      </c>
      <c r="B1571" s="1" t="s">
        <v>4402</v>
      </c>
      <c r="C1571" s="1" t="s">
        <v>3800</v>
      </c>
      <c r="D1571" s="4">
        <v>39901.84375</v>
      </c>
      <c r="E1571" s="1" t="s">
        <v>772</v>
      </c>
      <c r="F1571" s="1"/>
      <c r="G1571" s="5" t="s">
        <v>64</v>
      </c>
      <c r="H1571" s="1"/>
      <c r="I1571" s="1" t="s">
        <v>64</v>
      </c>
      <c r="J1571" s="1"/>
      <c r="K1571" s="1"/>
      <c r="L1571" s="2" t="s">
        <v>4403</v>
      </c>
      <c r="M1571" s="1"/>
      <c r="N1571" s="1"/>
      <c r="O1571" s="1"/>
      <c r="P1571" s="1"/>
      <c r="Q1571" s="1"/>
      <c r="R1571" s="1"/>
      <c r="S1571" s="1"/>
      <c r="T1571" s="1"/>
      <c r="U1571" s="1"/>
      <c r="V1571" s="1"/>
      <c r="W1571" s="1"/>
      <c r="X1571" s="1"/>
      <c r="Y1571" s="1"/>
      <c r="Z1571" s="1"/>
    </row>
    <row r="1572" spans="1:26" ht="33.75" customHeight="1">
      <c r="A1572" s="1">
        <v>2004</v>
      </c>
      <c r="B1572" s="1" t="s">
        <v>4404</v>
      </c>
      <c r="C1572" s="1" t="s">
        <v>3800</v>
      </c>
      <c r="D1572" s="4">
        <v>39901.847916666666</v>
      </c>
      <c r="E1572" s="1" t="s">
        <v>772</v>
      </c>
      <c r="F1572" s="1"/>
      <c r="G1572" s="5" t="s">
        <v>64</v>
      </c>
      <c r="H1572" s="1"/>
      <c r="I1572" s="1" t="s">
        <v>64</v>
      </c>
      <c r="J1572" s="1"/>
      <c r="K1572" s="1"/>
      <c r="L1572" s="2" t="s">
        <v>4405</v>
      </c>
      <c r="M1572" s="1"/>
      <c r="N1572" s="1"/>
      <c r="O1572" s="1"/>
      <c r="P1572" s="1"/>
      <c r="Q1572" s="1"/>
      <c r="R1572" s="1"/>
      <c r="S1572" s="1"/>
      <c r="T1572" s="1"/>
      <c r="U1572" s="1"/>
      <c r="V1572" s="1"/>
      <c r="W1572" s="1"/>
      <c r="X1572" s="1"/>
      <c r="Y1572" s="1"/>
      <c r="Z1572" s="1"/>
    </row>
    <row r="1573" spans="1:26" ht="33.75" customHeight="1">
      <c r="A1573" s="1">
        <v>2005</v>
      </c>
      <c r="B1573" s="1" t="s">
        <v>4406</v>
      </c>
      <c r="C1573" s="1" t="s">
        <v>3800</v>
      </c>
      <c r="D1573" s="4">
        <v>39901.922222222223</v>
      </c>
      <c r="E1573" s="1" t="s">
        <v>772</v>
      </c>
      <c r="F1573" s="1"/>
      <c r="G1573" s="5" t="s">
        <v>64</v>
      </c>
      <c r="H1573" s="1"/>
      <c r="I1573" s="1" t="s">
        <v>64</v>
      </c>
      <c r="J1573" s="1"/>
      <c r="K1573" s="1"/>
      <c r="L1573" s="2" t="s">
        <v>4407</v>
      </c>
      <c r="M1573" s="1"/>
      <c r="N1573" s="1"/>
      <c r="O1573" s="1"/>
      <c r="P1573" s="1"/>
      <c r="Q1573" s="1"/>
      <c r="R1573" s="1"/>
      <c r="S1573" s="1"/>
      <c r="T1573" s="1"/>
      <c r="U1573" s="1"/>
      <c r="V1573" s="1"/>
      <c r="W1573" s="1"/>
      <c r="X1573" s="1"/>
      <c r="Y1573" s="1"/>
      <c r="Z1573" s="1"/>
    </row>
    <row r="1574" spans="1:26" ht="33.75" customHeight="1">
      <c r="A1574" s="1">
        <v>2006</v>
      </c>
      <c r="B1574" s="1" t="s">
        <v>4408</v>
      </c>
      <c r="C1574" s="1" t="s">
        <v>3800</v>
      </c>
      <c r="D1574" s="4">
        <v>39901.923611111109</v>
      </c>
      <c r="E1574" s="1" t="s">
        <v>772</v>
      </c>
      <c r="F1574" s="1"/>
      <c r="G1574" s="5" t="s">
        <v>64</v>
      </c>
      <c r="H1574" s="5" t="s">
        <v>179</v>
      </c>
      <c r="I1574" s="1" t="s">
        <v>179</v>
      </c>
      <c r="J1574" s="1"/>
      <c r="K1574" s="1"/>
      <c r="L1574" s="2" t="s">
        <v>4409</v>
      </c>
      <c r="M1574" s="1"/>
      <c r="N1574" s="1"/>
      <c r="O1574" s="1"/>
      <c r="P1574" s="1"/>
      <c r="Q1574" s="1"/>
      <c r="R1574" s="1"/>
      <c r="S1574" s="1"/>
      <c r="T1574" s="1"/>
      <c r="U1574" s="1"/>
      <c r="V1574" s="1"/>
      <c r="W1574" s="1"/>
      <c r="X1574" s="1"/>
      <c r="Y1574" s="1"/>
      <c r="Z1574" s="1"/>
    </row>
    <row r="1575" spans="1:26" ht="33.75" customHeight="1">
      <c r="A1575" s="1">
        <v>2007</v>
      </c>
      <c r="B1575" s="1" t="s">
        <v>4410</v>
      </c>
      <c r="C1575" s="1" t="s">
        <v>3800</v>
      </c>
      <c r="D1575" s="4">
        <v>39901.943749999999</v>
      </c>
      <c r="E1575" s="1" t="s">
        <v>1887</v>
      </c>
      <c r="F1575" s="1"/>
      <c r="G1575" s="5" t="s">
        <v>64</v>
      </c>
      <c r="H1575" s="1"/>
      <c r="I1575" s="1" t="s">
        <v>64</v>
      </c>
      <c r="J1575" s="1"/>
      <c r="K1575" s="1" t="s">
        <v>4411</v>
      </c>
      <c r="L1575" s="2" t="s">
        <v>4412</v>
      </c>
      <c r="M1575" s="1"/>
      <c r="N1575" s="1"/>
      <c r="O1575" s="1"/>
      <c r="P1575" s="1"/>
      <c r="Q1575" s="1"/>
      <c r="R1575" s="1"/>
      <c r="S1575" s="1"/>
      <c r="T1575" s="1"/>
      <c r="U1575" s="1"/>
      <c r="V1575" s="1"/>
      <c r="W1575" s="1"/>
      <c r="X1575" s="1"/>
      <c r="Y1575" s="1"/>
      <c r="Z1575" s="1"/>
    </row>
    <row r="1576" spans="1:26" ht="33.75" customHeight="1">
      <c r="A1576" s="1">
        <v>2008</v>
      </c>
      <c r="B1576" s="1" t="s">
        <v>4413</v>
      </c>
      <c r="C1576" s="1" t="s">
        <v>3800</v>
      </c>
      <c r="D1576" s="4">
        <v>39902.043749999997</v>
      </c>
      <c r="E1576" s="1" t="s">
        <v>1887</v>
      </c>
      <c r="F1576" s="1"/>
      <c r="G1576" s="5" t="s">
        <v>64</v>
      </c>
      <c r="H1576" s="1"/>
      <c r="I1576" s="1" t="s">
        <v>64</v>
      </c>
      <c r="J1576" s="1"/>
      <c r="K1576" s="1"/>
      <c r="L1576" s="2" t="s">
        <v>4414</v>
      </c>
      <c r="M1576" s="1"/>
      <c r="N1576" s="1"/>
      <c r="O1576" s="1"/>
      <c r="P1576" s="1"/>
      <c r="Q1576" s="1"/>
      <c r="R1576" s="1"/>
      <c r="S1576" s="1"/>
      <c r="T1576" s="1"/>
      <c r="U1576" s="1"/>
      <c r="V1576" s="1"/>
      <c r="W1576" s="1"/>
      <c r="X1576" s="1"/>
      <c r="Y1576" s="1"/>
      <c r="Z1576" s="1"/>
    </row>
    <row r="1577" spans="1:26" ht="33.75" customHeight="1">
      <c r="A1577" s="1">
        <v>2009</v>
      </c>
      <c r="B1577" s="1" t="s">
        <v>4415</v>
      </c>
      <c r="C1577" s="1" t="s">
        <v>3800</v>
      </c>
      <c r="D1577" s="4">
        <v>39902.167361111111</v>
      </c>
      <c r="E1577" s="1" t="s">
        <v>4416</v>
      </c>
      <c r="F1577" s="1" t="s">
        <v>4413</v>
      </c>
      <c r="G1577" s="5" t="s">
        <v>64</v>
      </c>
      <c r="H1577" s="1"/>
      <c r="I1577" s="1" t="s">
        <v>64</v>
      </c>
      <c r="J1577" s="1"/>
      <c r="K1577" s="1"/>
      <c r="L1577" s="2" t="s">
        <v>4417</v>
      </c>
      <c r="M1577" s="1"/>
      <c r="N1577" s="1"/>
      <c r="O1577" s="1"/>
      <c r="P1577" s="1"/>
      <c r="Q1577" s="1"/>
      <c r="R1577" s="1"/>
      <c r="S1577" s="1"/>
      <c r="T1577" s="1"/>
      <c r="U1577" s="1"/>
      <c r="V1577" s="1"/>
      <c r="W1577" s="1"/>
      <c r="X1577" s="1"/>
      <c r="Y1577" s="1"/>
      <c r="Z1577" s="1"/>
    </row>
    <row r="1578" spans="1:26" ht="33.75" customHeight="1">
      <c r="A1578" s="1">
        <v>2010</v>
      </c>
      <c r="B1578" s="1" t="s">
        <v>4418</v>
      </c>
      <c r="C1578" s="1" t="s">
        <v>3800</v>
      </c>
      <c r="D1578" s="4">
        <v>39902.182638888888</v>
      </c>
      <c r="E1578" s="1" t="s">
        <v>54</v>
      </c>
      <c r="F1578" s="1"/>
      <c r="G1578" s="5" t="s">
        <v>33</v>
      </c>
      <c r="H1578" s="5" t="s">
        <v>34</v>
      </c>
      <c r="I1578" s="1" t="s">
        <v>1605</v>
      </c>
      <c r="J1578" s="1"/>
      <c r="K1578" s="1"/>
      <c r="L1578" s="2" t="s">
        <v>4419</v>
      </c>
      <c r="M1578" s="1"/>
      <c r="N1578" s="1"/>
      <c r="O1578" s="1"/>
      <c r="P1578" s="1"/>
      <c r="Q1578" s="1"/>
      <c r="R1578" s="1"/>
      <c r="S1578" s="1"/>
      <c r="T1578" s="1"/>
      <c r="U1578" s="1"/>
      <c r="V1578" s="1"/>
      <c r="W1578" s="1"/>
      <c r="X1578" s="1"/>
      <c r="Y1578" s="1"/>
      <c r="Z1578" s="1"/>
    </row>
    <row r="1579" spans="1:26" ht="33.75" customHeight="1">
      <c r="A1579" s="1">
        <v>2011</v>
      </c>
      <c r="B1579" s="1" t="s">
        <v>4420</v>
      </c>
      <c r="C1579" s="1" t="s">
        <v>3800</v>
      </c>
      <c r="D1579" s="4">
        <v>39902.24722222222</v>
      </c>
      <c r="E1579" s="1" t="s">
        <v>1089</v>
      </c>
      <c r="F1579" s="1"/>
      <c r="G1579" s="5" t="s">
        <v>64</v>
      </c>
      <c r="H1579" s="1"/>
      <c r="I1579" s="1" t="s">
        <v>64</v>
      </c>
      <c r="J1579" s="1"/>
      <c r="K1579" s="1"/>
      <c r="L1579" s="2" t="s">
        <v>4421</v>
      </c>
      <c r="M1579" s="1"/>
      <c r="N1579" s="1"/>
      <c r="O1579" s="1"/>
      <c r="P1579" s="1"/>
      <c r="Q1579" s="1"/>
      <c r="R1579" s="1"/>
      <c r="S1579" s="1"/>
      <c r="T1579" s="1"/>
      <c r="U1579" s="1"/>
      <c r="V1579" s="1"/>
      <c r="W1579" s="1"/>
      <c r="X1579" s="1"/>
      <c r="Y1579" s="1"/>
      <c r="Z1579" s="1"/>
    </row>
    <row r="1580" spans="1:26" ht="33.75" customHeight="1">
      <c r="A1580" s="1">
        <v>1945</v>
      </c>
      <c r="B1580" s="1" t="s">
        <v>4422</v>
      </c>
      <c r="C1580" s="1" t="s">
        <v>3800</v>
      </c>
      <c r="D1580" s="4">
        <v>39902.309027777781</v>
      </c>
      <c r="E1580" s="1" t="s">
        <v>1089</v>
      </c>
      <c r="F1580" s="1"/>
      <c r="G1580" s="5" t="s">
        <v>64</v>
      </c>
      <c r="H1580" s="1"/>
      <c r="I1580" s="1" t="s">
        <v>64</v>
      </c>
      <c r="J1580" s="1"/>
      <c r="K1580" s="1"/>
      <c r="L1580" s="2" t="s">
        <v>4423</v>
      </c>
      <c r="M1580" s="1"/>
      <c r="N1580" s="1"/>
      <c r="O1580" s="1"/>
      <c r="P1580" s="1"/>
      <c r="Q1580" s="1"/>
      <c r="R1580" s="1"/>
      <c r="S1580" s="1"/>
      <c r="T1580" s="1"/>
      <c r="U1580" s="1"/>
      <c r="V1580" s="1"/>
      <c r="W1580" s="1"/>
      <c r="X1580" s="1"/>
      <c r="Y1580" s="1"/>
      <c r="Z1580" s="1"/>
    </row>
    <row r="1581" spans="1:26" ht="33.75" customHeight="1">
      <c r="A1581" s="1">
        <v>1946</v>
      </c>
      <c r="B1581" s="1" t="s">
        <v>4424</v>
      </c>
      <c r="C1581" s="1" t="s">
        <v>3800</v>
      </c>
      <c r="D1581" s="4">
        <v>39902.450694444444</v>
      </c>
      <c r="E1581" s="1" t="s">
        <v>772</v>
      </c>
      <c r="F1581" s="1"/>
      <c r="G1581" s="5" t="s">
        <v>64</v>
      </c>
      <c r="H1581" s="1"/>
      <c r="I1581" s="1" t="s">
        <v>64</v>
      </c>
      <c r="J1581" s="1"/>
      <c r="K1581" s="1" t="s">
        <v>4425</v>
      </c>
      <c r="L1581" s="2" t="s">
        <v>4426</v>
      </c>
      <c r="M1581" s="1"/>
      <c r="N1581" s="1"/>
      <c r="O1581" s="1"/>
      <c r="P1581" s="1"/>
      <c r="Q1581" s="1"/>
      <c r="R1581" s="1"/>
      <c r="S1581" s="1"/>
      <c r="T1581" s="1"/>
      <c r="U1581" s="1"/>
      <c r="V1581" s="1"/>
      <c r="W1581" s="1"/>
      <c r="X1581" s="1"/>
      <c r="Y1581" s="1"/>
      <c r="Z1581" s="1"/>
    </row>
    <row r="1582" spans="1:26" ht="33.75" customHeight="1">
      <c r="A1582" s="1">
        <v>1947</v>
      </c>
      <c r="B1582" s="1" t="s">
        <v>4427</v>
      </c>
      <c r="C1582" s="1" t="s">
        <v>3800</v>
      </c>
      <c r="D1582" s="4">
        <v>39902.454861111109</v>
      </c>
      <c r="E1582" s="1" t="s">
        <v>772</v>
      </c>
      <c r="F1582" s="1"/>
      <c r="G1582" s="5" t="s">
        <v>64</v>
      </c>
      <c r="H1582" s="1"/>
      <c r="I1582" s="1" t="s">
        <v>64</v>
      </c>
      <c r="J1582" s="1"/>
      <c r="K1582" s="1"/>
      <c r="L1582" s="2" t="s">
        <v>4428</v>
      </c>
      <c r="M1582" s="1"/>
      <c r="N1582" s="1"/>
      <c r="O1582" s="1"/>
      <c r="P1582" s="1"/>
      <c r="Q1582" s="1"/>
      <c r="R1582" s="1"/>
      <c r="S1582" s="1"/>
      <c r="T1582" s="1"/>
      <c r="U1582" s="1"/>
      <c r="V1582" s="1"/>
      <c r="W1582" s="1"/>
      <c r="X1582" s="1"/>
      <c r="Y1582" s="1"/>
      <c r="Z1582" s="1"/>
    </row>
    <row r="1583" spans="1:26" ht="33.75" customHeight="1">
      <c r="A1583" s="1">
        <v>1948</v>
      </c>
      <c r="B1583" s="1" t="s">
        <v>4429</v>
      </c>
      <c r="C1583" s="1" t="s">
        <v>3800</v>
      </c>
      <c r="D1583" s="4">
        <v>39902.457638888889</v>
      </c>
      <c r="E1583" s="1" t="s">
        <v>772</v>
      </c>
      <c r="F1583" s="1"/>
      <c r="G1583" s="5" t="s">
        <v>64</v>
      </c>
      <c r="H1583" s="5" t="s">
        <v>179</v>
      </c>
      <c r="I1583" s="1" t="s">
        <v>179</v>
      </c>
      <c r="J1583" s="1"/>
      <c r="K1583" s="1" t="s">
        <v>4430</v>
      </c>
      <c r="L1583" s="2" t="s">
        <v>4431</v>
      </c>
      <c r="M1583" s="1"/>
      <c r="N1583" s="1"/>
      <c r="O1583" s="1"/>
      <c r="P1583" s="1"/>
      <c r="Q1583" s="1"/>
      <c r="R1583" s="1"/>
      <c r="S1583" s="1"/>
      <c r="T1583" s="1"/>
      <c r="U1583" s="1"/>
      <c r="V1583" s="1"/>
      <c r="W1583" s="1"/>
      <c r="X1583" s="1"/>
      <c r="Y1583" s="1"/>
      <c r="Z1583" s="1"/>
    </row>
    <row r="1584" spans="1:26" ht="33.75" customHeight="1">
      <c r="A1584" s="1">
        <v>1949</v>
      </c>
      <c r="B1584" s="1" t="s">
        <v>4432</v>
      </c>
      <c r="C1584" s="1" t="s">
        <v>3800</v>
      </c>
      <c r="D1584" s="4">
        <v>39902.461111111108</v>
      </c>
      <c r="E1584" s="1" t="s">
        <v>772</v>
      </c>
      <c r="F1584" s="1"/>
      <c r="G1584" s="5" t="s">
        <v>64</v>
      </c>
      <c r="H1584" s="1"/>
      <c r="I1584" s="1" t="s">
        <v>64</v>
      </c>
      <c r="J1584" s="1"/>
      <c r="K1584" s="1"/>
      <c r="L1584" s="2" t="s">
        <v>4433</v>
      </c>
      <c r="M1584" s="1"/>
      <c r="N1584" s="1"/>
      <c r="O1584" s="1"/>
      <c r="P1584" s="1"/>
      <c r="Q1584" s="1"/>
      <c r="R1584" s="1"/>
      <c r="S1584" s="1"/>
      <c r="T1584" s="1"/>
      <c r="U1584" s="1"/>
      <c r="V1584" s="1"/>
      <c r="W1584" s="1"/>
      <c r="X1584" s="1"/>
      <c r="Y1584" s="1"/>
      <c r="Z1584" s="1"/>
    </row>
    <row r="1585" spans="1:26" ht="33.75" customHeight="1">
      <c r="A1585" s="1">
        <v>1950</v>
      </c>
      <c r="B1585" s="1" t="s">
        <v>4434</v>
      </c>
      <c r="C1585" s="1" t="s">
        <v>3800</v>
      </c>
      <c r="D1585" s="4">
        <v>39902.465277777781</v>
      </c>
      <c r="E1585" s="1" t="s">
        <v>772</v>
      </c>
      <c r="F1585" s="1"/>
      <c r="G1585" s="5" t="s">
        <v>64</v>
      </c>
      <c r="H1585" s="1"/>
      <c r="I1585" s="1" t="s">
        <v>64</v>
      </c>
      <c r="J1585" s="1"/>
      <c r="K1585" s="1"/>
      <c r="L1585" s="2" t="s">
        <v>4435</v>
      </c>
      <c r="M1585" s="1"/>
      <c r="N1585" s="1"/>
      <c r="O1585" s="1"/>
      <c r="P1585" s="1"/>
      <c r="Q1585" s="1"/>
      <c r="R1585" s="1"/>
      <c r="S1585" s="1"/>
      <c r="T1585" s="1"/>
      <c r="U1585" s="1"/>
      <c r="V1585" s="1"/>
      <c r="W1585" s="1"/>
      <c r="X1585" s="1"/>
      <c r="Y1585" s="1"/>
      <c r="Z1585" s="1"/>
    </row>
    <row r="1586" spans="1:26" ht="33.75" customHeight="1">
      <c r="A1586" s="1">
        <v>1951</v>
      </c>
      <c r="B1586" s="1" t="s">
        <v>4436</v>
      </c>
      <c r="C1586" s="1" t="s">
        <v>3800</v>
      </c>
      <c r="D1586" s="4">
        <v>39902.470833333333</v>
      </c>
      <c r="E1586" s="1" t="s">
        <v>1887</v>
      </c>
      <c r="F1586" s="1"/>
      <c r="G1586" s="5" t="s">
        <v>64</v>
      </c>
      <c r="H1586" s="5" t="s">
        <v>375</v>
      </c>
      <c r="I1586" s="1" t="s">
        <v>900</v>
      </c>
      <c r="J1586" s="1"/>
      <c r="K1586" s="1"/>
      <c r="L1586" s="2" t="s">
        <v>4437</v>
      </c>
      <c r="M1586" s="1"/>
      <c r="N1586" s="1"/>
      <c r="O1586" s="1"/>
      <c r="P1586" s="1"/>
      <c r="Q1586" s="1"/>
      <c r="R1586" s="1"/>
      <c r="S1586" s="1"/>
      <c r="T1586" s="1"/>
      <c r="U1586" s="1"/>
      <c r="V1586" s="1"/>
      <c r="W1586" s="1"/>
      <c r="X1586" s="1"/>
      <c r="Y1586" s="1"/>
      <c r="Z1586" s="1"/>
    </row>
    <row r="1587" spans="1:26" ht="33.75" customHeight="1">
      <c r="A1587" s="1">
        <v>1952</v>
      </c>
      <c r="B1587" s="1" t="s">
        <v>4438</v>
      </c>
      <c r="C1587" s="1" t="s">
        <v>3800</v>
      </c>
      <c r="D1587" s="4">
        <v>39902.476388888892</v>
      </c>
      <c r="E1587" s="1" t="s">
        <v>772</v>
      </c>
      <c r="F1587" s="1"/>
      <c r="G1587" s="5" t="s">
        <v>64</v>
      </c>
      <c r="H1587" s="1"/>
      <c r="I1587" s="1" t="s">
        <v>64</v>
      </c>
      <c r="J1587" s="1"/>
      <c r="K1587" s="1"/>
      <c r="L1587" s="2" t="s">
        <v>4439</v>
      </c>
      <c r="M1587" s="1"/>
      <c r="N1587" s="1"/>
      <c r="O1587" s="1"/>
      <c r="P1587" s="1"/>
      <c r="Q1587" s="1"/>
      <c r="R1587" s="1"/>
      <c r="S1587" s="1"/>
      <c r="T1587" s="1"/>
      <c r="U1587" s="1"/>
      <c r="V1587" s="1"/>
      <c r="W1587" s="1"/>
      <c r="X1587" s="1"/>
      <c r="Y1587" s="1"/>
      <c r="Z1587" s="1"/>
    </row>
    <row r="1588" spans="1:26" ht="33.75" customHeight="1">
      <c r="A1588" s="1">
        <v>1953</v>
      </c>
      <c r="B1588" s="1" t="s">
        <v>4440</v>
      </c>
      <c r="C1588" s="1" t="s">
        <v>3800</v>
      </c>
      <c r="D1588" s="4">
        <v>39902.515277777777</v>
      </c>
      <c r="E1588" s="1" t="s">
        <v>772</v>
      </c>
      <c r="F1588" s="1"/>
      <c r="G1588" s="5" t="s">
        <v>64</v>
      </c>
      <c r="H1588" s="1"/>
      <c r="I1588" s="1" t="s">
        <v>64</v>
      </c>
      <c r="J1588" s="1"/>
      <c r="K1588" s="1" t="s">
        <v>4441</v>
      </c>
      <c r="L1588" s="2" t="s">
        <v>4442</v>
      </c>
      <c r="M1588" s="1"/>
      <c r="N1588" s="1"/>
      <c r="O1588" s="1"/>
      <c r="P1588" s="1"/>
      <c r="Q1588" s="1"/>
      <c r="R1588" s="1"/>
      <c r="S1588" s="1"/>
      <c r="T1588" s="1"/>
      <c r="U1588" s="1"/>
      <c r="V1588" s="1"/>
      <c r="W1588" s="1"/>
      <c r="X1588" s="1"/>
      <c r="Y1588" s="1"/>
      <c r="Z1588" s="1"/>
    </row>
    <row r="1589" spans="1:26" ht="33.75" customHeight="1">
      <c r="A1589" s="1">
        <v>1954</v>
      </c>
      <c r="B1589" s="1" t="s">
        <v>4443</v>
      </c>
      <c r="C1589" s="1" t="s">
        <v>3800</v>
      </c>
      <c r="D1589" s="4">
        <v>39902.520138888889</v>
      </c>
      <c r="E1589" s="1" t="s">
        <v>772</v>
      </c>
      <c r="F1589" s="1" t="s">
        <v>4440</v>
      </c>
      <c r="G1589" s="5" t="s">
        <v>64</v>
      </c>
      <c r="H1589" s="5" t="s">
        <v>179</v>
      </c>
      <c r="I1589" s="1" t="s">
        <v>179</v>
      </c>
      <c r="J1589" s="1"/>
      <c r="K1589" s="1"/>
      <c r="L1589" s="2" t="s">
        <v>4444</v>
      </c>
      <c r="M1589" s="1"/>
      <c r="N1589" s="1"/>
      <c r="O1589" s="1"/>
      <c r="P1589" s="1"/>
      <c r="Q1589" s="1"/>
      <c r="R1589" s="1"/>
      <c r="S1589" s="1"/>
      <c r="T1589" s="1"/>
      <c r="U1589" s="1"/>
      <c r="V1589" s="1"/>
      <c r="W1589" s="1"/>
      <c r="X1589" s="1"/>
      <c r="Y1589" s="1"/>
      <c r="Z1589" s="1"/>
    </row>
    <row r="1590" spans="1:26" ht="33.75" customHeight="1">
      <c r="A1590" s="1">
        <v>1955</v>
      </c>
      <c r="B1590" s="1" t="s">
        <v>4445</v>
      </c>
      <c r="C1590" s="1" t="s">
        <v>3800</v>
      </c>
      <c r="D1590" s="4">
        <v>39902.526388888888</v>
      </c>
      <c r="E1590" s="1" t="s">
        <v>1887</v>
      </c>
      <c r="F1590" s="1"/>
      <c r="G1590" s="5" t="s">
        <v>64</v>
      </c>
      <c r="H1590" s="5" t="s">
        <v>375</v>
      </c>
      <c r="I1590" s="1" t="s">
        <v>900</v>
      </c>
      <c r="J1590" s="1"/>
      <c r="K1590" s="1"/>
      <c r="L1590" s="2" t="s">
        <v>4446</v>
      </c>
      <c r="M1590" s="1"/>
      <c r="N1590" s="1"/>
      <c r="O1590" s="1"/>
      <c r="P1590" s="1"/>
      <c r="Q1590" s="1"/>
      <c r="R1590" s="1"/>
      <c r="S1590" s="1"/>
      <c r="T1590" s="1"/>
      <c r="U1590" s="1"/>
      <c r="V1590" s="1"/>
      <c r="W1590" s="1"/>
      <c r="X1590" s="1"/>
      <c r="Y1590" s="1"/>
      <c r="Z1590" s="1"/>
    </row>
    <row r="1591" spans="1:26" ht="33.75" customHeight="1">
      <c r="A1591" s="1">
        <v>1403</v>
      </c>
      <c r="B1591" s="1" t="s">
        <v>4447</v>
      </c>
      <c r="C1591" s="1" t="s">
        <v>3929</v>
      </c>
      <c r="D1591" s="4">
        <v>39902.52847222222</v>
      </c>
      <c r="E1591" s="1" t="s">
        <v>314</v>
      </c>
      <c r="F1591" s="1"/>
      <c r="G1591" s="5" t="s">
        <v>64</v>
      </c>
      <c r="H1591" s="1"/>
      <c r="I1591" s="1" t="s">
        <v>64</v>
      </c>
      <c r="J1591" s="1"/>
      <c r="K1591" s="1"/>
      <c r="L1591" s="2" t="s">
        <v>4448</v>
      </c>
      <c r="M1591" s="1"/>
      <c r="N1591" s="1"/>
      <c r="O1591" s="1"/>
      <c r="P1591" s="1"/>
      <c r="Q1591" s="1"/>
      <c r="R1591" s="1"/>
      <c r="S1591" s="1"/>
      <c r="T1591" s="1"/>
      <c r="U1591" s="1"/>
      <c r="V1591" s="1"/>
      <c r="W1591" s="1"/>
      <c r="X1591" s="1"/>
      <c r="Y1591" s="1"/>
      <c r="Z1591" s="1"/>
    </row>
    <row r="1592" spans="1:26" ht="33.75" customHeight="1">
      <c r="A1592" s="1">
        <v>1956</v>
      </c>
      <c r="B1592" s="1" t="s">
        <v>4449</v>
      </c>
      <c r="C1592" s="1" t="s">
        <v>3800</v>
      </c>
      <c r="D1592" s="4">
        <v>39902.548611111109</v>
      </c>
      <c r="E1592" s="1" t="s">
        <v>772</v>
      </c>
      <c r="F1592" s="1"/>
      <c r="G1592" s="5" t="s">
        <v>64</v>
      </c>
      <c r="H1592" s="1"/>
      <c r="I1592" s="1" t="s">
        <v>64</v>
      </c>
      <c r="J1592" s="1"/>
      <c r="K1592" s="1"/>
      <c r="L1592" s="2" t="s">
        <v>4450</v>
      </c>
      <c r="M1592" s="1"/>
      <c r="N1592" s="1"/>
      <c r="O1592" s="1"/>
      <c r="P1592" s="1"/>
      <c r="Q1592" s="1"/>
      <c r="R1592" s="1"/>
      <c r="S1592" s="1"/>
      <c r="T1592" s="1"/>
      <c r="U1592" s="1"/>
      <c r="V1592" s="1"/>
      <c r="W1592" s="1"/>
      <c r="X1592" s="1"/>
      <c r="Y1592" s="1"/>
      <c r="Z1592" s="1"/>
    </row>
    <row r="1593" spans="1:26" ht="33.75" customHeight="1">
      <c r="A1593" s="1">
        <v>1957</v>
      </c>
      <c r="B1593" s="1" t="s">
        <v>4451</v>
      </c>
      <c r="C1593" s="1" t="s">
        <v>3800</v>
      </c>
      <c r="D1593" s="4">
        <v>39902.550000000003</v>
      </c>
      <c r="E1593" s="1" t="s">
        <v>772</v>
      </c>
      <c r="F1593" s="1"/>
      <c r="G1593" s="5" t="s">
        <v>64</v>
      </c>
      <c r="H1593" s="5" t="s">
        <v>179</v>
      </c>
      <c r="I1593" s="1" t="s">
        <v>179</v>
      </c>
      <c r="J1593" s="1"/>
      <c r="K1593" s="1"/>
      <c r="L1593" s="2" t="s">
        <v>4452</v>
      </c>
      <c r="M1593" s="1"/>
      <c r="N1593" s="1"/>
      <c r="O1593" s="1"/>
      <c r="P1593" s="1"/>
      <c r="Q1593" s="1"/>
      <c r="R1593" s="1"/>
      <c r="S1593" s="1"/>
      <c r="T1593" s="1"/>
      <c r="U1593" s="1"/>
      <c r="V1593" s="1"/>
      <c r="W1593" s="1"/>
      <c r="X1593" s="1"/>
      <c r="Y1593" s="1"/>
      <c r="Z1593" s="1"/>
    </row>
    <row r="1594" spans="1:26" ht="33.75" customHeight="1">
      <c r="A1594" s="1">
        <v>1959</v>
      </c>
      <c r="B1594" s="1" t="s">
        <v>4453</v>
      </c>
      <c r="C1594" s="1" t="s">
        <v>3800</v>
      </c>
      <c r="D1594" s="4">
        <v>39902.5625</v>
      </c>
      <c r="E1594" s="1" t="s">
        <v>772</v>
      </c>
      <c r="F1594" s="1"/>
      <c r="G1594" s="5" t="s">
        <v>64</v>
      </c>
      <c r="H1594" s="1"/>
      <c r="I1594" s="1" t="s">
        <v>64</v>
      </c>
      <c r="J1594" s="1"/>
      <c r="K1594" s="1" t="s">
        <v>4454</v>
      </c>
      <c r="L1594" s="2" t="s">
        <v>4455</v>
      </c>
      <c r="M1594" s="1"/>
      <c r="N1594" s="1"/>
      <c r="O1594" s="1"/>
      <c r="P1594" s="1"/>
      <c r="Q1594" s="1"/>
      <c r="R1594" s="1"/>
      <c r="S1594" s="1"/>
      <c r="T1594" s="1"/>
      <c r="U1594" s="1"/>
      <c r="V1594" s="1"/>
      <c r="W1594" s="1"/>
      <c r="X1594" s="1"/>
      <c r="Y1594" s="1"/>
      <c r="Z1594" s="1"/>
    </row>
    <row r="1595" spans="1:26" ht="33.75" customHeight="1">
      <c r="A1595" s="1">
        <v>1960</v>
      </c>
      <c r="B1595" s="1" t="s">
        <v>4456</v>
      </c>
      <c r="C1595" s="1" t="s">
        <v>3800</v>
      </c>
      <c r="D1595" s="4">
        <v>39902.640972222223</v>
      </c>
      <c r="E1595" s="1" t="s">
        <v>54</v>
      </c>
      <c r="F1595" s="1"/>
      <c r="G1595" s="5" t="s">
        <v>64</v>
      </c>
      <c r="H1595" s="5" t="s">
        <v>65</v>
      </c>
      <c r="I1595" s="1" t="s">
        <v>886</v>
      </c>
      <c r="J1595" s="1"/>
      <c r="K1595" s="1" t="s">
        <v>4457</v>
      </c>
      <c r="L1595" s="2" t="s">
        <v>4458</v>
      </c>
      <c r="M1595" s="1"/>
      <c r="N1595" s="1"/>
      <c r="O1595" s="1"/>
      <c r="P1595" s="1"/>
      <c r="Q1595" s="1"/>
      <c r="R1595" s="1"/>
      <c r="S1595" s="1"/>
      <c r="T1595" s="1"/>
      <c r="U1595" s="1"/>
      <c r="V1595" s="1"/>
      <c r="W1595" s="1"/>
      <c r="X1595" s="1"/>
      <c r="Y1595" s="1"/>
      <c r="Z1595" s="1"/>
    </row>
    <row r="1596" spans="1:26" ht="33.75" customHeight="1">
      <c r="A1596" s="1">
        <v>2104</v>
      </c>
      <c r="B1596" s="1" t="s">
        <v>4459</v>
      </c>
      <c r="C1596" s="1" t="s">
        <v>4460</v>
      </c>
      <c r="D1596" s="4">
        <v>39902.65</v>
      </c>
      <c r="E1596" s="1" t="s">
        <v>772</v>
      </c>
      <c r="F1596" s="1"/>
      <c r="G1596" s="5" t="s">
        <v>33</v>
      </c>
      <c r="H1596" s="5" t="s">
        <v>34</v>
      </c>
      <c r="I1596" s="1" t="s">
        <v>1605</v>
      </c>
      <c r="J1596" s="1"/>
      <c r="K1596" s="1" t="s">
        <v>4461</v>
      </c>
      <c r="L1596" s="2" t="s">
        <v>4462</v>
      </c>
      <c r="M1596" s="1"/>
      <c r="N1596" s="1"/>
      <c r="O1596" s="1"/>
      <c r="P1596" s="1"/>
      <c r="Q1596" s="1"/>
      <c r="R1596" s="1"/>
      <c r="S1596" s="1"/>
      <c r="T1596" s="1"/>
      <c r="U1596" s="1"/>
      <c r="V1596" s="1"/>
      <c r="W1596" s="1"/>
      <c r="X1596" s="1"/>
      <c r="Y1596" s="1"/>
      <c r="Z1596" s="1"/>
    </row>
    <row r="1597" spans="1:26" ht="33.75" customHeight="1">
      <c r="A1597" s="1">
        <v>1400</v>
      </c>
      <c r="B1597" s="1" t="s">
        <v>4463</v>
      </c>
      <c r="C1597" s="1" t="s">
        <v>3929</v>
      </c>
      <c r="D1597" s="4">
        <v>39902.654861111114</v>
      </c>
      <c r="E1597" s="1" t="s">
        <v>196</v>
      </c>
      <c r="F1597" s="1"/>
      <c r="G1597" s="5" t="s">
        <v>15</v>
      </c>
      <c r="H1597" s="5" t="s">
        <v>140</v>
      </c>
      <c r="I1597" s="1" t="s">
        <v>35</v>
      </c>
      <c r="J1597" s="1"/>
      <c r="K1597" s="1" t="s">
        <v>4464</v>
      </c>
      <c r="L1597" s="2" t="s">
        <v>4465</v>
      </c>
      <c r="M1597" s="1"/>
      <c r="N1597" s="1"/>
      <c r="O1597" s="1"/>
      <c r="P1597" s="1"/>
      <c r="Q1597" s="1"/>
      <c r="R1597" s="1"/>
      <c r="S1597" s="1"/>
      <c r="T1597" s="1"/>
      <c r="U1597" s="1"/>
      <c r="V1597" s="1"/>
      <c r="W1597" s="1"/>
      <c r="X1597" s="1"/>
      <c r="Y1597" s="1"/>
      <c r="Z1597" s="1"/>
    </row>
    <row r="1598" spans="1:26" ht="33.75" customHeight="1">
      <c r="A1598" s="1">
        <v>1404</v>
      </c>
      <c r="B1598" s="1" t="s">
        <v>4466</v>
      </c>
      <c r="C1598" s="1" t="s">
        <v>3929</v>
      </c>
      <c r="D1598" s="4">
        <v>39902.844444444447</v>
      </c>
      <c r="E1598" s="1" t="s">
        <v>255</v>
      </c>
      <c r="F1598" s="1"/>
      <c r="G1598" s="5" t="s">
        <v>64</v>
      </c>
      <c r="H1598" s="1"/>
      <c r="I1598" s="1" t="s">
        <v>64</v>
      </c>
      <c r="J1598" s="1"/>
      <c r="K1598" s="1"/>
      <c r="L1598" s="2" t="s">
        <v>4467</v>
      </c>
      <c r="M1598" s="1"/>
      <c r="N1598" s="1"/>
      <c r="O1598" s="1"/>
      <c r="P1598" s="1"/>
      <c r="Q1598" s="1"/>
      <c r="R1598" s="1"/>
      <c r="S1598" s="1"/>
      <c r="T1598" s="1"/>
      <c r="U1598" s="1"/>
      <c r="V1598" s="1"/>
      <c r="W1598" s="1"/>
      <c r="X1598" s="1"/>
      <c r="Y1598" s="1"/>
      <c r="Z1598" s="1"/>
    </row>
    <row r="1599" spans="1:26" ht="33.75" customHeight="1">
      <c r="A1599" s="1">
        <v>2105</v>
      </c>
      <c r="B1599" s="1" t="s">
        <v>4468</v>
      </c>
      <c r="C1599" s="1" t="s">
        <v>4460</v>
      </c>
      <c r="D1599" s="4">
        <v>39902.847222222219</v>
      </c>
      <c r="E1599" s="1" t="s">
        <v>1089</v>
      </c>
      <c r="F1599" s="1"/>
      <c r="G1599" s="5" t="s">
        <v>64</v>
      </c>
      <c r="H1599" s="1"/>
      <c r="I1599" s="1" t="s">
        <v>64</v>
      </c>
      <c r="J1599" s="1"/>
      <c r="K1599" s="1"/>
      <c r="L1599" s="2" t="s">
        <v>4469</v>
      </c>
      <c r="M1599" s="1"/>
      <c r="N1599" s="1"/>
      <c r="O1599" s="1"/>
      <c r="P1599" s="1"/>
      <c r="Q1599" s="1"/>
      <c r="R1599" s="1"/>
      <c r="S1599" s="1"/>
      <c r="T1599" s="1"/>
      <c r="U1599" s="1"/>
      <c r="V1599" s="1"/>
      <c r="W1599" s="1"/>
      <c r="X1599" s="1"/>
      <c r="Y1599" s="1"/>
      <c r="Z1599" s="1"/>
    </row>
    <row r="1600" spans="1:26" ht="33.75" customHeight="1">
      <c r="A1600" s="1">
        <v>2106</v>
      </c>
      <c r="B1600" s="1" t="s">
        <v>4470</v>
      </c>
      <c r="C1600" s="1" t="s">
        <v>4460</v>
      </c>
      <c r="D1600" s="4">
        <v>39902.875</v>
      </c>
      <c r="E1600" s="1" t="s">
        <v>1089</v>
      </c>
      <c r="F1600" s="1" t="s">
        <v>4468</v>
      </c>
      <c r="G1600" s="5" t="s">
        <v>64</v>
      </c>
      <c r="H1600" s="5" t="s">
        <v>179</v>
      </c>
      <c r="I1600" s="1" t="s">
        <v>179</v>
      </c>
      <c r="J1600" s="1"/>
      <c r="K1600" s="1"/>
      <c r="L1600" s="2" t="s">
        <v>4471</v>
      </c>
      <c r="M1600" s="1"/>
      <c r="N1600" s="1"/>
      <c r="O1600" s="1"/>
      <c r="P1600" s="1"/>
      <c r="Q1600" s="1"/>
      <c r="R1600" s="1"/>
      <c r="S1600" s="1"/>
      <c r="T1600" s="1"/>
      <c r="U1600" s="1"/>
      <c r="V1600" s="1"/>
      <c r="W1600" s="1"/>
      <c r="X1600" s="1"/>
      <c r="Y1600" s="1"/>
      <c r="Z1600" s="1"/>
    </row>
    <row r="1601" spans="1:26" ht="33.75" customHeight="1">
      <c r="A1601" s="1">
        <v>2107</v>
      </c>
      <c r="B1601" s="1" t="s">
        <v>4472</v>
      </c>
      <c r="C1601" s="1" t="s">
        <v>4460</v>
      </c>
      <c r="D1601" s="4">
        <v>39902.883333333331</v>
      </c>
      <c r="E1601" s="1" t="s">
        <v>772</v>
      </c>
      <c r="F1601" s="1"/>
      <c r="G1601" s="5" t="s">
        <v>33</v>
      </c>
      <c r="H1601" s="5" t="s">
        <v>34</v>
      </c>
      <c r="I1601" s="1" t="s">
        <v>1605</v>
      </c>
      <c r="J1601" s="1"/>
      <c r="K1601" s="1" t="s">
        <v>4473</v>
      </c>
      <c r="L1601" s="2" t="s">
        <v>4474</v>
      </c>
      <c r="M1601" s="1"/>
      <c r="N1601" s="1"/>
      <c r="O1601" s="1"/>
      <c r="P1601" s="1"/>
      <c r="Q1601" s="1"/>
      <c r="R1601" s="1"/>
      <c r="S1601" s="1"/>
      <c r="T1601" s="1"/>
      <c r="U1601" s="1"/>
      <c r="V1601" s="1"/>
      <c r="W1601" s="1"/>
      <c r="X1601" s="1"/>
      <c r="Y1601" s="1"/>
      <c r="Z1601" s="1"/>
    </row>
    <row r="1602" spans="1:26" ht="33.75" customHeight="1">
      <c r="A1602" s="1">
        <v>1576</v>
      </c>
      <c r="B1602" s="1" t="s">
        <v>12</v>
      </c>
      <c r="C1602" s="1" t="s">
        <v>4460</v>
      </c>
      <c r="D1602" s="4">
        <v>39902.89298611111</v>
      </c>
      <c r="E1602" s="1" t="s">
        <v>175</v>
      </c>
      <c r="F1602" s="1"/>
      <c r="G1602" s="5" t="s">
        <v>64</v>
      </c>
      <c r="H1602" s="5" t="s">
        <v>65</v>
      </c>
      <c r="I1602" s="1" t="s">
        <v>886</v>
      </c>
      <c r="J1602" s="1"/>
      <c r="K1602" s="1" t="s">
        <v>4475</v>
      </c>
      <c r="L1602" s="2" t="s">
        <v>4476</v>
      </c>
      <c r="M1602" s="1"/>
      <c r="N1602" s="1"/>
      <c r="O1602" s="1"/>
      <c r="P1602" s="1"/>
      <c r="Q1602" s="1"/>
      <c r="R1602" s="1"/>
      <c r="S1602" s="1"/>
      <c r="T1602" s="1"/>
      <c r="U1602" s="1"/>
      <c r="V1602" s="1"/>
      <c r="W1602" s="1"/>
      <c r="X1602" s="1"/>
      <c r="Y1602" s="1"/>
      <c r="Z1602" s="1"/>
    </row>
    <row r="1603" spans="1:26" ht="33.75" customHeight="1">
      <c r="A1603" s="1">
        <v>2108</v>
      </c>
      <c r="B1603" s="1" t="s">
        <v>4477</v>
      </c>
      <c r="C1603" s="1" t="s">
        <v>4460</v>
      </c>
      <c r="D1603" s="4">
        <v>39902.932638888888</v>
      </c>
      <c r="E1603" s="1" t="s">
        <v>1887</v>
      </c>
      <c r="F1603" s="1"/>
      <c r="G1603" s="5" t="s">
        <v>64</v>
      </c>
      <c r="H1603" s="5" t="s">
        <v>375</v>
      </c>
      <c r="I1603" s="1" t="s">
        <v>900</v>
      </c>
      <c r="J1603" s="1"/>
      <c r="K1603" s="1"/>
      <c r="L1603" s="2" t="s">
        <v>4478</v>
      </c>
      <c r="M1603" s="1"/>
      <c r="N1603" s="1"/>
      <c r="O1603" s="1"/>
      <c r="P1603" s="1"/>
      <c r="Q1603" s="1"/>
      <c r="R1603" s="1"/>
      <c r="S1603" s="1"/>
      <c r="T1603" s="1"/>
      <c r="U1603" s="1"/>
      <c r="V1603" s="1"/>
      <c r="W1603" s="1"/>
      <c r="X1603" s="1"/>
      <c r="Y1603" s="1"/>
      <c r="Z1603" s="1"/>
    </row>
    <row r="1604" spans="1:26" ht="33.75" customHeight="1">
      <c r="A1604" s="1">
        <v>2109</v>
      </c>
      <c r="B1604" s="1" t="s">
        <v>4479</v>
      </c>
      <c r="C1604" s="1" t="s">
        <v>4460</v>
      </c>
      <c r="D1604" s="4">
        <v>39903.060416666667</v>
      </c>
      <c r="E1604" s="1" t="s">
        <v>1089</v>
      </c>
      <c r="F1604" s="1" t="s">
        <v>4480</v>
      </c>
      <c r="G1604" s="5" t="s">
        <v>64</v>
      </c>
      <c r="H1604" s="5" t="s">
        <v>431</v>
      </c>
      <c r="I1604" s="1" t="s">
        <v>4481</v>
      </c>
      <c r="J1604" s="1"/>
      <c r="K1604" s="1"/>
      <c r="L1604" s="2" t="s">
        <v>4482</v>
      </c>
      <c r="M1604" s="1"/>
      <c r="N1604" s="1"/>
      <c r="O1604" s="1"/>
      <c r="P1604" s="1"/>
      <c r="Q1604" s="1"/>
      <c r="R1604" s="1"/>
      <c r="S1604" s="1"/>
      <c r="T1604" s="1"/>
      <c r="U1604" s="1"/>
      <c r="V1604" s="1"/>
      <c r="W1604" s="1"/>
      <c r="X1604" s="1"/>
      <c r="Y1604" s="1"/>
      <c r="Z1604" s="1"/>
    </row>
    <row r="1605" spans="1:26" ht="33.75" customHeight="1">
      <c r="A1605" s="1">
        <v>1534</v>
      </c>
      <c r="B1605" s="1" t="s">
        <v>4483</v>
      </c>
      <c r="C1605" s="1" t="s">
        <v>4151</v>
      </c>
      <c r="D1605" s="4">
        <v>39903.07708333333</v>
      </c>
      <c r="E1605" s="1" t="s">
        <v>4484</v>
      </c>
      <c r="F1605" s="1"/>
      <c r="G1605" s="5" t="s">
        <v>15</v>
      </c>
      <c r="H1605" s="5" t="s">
        <v>50</v>
      </c>
      <c r="I1605" s="1" t="s">
        <v>166</v>
      </c>
      <c r="J1605" s="1"/>
      <c r="K1605" s="1" t="s">
        <v>4485</v>
      </c>
      <c r="L1605" s="2" t="s">
        <v>4486</v>
      </c>
      <c r="M1605" s="1"/>
      <c r="N1605" s="1"/>
      <c r="O1605" s="1"/>
      <c r="P1605" s="1"/>
      <c r="Q1605" s="1"/>
      <c r="R1605" s="1"/>
      <c r="S1605" s="1"/>
      <c r="T1605" s="1"/>
      <c r="U1605" s="1"/>
      <c r="V1605" s="1"/>
      <c r="W1605" s="1"/>
      <c r="X1605" s="1"/>
      <c r="Y1605" s="1"/>
      <c r="Z1605" s="1"/>
    </row>
    <row r="1606" spans="1:26" ht="33.75" customHeight="1">
      <c r="A1606" s="1">
        <v>1405</v>
      </c>
      <c r="B1606" s="1" t="s">
        <v>4487</v>
      </c>
      <c r="C1606" s="1" t="s">
        <v>3929</v>
      </c>
      <c r="D1606" s="4">
        <v>39903.265277777777</v>
      </c>
      <c r="E1606" s="1" t="s">
        <v>772</v>
      </c>
      <c r="F1606" s="1">
        <v>1185</v>
      </c>
      <c r="G1606" s="6" t="s">
        <v>78</v>
      </c>
      <c r="H1606" s="1" t="s">
        <v>870</v>
      </c>
      <c r="I1606" s="1" t="s">
        <v>480</v>
      </c>
      <c r="J1606" s="1" t="s">
        <v>481</v>
      </c>
      <c r="K1606" s="1"/>
      <c r="L1606" s="2" t="s">
        <v>4488</v>
      </c>
      <c r="M1606" s="1"/>
      <c r="N1606" s="1"/>
      <c r="O1606" s="1"/>
      <c r="P1606" s="1"/>
      <c r="Q1606" s="1"/>
      <c r="R1606" s="1"/>
      <c r="S1606" s="1"/>
      <c r="T1606" s="1"/>
      <c r="U1606" s="1"/>
      <c r="V1606" s="1"/>
      <c r="W1606" s="1"/>
      <c r="X1606" s="1"/>
      <c r="Y1606" s="1"/>
      <c r="Z1606" s="1"/>
    </row>
    <row r="1607" spans="1:26" ht="33.75" customHeight="1">
      <c r="A1607" s="1">
        <v>1406</v>
      </c>
      <c r="B1607" s="1" t="s">
        <v>4489</v>
      </c>
      <c r="C1607" s="1" t="s">
        <v>3929</v>
      </c>
      <c r="D1607" s="4">
        <v>39903.424305555556</v>
      </c>
      <c r="E1607" s="1" t="s">
        <v>314</v>
      </c>
      <c r="F1607" s="1"/>
      <c r="G1607" s="5" t="s">
        <v>64</v>
      </c>
      <c r="H1607" s="1"/>
      <c r="I1607" s="1" t="s">
        <v>64</v>
      </c>
      <c r="J1607" s="1"/>
      <c r="K1607" s="1"/>
      <c r="L1607" s="2" t="s">
        <v>4490</v>
      </c>
      <c r="M1607" s="1"/>
      <c r="N1607" s="1"/>
      <c r="O1607" s="1"/>
      <c r="P1607" s="1"/>
      <c r="Q1607" s="1"/>
      <c r="R1607" s="1"/>
      <c r="S1607" s="1"/>
      <c r="T1607" s="1"/>
      <c r="U1607" s="1"/>
      <c r="V1607" s="1"/>
      <c r="W1607" s="1"/>
      <c r="X1607" s="1"/>
      <c r="Y1607" s="1"/>
      <c r="Z1607" s="1"/>
    </row>
    <row r="1608" spans="1:26" ht="33.75" customHeight="1">
      <c r="A1608" s="1">
        <v>2110</v>
      </c>
      <c r="B1608" s="1" t="s">
        <v>4491</v>
      </c>
      <c r="C1608" s="1" t="s">
        <v>4460</v>
      </c>
      <c r="D1608" s="4">
        <v>39903.509027777778</v>
      </c>
      <c r="E1608" s="1" t="s">
        <v>1887</v>
      </c>
      <c r="F1608" s="1"/>
      <c r="G1608" s="5" t="s">
        <v>64</v>
      </c>
      <c r="H1608" s="1"/>
      <c r="I1608" s="1" t="s">
        <v>64</v>
      </c>
      <c r="J1608" s="1"/>
      <c r="K1608" s="1"/>
      <c r="L1608" s="2" t="s">
        <v>4492</v>
      </c>
      <c r="M1608" s="1"/>
      <c r="N1608" s="1"/>
      <c r="O1608" s="1"/>
      <c r="P1608" s="1"/>
      <c r="Q1608" s="1"/>
      <c r="R1608" s="1"/>
      <c r="S1608" s="1"/>
      <c r="T1608" s="1"/>
      <c r="U1608" s="1"/>
      <c r="V1608" s="1"/>
      <c r="W1608" s="1"/>
      <c r="X1608" s="1"/>
      <c r="Y1608" s="1"/>
      <c r="Z1608" s="1"/>
    </row>
    <row r="1609" spans="1:26" ht="33.75" customHeight="1">
      <c r="A1609" s="1">
        <v>2111</v>
      </c>
      <c r="B1609" s="1" t="s">
        <v>4493</v>
      </c>
      <c r="C1609" s="1" t="s">
        <v>4460</v>
      </c>
      <c r="D1609" s="4">
        <v>39903.515972222223</v>
      </c>
      <c r="E1609" s="1" t="s">
        <v>772</v>
      </c>
      <c r="F1609" s="1"/>
      <c r="G1609" s="5" t="s">
        <v>33</v>
      </c>
      <c r="H1609" s="5" t="s">
        <v>34</v>
      </c>
      <c r="I1609" s="1" t="s">
        <v>1605</v>
      </c>
      <c r="J1609" s="1"/>
      <c r="K1609" s="1" t="s">
        <v>4494</v>
      </c>
      <c r="L1609" s="2" t="s">
        <v>4495</v>
      </c>
      <c r="M1609" s="1"/>
      <c r="N1609" s="1"/>
      <c r="O1609" s="1"/>
      <c r="P1609" s="1"/>
      <c r="Q1609" s="1"/>
      <c r="R1609" s="1"/>
      <c r="S1609" s="1"/>
      <c r="T1609" s="1"/>
      <c r="U1609" s="1"/>
      <c r="V1609" s="1"/>
      <c r="W1609" s="1"/>
      <c r="X1609" s="1"/>
      <c r="Y1609" s="1"/>
      <c r="Z1609" s="1"/>
    </row>
    <row r="1610" spans="1:26" ht="33.75" customHeight="1">
      <c r="A1610" s="1">
        <v>2112</v>
      </c>
      <c r="B1610" s="1" t="s">
        <v>4496</v>
      </c>
      <c r="C1610" s="1" t="s">
        <v>4460</v>
      </c>
      <c r="D1610" s="4">
        <v>39903.523611111108</v>
      </c>
      <c r="E1610" s="1" t="s">
        <v>772</v>
      </c>
      <c r="F1610" s="1" t="s">
        <v>4491</v>
      </c>
      <c r="G1610" s="5" t="s">
        <v>26</v>
      </c>
      <c r="H1610" s="5" t="s">
        <v>27</v>
      </c>
      <c r="I1610" s="1" t="s">
        <v>28</v>
      </c>
      <c r="J1610" s="1" t="s">
        <v>259</v>
      </c>
      <c r="K1610" s="1"/>
      <c r="L1610" s="2" t="s">
        <v>4497</v>
      </c>
      <c r="M1610" s="1"/>
      <c r="N1610" s="1"/>
      <c r="O1610" s="1"/>
      <c r="P1610" s="1"/>
      <c r="Q1610" s="1"/>
      <c r="R1610" s="1"/>
      <c r="S1610" s="1"/>
      <c r="T1610" s="1"/>
      <c r="U1610" s="1"/>
      <c r="V1610" s="1"/>
      <c r="W1610" s="1"/>
      <c r="X1610" s="1"/>
      <c r="Y1610" s="1"/>
      <c r="Z1610" s="1"/>
    </row>
    <row r="1611" spans="1:26" ht="33.75" customHeight="1">
      <c r="A1611" s="1">
        <v>2113</v>
      </c>
      <c r="B1611" s="1" t="s">
        <v>4498</v>
      </c>
      <c r="C1611" s="1" t="s">
        <v>4460</v>
      </c>
      <c r="D1611" s="4">
        <v>39903.54791666667</v>
      </c>
      <c r="E1611" s="1" t="s">
        <v>32</v>
      </c>
      <c r="F1611" s="1"/>
      <c r="G1611" s="5" t="s">
        <v>26</v>
      </c>
      <c r="H1611" s="5" t="s">
        <v>133</v>
      </c>
      <c r="I1611" s="1" t="s">
        <v>4499</v>
      </c>
      <c r="J1611" s="1"/>
      <c r="K1611" s="1"/>
      <c r="L1611" s="2" t="s">
        <v>4500</v>
      </c>
      <c r="M1611" s="1"/>
      <c r="N1611" s="1"/>
      <c r="O1611" s="1"/>
      <c r="P1611" s="1"/>
      <c r="Q1611" s="1"/>
      <c r="R1611" s="1"/>
      <c r="S1611" s="1"/>
      <c r="T1611" s="1"/>
      <c r="U1611" s="1"/>
      <c r="V1611" s="1"/>
      <c r="W1611" s="1"/>
      <c r="X1611" s="1"/>
      <c r="Y1611" s="1"/>
      <c r="Z1611" s="1"/>
    </row>
    <row r="1612" spans="1:26" ht="33.75" customHeight="1">
      <c r="A1612" s="1">
        <v>1350</v>
      </c>
      <c r="B1612" s="1" t="s">
        <v>4501</v>
      </c>
      <c r="C1612" s="1" t="s">
        <v>3255</v>
      </c>
      <c r="D1612" s="4">
        <v>39903.57708333333</v>
      </c>
      <c r="E1612" s="1" t="s">
        <v>314</v>
      </c>
      <c r="F1612" s="1"/>
      <c r="G1612" s="5" t="s">
        <v>15</v>
      </c>
      <c r="H1612" s="5" t="s">
        <v>22</v>
      </c>
      <c r="I1612" s="1" t="s">
        <v>23</v>
      </c>
      <c r="J1612" s="1"/>
      <c r="K1612" s="1"/>
      <c r="L1612" s="2" t="s">
        <v>4502</v>
      </c>
      <c r="M1612" s="1"/>
      <c r="N1612" s="1"/>
      <c r="O1612" s="1"/>
      <c r="P1612" s="1"/>
      <c r="Q1612" s="1"/>
      <c r="R1612" s="1"/>
      <c r="S1612" s="1"/>
      <c r="T1612" s="1"/>
      <c r="U1612" s="1"/>
      <c r="V1612" s="1"/>
      <c r="W1612" s="1"/>
      <c r="X1612" s="1"/>
      <c r="Y1612" s="1"/>
      <c r="Z1612" s="1"/>
    </row>
    <row r="1613" spans="1:26" ht="33.75" customHeight="1">
      <c r="A1613" s="1">
        <v>2114</v>
      </c>
      <c r="B1613" s="1" t="s">
        <v>4503</v>
      </c>
      <c r="C1613" s="1" t="s">
        <v>4460</v>
      </c>
      <c r="D1613" s="4">
        <v>39903.618750000001</v>
      </c>
      <c r="E1613" s="1" t="s">
        <v>84</v>
      </c>
      <c r="F1613" s="1" t="s">
        <v>4498</v>
      </c>
      <c r="G1613" s="5" t="s">
        <v>15</v>
      </c>
      <c r="H1613" s="5" t="s">
        <v>150</v>
      </c>
      <c r="I1613" s="1" t="s">
        <v>2121</v>
      </c>
      <c r="J1613" s="1"/>
      <c r="K1613" s="1"/>
      <c r="L1613" s="2" t="s">
        <v>4504</v>
      </c>
      <c r="M1613" s="1"/>
      <c r="N1613" s="1"/>
      <c r="O1613" s="1"/>
      <c r="P1613" s="1"/>
      <c r="Q1613" s="1"/>
      <c r="R1613" s="1"/>
      <c r="S1613" s="1"/>
      <c r="T1613" s="1"/>
      <c r="U1613" s="1"/>
      <c r="V1613" s="1"/>
      <c r="W1613" s="1"/>
      <c r="X1613" s="1"/>
      <c r="Y1613" s="1"/>
      <c r="Z1613" s="1"/>
    </row>
    <row r="1614" spans="1:26" ht="33.75" customHeight="1">
      <c r="A1614" s="1">
        <v>1332</v>
      </c>
      <c r="B1614" s="1" t="s">
        <v>4505</v>
      </c>
      <c r="C1614" s="1" t="s">
        <v>3255</v>
      </c>
      <c r="D1614" s="4">
        <v>39903.67083333333</v>
      </c>
      <c r="E1614" s="1" t="s">
        <v>110</v>
      </c>
      <c r="F1614" s="1"/>
      <c r="G1614" s="5" t="s">
        <v>33</v>
      </c>
      <c r="H1614" s="5" t="s">
        <v>34</v>
      </c>
      <c r="I1614" s="1" t="s">
        <v>4506</v>
      </c>
      <c r="J1614" s="1"/>
      <c r="K1614" s="1" t="s">
        <v>4507</v>
      </c>
      <c r="L1614" s="2" t="s">
        <v>4508</v>
      </c>
      <c r="M1614" s="1"/>
      <c r="N1614" s="1"/>
      <c r="O1614" s="1"/>
      <c r="P1614" s="1"/>
      <c r="Q1614" s="1"/>
      <c r="R1614" s="1"/>
      <c r="S1614" s="1"/>
      <c r="T1614" s="1"/>
      <c r="U1614" s="1"/>
      <c r="V1614" s="1"/>
      <c r="W1614" s="1"/>
      <c r="X1614" s="1"/>
      <c r="Y1614" s="1"/>
      <c r="Z1614" s="1"/>
    </row>
    <row r="1615" spans="1:26" ht="33.75" customHeight="1">
      <c r="A1615" s="1">
        <v>2115</v>
      </c>
      <c r="B1615" s="1" t="s">
        <v>4509</v>
      </c>
      <c r="C1615" s="1" t="s">
        <v>4460</v>
      </c>
      <c r="D1615" s="4">
        <v>39903.681944444441</v>
      </c>
      <c r="E1615" s="1" t="s">
        <v>54</v>
      </c>
      <c r="F1615" s="1" t="s">
        <v>4510</v>
      </c>
      <c r="G1615" s="6" t="s">
        <v>78</v>
      </c>
      <c r="H1615" s="5" t="s">
        <v>870</v>
      </c>
      <c r="I1615" s="1" t="s">
        <v>4511</v>
      </c>
      <c r="J1615" s="1"/>
      <c r="K1615" s="1"/>
      <c r="L1615" s="2" t="s">
        <v>4512</v>
      </c>
      <c r="M1615" s="1"/>
      <c r="N1615" s="1"/>
      <c r="O1615" s="1"/>
      <c r="P1615" s="1"/>
      <c r="Q1615" s="1"/>
      <c r="R1615" s="1"/>
      <c r="S1615" s="1"/>
      <c r="T1615" s="1"/>
      <c r="U1615" s="1"/>
      <c r="V1615" s="1"/>
      <c r="W1615" s="1"/>
      <c r="X1615" s="1"/>
      <c r="Y1615" s="1"/>
      <c r="Z1615" s="1"/>
    </row>
    <row r="1616" spans="1:26" ht="33.75" customHeight="1">
      <c r="A1616" s="1">
        <v>2116</v>
      </c>
      <c r="B1616" s="1" t="s">
        <v>4513</v>
      </c>
      <c r="C1616" s="1" t="s">
        <v>4460</v>
      </c>
      <c r="D1616" s="4">
        <v>39903.713194444441</v>
      </c>
      <c r="E1616" s="1" t="s">
        <v>32</v>
      </c>
      <c r="F1616" s="1"/>
      <c r="G1616" s="5" t="s">
        <v>64</v>
      </c>
      <c r="H1616" s="1"/>
      <c r="I1616" s="1" t="s">
        <v>64</v>
      </c>
      <c r="J1616" s="1"/>
      <c r="K1616" s="1"/>
      <c r="L1616" s="2" t="s">
        <v>4514</v>
      </c>
      <c r="M1616" s="1"/>
      <c r="N1616" s="1"/>
      <c r="O1616" s="1"/>
      <c r="P1616" s="1"/>
      <c r="Q1616" s="1"/>
      <c r="R1616" s="1"/>
      <c r="S1616" s="1"/>
      <c r="T1616" s="1"/>
      <c r="U1616" s="1"/>
      <c r="V1616" s="1"/>
      <c r="W1616" s="1"/>
      <c r="X1616" s="1"/>
      <c r="Y1616" s="1"/>
      <c r="Z1616" s="1"/>
    </row>
    <row r="1617" spans="1:26" ht="33.75" customHeight="1">
      <c r="A1617" s="1">
        <v>2117</v>
      </c>
      <c r="B1617" s="1" t="s">
        <v>4515</v>
      </c>
      <c r="C1617" s="1" t="s">
        <v>4460</v>
      </c>
      <c r="D1617" s="4">
        <v>39903.866666666669</v>
      </c>
      <c r="E1617" s="1" t="s">
        <v>772</v>
      </c>
      <c r="F1617" s="1" t="s">
        <v>4493</v>
      </c>
      <c r="G1617" s="5" t="s">
        <v>33</v>
      </c>
      <c r="H1617" s="5" t="s">
        <v>34</v>
      </c>
      <c r="I1617" s="1" t="s">
        <v>1605</v>
      </c>
      <c r="J1617" s="1"/>
      <c r="K1617" s="1"/>
      <c r="L1617" s="2" t="s">
        <v>4516</v>
      </c>
      <c r="M1617" s="1"/>
      <c r="N1617" s="1"/>
      <c r="O1617" s="1"/>
      <c r="P1617" s="1"/>
      <c r="Q1617" s="1"/>
      <c r="R1617" s="1"/>
      <c r="S1617" s="1"/>
      <c r="T1617" s="1"/>
      <c r="U1617" s="1"/>
      <c r="V1617" s="1"/>
      <c r="W1617" s="1"/>
      <c r="X1617" s="1"/>
      <c r="Y1617" s="1"/>
      <c r="Z1617" s="1"/>
    </row>
    <row r="1618" spans="1:26" ht="33.75" customHeight="1">
      <c r="A1618" s="1">
        <v>2118</v>
      </c>
      <c r="B1618" s="1" t="s">
        <v>4517</v>
      </c>
      <c r="C1618" s="1" t="s">
        <v>4460</v>
      </c>
      <c r="D1618" s="4">
        <v>39904.011111111111</v>
      </c>
      <c r="E1618" s="1" t="s">
        <v>314</v>
      </c>
      <c r="F1618" s="1"/>
      <c r="G1618" s="5" t="s">
        <v>64</v>
      </c>
      <c r="H1618" s="1"/>
      <c r="I1618" s="1" t="s">
        <v>64</v>
      </c>
      <c r="J1618" s="1"/>
      <c r="K1618" s="1" t="s">
        <v>4518</v>
      </c>
      <c r="L1618" s="2" t="s">
        <v>4519</v>
      </c>
      <c r="M1618" s="1"/>
      <c r="N1618" s="1"/>
      <c r="O1618" s="1"/>
      <c r="P1618" s="1"/>
      <c r="Q1618" s="1"/>
      <c r="R1618" s="1"/>
      <c r="S1618" s="1"/>
      <c r="T1618" s="1"/>
      <c r="U1618" s="1"/>
      <c r="V1618" s="1"/>
      <c r="W1618" s="1"/>
      <c r="X1618" s="1"/>
      <c r="Y1618" s="1"/>
      <c r="Z1618" s="1"/>
    </row>
    <row r="1619" spans="1:26" ht="33.75" customHeight="1">
      <c r="A1619" s="1">
        <v>2119</v>
      </c>
      <c r="B1619" s="1" t="s">
        <v>4520</v>
      </c>
      <c r="C1619" s="1" t="s">
        <v>4460</v>
      </c>
      <c r="D1619" s="4">
        <v>39904.374305555553</v>
      </c>
      <c r="E1619" s="1" t="s">
        <v>196</v>
      </c>
      <c r="F1619" s="1" t="s">
        <v>4515</v>
      </c>
      <c r="G1619" s="5" t="s">
        <v>64</v>
      </c>
      <c r="H1619" s="1"/>
      <c r="I1619" s="1" t="s">
        <v>64</v>
      </c>
      <c r="J1619" s="1"/>
      <c r="K1619" s="1"/>
      <c r="L1619" s="2" t="s">
        <v>4521</v>
      </c>
      <c r="M1619" s="1"/>
      <c r="N1619" s="1"/>
      <c r="O1619" s="1"/>
      <c r="P1619" s="1"/>
      <c r="Q1619" s="1"/>
      <c r="R1619" s="1"/>
      <c r="S1619" s="1"/>
      <c r="T1619" s="1"/>
      <c r="U1619" s="1"/>
      <c r="V1619" s="1"/>
      <c r="W1619" s="1"/>
      <c r="X1619" s="1"/>
      <c r="Y1619" s="1"/>
      <c r="Z1619" s="1"/>
    </row>
    <row r="1620" spans="1:26" ht="33.75" customHeight="1">
      <c r="A1620" s="1">
        <v>2120</v>
      </c>
      <c r="B1620" s="1" t="s">
        <v>4522</v>
      </c>
      <c r="C1620" s="1" t="s">
        <v>4460</v>
      </c>
      <c r="D1620" s="4">
        <v>39904.384027777778</v>
      </c>
      <c r="E1620" s="1" t="s">
        <v>196</v>
      </c>
      <c r="F1620" s="1" t="s">
        <v>4520</v>
      </c>
      <c r="G1620" s="5" t="s">
        <v>64</v>
      </c>
      <c r="H1620" s="5" t="s">
        <v>282</v>
      </c>
      <c r="I1620" s="1" t="s">
        <v>283</v>
      </c>
      <c r="J1620" s="1"/>
      <c r="K1620" s="1"/>
      <c r="L1620" s="2" t="s">
        <v>4523</v>
      </c>
      <c r="M1620" s="1"/>
      <c r="N1620" s="1"/>
      <c r="O1620" s="1"/>
      <c r="P1620" s="1"/>
      <c r="Q1620" s="1"/>
      <c r="R1620" s="1"/>
      <c r="S1620" s="1"/>
      <c r="T1620" s="1"/>
      <c r="U1620" s="1"/>
      <c r="V1620" s="1"/>
      <c r="W1620" s="1"/>
      <c r="X1620" s="1"/>
      <c r="Y1620" s="1"/>
      <c r="Z1620" s="1"/>
    </row>
    <row r="1621" spans="1:26" ht="33.75" customHeight="1">
      <c r="A1621" s="1">
        <v>2121</v>
      </c>
      <c r="B1621" s="1" t="s">
        <v>4524</v>
      </c>
      <c r="C1621" s="1" t="s">
        <v>4460</v>
      </c>
      <c r="D1621" s="4">
        <v>39904.411111111112</v>
      </c>
      <c r="E1621" s="1" t="s">
        <v>1089</v>
      </c>
      <c r="F1621" s="1" t="s">
        <v>4525</v>
      </c>
      <c r="G1621" s="5" t="s">
        <v>64</v>
      </c>
      <c r="H1621" s="1"/>
      <c r="I1621" s="1" t="s">
        <v>64</v>
      </c>
      <c r="J1621" s="1"/>
      <c r="K1621" s="1"/>
      <c r="L1621" s="2" t="s">
        <v>4526</v>
      </c>
      <c r="M1621" s="1"/>
      <c r="N1621" s="1"/>
      <c r="O1621" s="1"/>
      <c r="P1621" s="1"/>
      <c r="Q1621" s="1"/>
      <c r="R1621" s="1"/>
      <c r="S1621" s="1"/>
      <c r="T1621" s="1"/>
      <c r="U1621" s="1"/>
      <c r="V1621" s="1"/>
      <c r="W1621" s="1"/>
      <c r="X1621" s="1"/>
      <c r="Y1621" s="1"/>
      <c r="Z1621" s="1"/>
    </row>
    <row r="1622" spans="1:26" ht="33.75" customHeight="1">
      <c r="A1622" s="1">
        <v>2122</v>
      </c>
      <c r="B1622" s="1" t="s">
        <v>4527</v>
      </c>
      <c r="C1622" s="1" t="s">
        <v>4460</v>
      </c>
      <c r="D1622" s="4">
        <v>39904.442361111112</v>
      </c>
      <c r="E1622" s="1" t="s">
        <v>255</v>
      </c>
      <c r="F1622" s="1" t="s">
        <v>4522</v>
      </c>
      <c r="G1622" s="5" t="s">
        <v>26</v>
      </c>
      <c r="H1622" s="5" t="s">
        <v>133</v>
      </c>
      <c r="I1622" s="1" t="s">
        <v>28</v>
      </c>
      <c r="J1622" s="1" t="s">
        <v>134</v>
      </c>
      <c r="K1622" s="1"/>
      <c r="L1622" s="2" t="s">
        <v>4528</v>
      </c>
      <c r="M1622" s="1"/>
      <c r="N1622" s="1"/>
      <c r="O1622" s="1"/>
      <c r="P1622" s="1"/>
      <c r="Q1622" s="1"/>
      <c r="R1622" s="1"/>
      <c r="S1622" s="1"/>
      <c r="T1622" s="1"/>
      <c r="U1622" s="1"/>
      <c r="V1622" s="1"/>
      <c r="W1622" s="1"/>
      <c r="X1622" s="1"/>
      <c r="Y1622" s="1"/>
      <c r="Z1622" s="1"/>
    </row>
    <row r="1623" spans="1:26" ht="33.75" customHeight="1">
      <c r="A1623" s="1">
        <v>2123</v>
      </c>
      <c r="B1623" s="1" t="s">
        <v>4529</v>
      </c>
      <c r="C1623" s="1" t="s">
        <v>4460</v>
      </c>
      <c r="D1623" s="4">
        <v>39904.447222222225</v>
      </c>
      <c r="E1623" s="1" t="s">
        <v>54</v>
      </c>
      <c r="F1623" s="1"/>
      <c r="G1623" s="5" t="s">
        <v>64</v>
      </c>
      <c r="H1623" s="1"/>
      <c r="I1623" s="1" t="s">
        <v>64</v>
      </c>
      <c r="J1623" s="1"/>
      <c r="K1623" s="1"/>
      <c r="L1623" s="2" t="s">
        <v>4530</v>
      </c>
      <c r="M1623" s="1"/>
      <c r="N1623" s="1"/>
      <c r="O1623" s="1"/>
      <c r="P1623" s="1"/>
      <c r="Q1623" s="1"/>
      <c r="R1623" s="1"/>
      <c r="S1623" s="1"/>
      <c r="T1623" s="1"/>
      <c r="U1623" s="1"/>
      <c r="V1623" s="1"/>
      <c r="W1623" s="1"/>
      <c r="X1623" s="1"/>
      <c r="Y1623" s="1"/>
      <c r="Z1623" s="1"/>
    </row>
    <row r="1624" spans="1:26" ht="33.75" customHeight="1">
      <c r="A1624" s="1">
        <v>2124</v>
      </c>
      <c r="B1624" s="1" t="s">
        <v>4531</v>
      </c>
      <c r="C1624" s="1" t="s">
        <v>4460</v>
      </c>
      <c r="D1624" s="4">
        <v>39904.458333333336</v>
      </c>
      <c r="E1624" s="1" t="s">
        <v>32</v>
      </c>
      <c r="F1624" s="1"/>
      <c r="G1624" s="5" t="s">
        <v>64</v>
      </c>
      <c r="H1624" s="1"/>
      <c r="I1624" s="1" t="s">
        <v>64</v>
      </c>
      <c r="J1624" s="1"/>
      <c r="K1624" s="1" t="s">
        <v>4532</v>
      </c>
      <c r="L1624" s="2" t="s">
        <v>4533</v>
      </c>
      <c r="M1624" s="1"/>
      <c r="N1624" s="1"/>
      <c r="O1624" s="1"/>
      <c r="P1624" s="1"/>
      <c r="Q1624" s="1"/>
      <c r="R1624" s="1"/>
      <c r="S1624" s="1"/>
      <c r="T1624" s="1"/>
      <c r="U1624" s="1"/>
      <c r="V1624" s="1"/>
      <c r="W1624" s="1"/>
      <c r="X1624" s="1"/>
      <c r="Y1624" s="1"/>
      <c r="Z1624" s="1"/>
    </row>
    <row r="1625" spans="1:26" ht="33.75" customHeight="1">
      <c r="A1625" s="1">
        <v>2125</v>
      </c>
      <c r="B1625" s="1" t="s">
        <v>4534</v>
      </c>
      <c r="C1625" s="1" t="s">
        <v>4460</v>
      </c>
      <c r="D1625" s="4">
        <v>39904.490277777775</v>
      </c>
      <c r="E1625" s="1" t="s">
        <v>196</v>
      </c>
      <c r="F1625" s="1" t="s">
        <v>4535</v>
      </c>
      <c r="G1625" s="5" t="s">
        <v>64</v>
      </c>
      <c r="H1625" s="1"/>
      <c r="I1625" s="1" t="s">
        <v>64</v>
      </c>
      <c r="J1625" s="1"/>
      <c r="K1625" s="1"/>
      <c r="L1625" s="2" t="s">
        <v>4536</v>
      </c>
      <c r="M1625" s="1"/>
      <c r="N1625" s="1"/>
      <c r="O1625" s="1"/>
      <c r="P1625" s="1"/>
      <c r="Q1625" s="1"/>
      <c r="R1625" s="1"/>
      <c r="S1625" s="1"/>
      <c r="T1625" s="1"/>
      <c r="U1625" s="1"/>
      <c r="V1625" s="1"/>
      <c r="W1625" s="1"/>
      <c r="X1625" s="1"/>
      <c r="Y1625" s="1"/>
      <c r="Z1625" s="1"/>
    </row>
    <row r="1626" spans="1:26" ht="33.75" customHeight="1">
      <c r="A1626" s="1">
        <v>2126</v>
      </c>
      <c r="B1626" s="1" t="s">
        <v>4537</v>
      </c>
      <c r="C1626" s="1" t="s">
        <v>4460</v>
      </c>
      <c r="D1626" s="4">
        <v>39904.531944444447</v>
      </c>
      <c r="E1626" s="1" t="s">
        <v>84</v>
      </c>
      <c r="F1626" s="1"/>
      <c r="G1626" s="5" t="s">
        <v>64</v>
      </c>
      <c r="H1626" s="1"/>
      <c r="I1626" s="1" t="s">
        <v>64</v>
      </c>
      <c r="J1626" s="1"/>
      <c r="K1626" s="1"/>
      <c r="L1626" s="2" t="s">
        <v>4538</v>
      </c>
      <c r="M1626" s="1"/>
      <c r="N1626" s="1"/>
      <c r="O1626" s="1"/>
      <c r="P1626" s="1"/>
      <c r="Q1626" s="1"/>
      <c r="R1626" s="1"/>
      <c r="S1626" s="1"/>
      <c r="T1626" s="1"/>
      <c r="U1626" s="1"/>
      <c r="V1626" s="1"/>
      <c r="W1626" s="1"/>
      <c r="X1626" s="1"/>
      <c r="Y1626" s="1"/>
      <c r="Z1626" s="1"/>
    </row>
    <row r="1627" spans="1:26" ht="33.75" customHeight="1">
      <c r="A1627" s="1">
        <v>2127</v>
      </c>
      <c r="B1627" s="1" t="s">
        <v>4539</v>
      </c>
      <c r="C1627" s="1" t="s">
        <v>4460</v>
      </c>
      <c r="D1627" s="4">
        <v>39904.584027777775</v>
      </c>
      <c r="E1627" s="1" t="s">
        <v>32</v>
      </c>
      <c r="F1627" s="1"/>
      <c r="G1627" s="5" t="s">
        <v>64</v>
      </c>
      <c r="H1627" s="5" t="s">
        <v>179</v>
      </c>
      <c r="I1627" s="1" t="s">
        <v>179</v>
      </c>
      <c r="J1627" s="1"/>
      <c r="K1627" s="1"/>
      <c r="L1627" s="2" t="s">
        <v>4540</v>
      </c>
      <c r="M1627" s="1"/>
      <c r="N1627" s="1"/>
      <c r="O1627" s="1"/>
      <c r="P1627" s="1"/>
      <c r="Q1627" s="1"/>
      <c r="R1627" s="1"/>
      <c r="S1627" s="1"/>
      <c r="T1627" s="1"/>
      <c r="U1627" s="1"/>
      <c r="V1627" s="1"/>
      <c r="W1627" s="1"/>
      <c r="X1627" s="1"/>
      <c r="Y1627" s="1"/>
      <c r="Z1627" s="1"/>
    </row>
    <row r="1628" spans="1:26" ht="33.75" customHeight="1">
      <c r="A1628" s="1">
        <v>2128</v>
      </c>
      <c r="B1628" s="1" t="s">
        <v>4541</v>
      </c>
      <c r="C1628" s="1" t="s">
        <v>4460</v>
      </c>
      <c r="D1628" s="4">
        <v>39904.619444444441</v>
      </c>
      <c r="E1628" s="1" t="s">
        <v>84</v>
      </c>
      <c r="F1628" s="1"/>
      <c r="G1628" s="5" t="s">
        <v>64</v>
      </c>
      <c r="H1628" s="1"/>
      <c r="I1628" s="1" t="s">
        <v>64</v>
      </c>
      <c r="J1628" s="1"/>
      <c r="K1628" s="1"/>
      <c r="L1628" s="2" t="s">
        <v>4542</v>
      </c>
      <c r="M1628" s="1"/>
      <c r="N1628" s="1"/>
      <c r="O1628" s="1"/>
      <c r="P1628" s="1"/>
      <c r="Q1628" s="1"/>
      <c r="R1628" s="1"/>
      <c r="S1628" s="1"/>
      <c r="T1628" s="1"/>
      <c r="U1628" s="1"/>
      <c r="V1628" s="1"/>
      <c r="W1628" s="1"/>
      <c r="X1628" s="1"/>
      <c r="Y1628" s="1"/>
      <c r="Z1628" s="1"/>
    </row>
    <row r="1629" spans="1:26" ht="33.75" customHeight="1">
      <c r="A1629" s="1">
        <v>2129</v>
      </c>
      <c r="B1629" s="1" t="s">
        <v>4543</v>
      </c>
      <c r="C1629" s="1" t="s">
        <v>4460</v>
      </c>
      <c r="D1629" s="4">
        <v>39904.65347222222</v>
      </c>
      <c r="E1629" s="1" t="s">
        <v>32</v>
      </c>
      <c r="F1629" s="1"/>
      <c r="G1629" s="5" t="s">
        <v>64</v>
      </c>
      <c r="H1629" s="1"/>
      <c r="I1629" s="1" t="s">
        <v>64</v>
      </c>
      <c r="J1629" s="1"/>
      <c r="K1629" s="1"/>
      <c r="L1629" s="2" t="s">
        <v>4544</v>
      </c>
      <c r="M1629" s="1"/>
      <c r="N1629" s="1"/>
      <c r="O1629" s="1"/>
      <c r="P1629" s="1"/>
      <c r="Q1629" s="1"/>
      <c r="R1629" s="1"/>
      <c r="S1629" s="1"/>
      <c r="T1629" s="1"/>
      <c r="U1629" s="1"/>
      <c r="V1629" s="1"/>
      <c r="W1629" s="1"/>
      <c r="X1629" s="1"/>
      <c r="Y1629" s="1"/>
      <c r="Z1629" s="1"/>
    </row>
    <row r="1630" spans="1:26" ht="33.75" customHeight="1">
      <c r="A1630" s="1">
        <v>2130</v>
      </c>
      <c r="B1630" s="1" t="s">
        <v>4545</v>
      </c>
      <c r="C1630" s="1" t="s">
        <v>4460</v>
      </c>
      <c r="D1630" s="4">
        <v>39904.722916666666</v>
      </c>
      <c r="E1630" s="1" t="s">
        <v>32</v>
      </c>
      <c r="F1630" s="1"/>
      <c r="G1630" s="5" t="s">
        <v>64</v>
      </c>
      <c r="H1630" s="1"/>
      <c r="I1630" s="1" t="s">
        <v>64</v>
      </c>
      <c r="J1630" s="1"/>
      <c r="K1630" s="1"/>
      <c r="L1630" s="2" t="s">
        <v>4546</v>
      </c>
      <c r="M1630" s="1"/>
      <c r="N1630" s="1"/>
      <c r="O1630" s="1"/>
      <c r="P1630" s="1"/>
      <c r="Q1630" s="1"/>
      <c r="R1630" s="1"/>
      <c r="S1630" s="1"/>
      <c r="T1630" s="1"/>
      <c r="U1630" s="1"/>
      <c r="V1630" s="1"/>
      <c r="W1630" s="1"/>
      <c r="X1630" s="1"/>
      <c r="Y1630" s="1"/>
      <c r="Z1630" s="1"/>
    </row>
    <row r="1631" spans="1:26" ht="33.75" customHeight="1">
      <c r="A1631" s="1">
        <v>2131</v>
      </c>
      <c r="B1631" s="1" t="s">
        <v>4547</v>
      </c>
      <c r="C1631" s="1" t="s">
        <v>4460</v>
      </c>
      <c r="D1631" s="4">
        <v>39905.288194444445</v>
      </c>
      <c r="E1631" s="1" t="s">
        <v>84</v>
      </c>
      <c r="F1631" s="1" t="s">
        <v>4548</v>
      </c>
      <c r="G1631" s="5" t="s">
        <v>64</v>
      </c>
      <c r="H1631" s="1"/>
      <c r="I1631" s="1" t="s">
        <v>64</v>
      </c>
      <c r="J1631" s="1"/>
      <c r="K1631" s="1"/>
      <c r="L1631" s="2" t="s">
        <v>4549</v>
      </c>
      <c r="M1631" s="1"/>
      <c r="N1631" s="1"/>
      <c r="O1631" s="1"/>
      <c r="P1631" s="1"/>
      <c r="Q1631" s="1"/>
      <c r="R1631" s="1"/>
      <c r="S1631" s="1"/>
      <c r="T1631" s="1"/>
      <c r="U1631" s="1"/>
      <c r="V1631" s="1"/>
      <c r="W1631" s="1"/>
      <c r="X1631" s="1"/>
      <c r="Y1631" s="1"/>
      <c r="Z1631" s="1"/>
    </row>
    <row r="1632" spans="1:26" ht="33.75" customHeight="1">
      <c r="A1632" s="1">
        <v>2132</v>
      </c>
      <c r="B1632" s="1" t="s">
        <v>4550</v>
      </c>
      <c r="C1632" s="1" t="s">
        <v>4460</v>
      </c>
      <c r="D1632" s="4">
        <v>39905.347222222219</v>
      </c>
      <c r="E1632" s="1" t="s">
        <v>84</v>
      </c>
      <c r="F1632" s="1"/>
      <c r="G1632" s="5" t="s">
        <v>64</v>
      </c>
      <c r="H1632" s="1"/>
      <c r="I1632" s="1" t="s">
        <v>64</v>
      </c>
      <c r="J1632" s="1"/>
      <c r="K1632" s="1"/>
      <c r="L1632" s="2" t="s">
        <v>4551</v>
      </c>
      <c r="M1632" s="1"/>
      <c r="N1632" s="1"/>
      <c r="O1632" s="1"/>
      <c r="P1632" s="1"/>
      <c r="Q1632" s="1"/>
      <c r="R1632" s="1"/>
      <c r="S1632" s="1"/>
      <c r="T1632" s="1"/>
      <c r="U1632" s="1"/>
      <c r="V1632" s="1"/>
      <c r="W1632" s="1"/>
      <c r="X1632" s="1"/>
      <c r="Y1632" s="1"/>
      <c r="Z1632" s="1"/>
    </row>
    <row r="1633" spans="1:26" ht="33.75" customHeight="1">
      <c r="A1633" s="1">
        <v>2133</v>
      </c>
      <c r="B1633" s="1" t="s">
        <v>4552</v>
      </c>
      <c r="C1633" s="1" t="s">
        <v>4460</v>
      </c>
      <c r="D1633" s="4">
        <v>39905.376388888886</v>
      </c>
      <c r="E1633" s="1" t="s">
        <v>314</v>
      </c>
      <c r="F1633" s="1" t="s">
        <v>4547</v>
      </c>
      <c r="G1633" s="5" t="s">
        <v>26</v>
      </c>
      <c r="H1633" s="5" t="s">
        <v>133</v>
      </c>
      <c r="I1633" s="1" t="s">
        <v>28</v>
      </c>
      <c r="J1633" s="1" t="s">
        <v>134</v>
      </c>
      <c r="K1633" s="1"/>
      <c r="L1633" s="2" t="s">
        <v>4553</v>
      </c>
      <c r="M1633" s="1"/>
      <c r="N1633" s="1"/>
      <c r="O1633" s="1"/>
      <c r="P1633" s="1"/>
      <c r="Q1633" s="1"/>
      <c r="R1633" s="1"/>
      <c r="S1633" s="1"/>
      <c r="T1633" s="1"/>
      <c r="U1633" s="1"/>
      <c r="V1633" s="1"/>
      <c r="W1633" s="1"/>
      <c r="X1633" s="1"/>
      <c r="Y1633" s="1"/>
      <c r="Z1633" s="1"/>
    </row>
    <row r="1634" spans="1:26" ht="33.75" customHeight="1">
      <c r="A1634" s="1">
        <v>2134</v>
      </c>
      <c r="B1634" s="1" t="s">
        <v>4554</v>
      </c>
      <c r="C1634" s="1" t="s">
        <v>4460</v>
      </c>
      <c r="D1634" s="4">
        <v>39905.396527777775</v>
      </c>
      <c r="E1634" s="1" t="s">
        <v>84</v>
      </c>
      <c r="F1634" s="1"/>
      <c r="G1634" s="5" t="s">
        <v>64</v>
      </c>
      <c r="H1634" s="1"/>
      <c r="I1634" s="1" t="s">
        <v>64</v>
      </c>
      <c r="J1634" s="1"/>
      <c r="K1634" s="1"/>
      <c r="L1634" s="2" t="s">
        <v>4555</v>
      </c>
      <c r="M1634" s="1"/>
      <c r="N1634" s="1"/>
      <c r="O1634" s="1"/>
      <c r="P1634" s="1"/>
      <c r="Q1634" s="1"/>
      <c r="R1634" s="1"/>
      <c r="S1634" s="1"/>
      <c r="T1634" s="1"/>
      <c r="U1634" s="1"/>
      <c r="V1634" s="1"/>
      <c r="W1634" s="1"/>
      <c r="X1634" s="1"/>
      <c r="Y1634" s="1"/>
      <c r="Z1634" s="1"/>
    </row>
    <row r="1635" spans="1:26" ht="33.75" customHeight="1">
      <c r="A1635" s="1">
        <v>2135</v>
      </c>
      <c r="B1635" s="1" t="s">
        <v>4556</v>
      </c>
      <c r="C1635" s="1" t="s">
        <v>4460</v>
      </c>
      <c r="D1635" s="4">
        <v>39905.450694444444</v>
      </c>
      <c r="E1635" s="1" t="s">
        <v>314</v>
      </c>
      <c r="F1635" s="1"/>
      <c r="G1635" s="5" t="s">
        <v>64</v>
      </c>
      <c r="H1635" s="1"/>
      <c r="I1635" s="1" t="s">
        <v>64</v>
      </c>
      <c r="J1635" s="1"/>
      <c r="K1635" s="1"/>
      <c r="L1635" s="2" t="s">
        <v>4557</v>
      </c>
      <c r="M1635" s="1"/>
      <c r="N1635" s="1"/>
      <c r="O1635" s="1"/>
      <c r="P1635" s="1"/>
      <c r="Q1635" s="1"/>
      <c r="R1635" s="1"/>
      <c r="S1635" s="1"/>
      <c r="T1635" s="1"/>
      <c r="U1635" s="1"/>
      <c r="V1635" s="1"/>
      <c r="W1635" s="1"/>
      <c r="X1635" s="1"/>
      <c r="Y1635" s="1"/>
      <c r="Z1635" s="1"/>
    </row>
    <row r="1636" spans="1:26" ht="33.75" customHeight="1">
      <c r="A1636" s="1">
        <v>2136</v>
      </c>
      <c r="B1636" s="1" t="s">
        <v>4558</v>
      </c>
      <c r="C1636" s="1" t="s">
        <v>4460</v>
      </c>
      <c r="D1636" s="4">
        <v>39905.542361111111</v>
      </c>
      <c r="E1636" s="1" t="s">
        <v>84</v>
      </c>
      <c r="F1636" s="1"/>
      <c r="G1636" s="5" t="s">
        <v>26</v>
      </c>
      <c r="H1636" s="5" t="s">
        <v>27</v>
      </c>
      <c r="I1636" s="1" t="s">
        <v>28</v>
      </c>
      <c r="J1636" s="1" t="s">
        <v>29</v>
      </c>
      <c r="K1636" s="1"/>
      <c r="L1636" s="2" t="s">
        <v>4559</v>
      </c>
      <c r="M1636" s="1"/>
      <c r="N1636" s="1"/>
      <c r="O1636" s="1"/>
      <c r="P1636" s="1"/>
      <c r="Q1636" s="1"/>
      <c r="R1636" s="1"/>
      <c r="S1636" s="1"/>
      <c r="T1636" s="1"/>
      <c r="U1636" s="1"/>
      <c r="V1636" s="1"/>
      <c r="W1636" s="1"/>
      <c r="X1636" s="1"/>
      <c r="Y1636" s="1"/>
      <c r="Z1636" s="1"/>
    </row>
    <row r="1637" spans="1:26" ht="33.75" customHeight="1">
      <c r="A1637" s="1">
        <v>2137</v>
      </c>
      <c r="B1637" s="1" t="s">
        <v>4560</v>
      </c>
      <c r="C1637" s="1" t="s">
        <v>4460</v>
      </c>
      <c r="D1637" s="4">
        <v>39905.586805555555</v>
      </c>
      <c r="E1637" s="1" t="s">
        <v>772</v>
      </c>
      <c r="F1637" s="1"/>
      <c r="G1637" s="5" t="s">
        <v>64</v>
      </c>
      <c r="H1637" s="1"/>
      <c r="I1637" s="1" t="s">
        <v>64</v>
      </c>
      <c r="J1637" s="1"/>
      <c r="K1637" s="1"/>
      <c r="L1637" s="2" t="s">
        <v>4561</v>
      </c>
      <c r="M1637" s="1"/>
      <c r="N1637" s="1"/>
      <c r="O1637" s="1"/>
      <c r="P1637" s="1"/>
      <c r="Q1637" s="1"/>
      <c r="R1637" s="1"/>
      <c r="S1637" s="1"/>
      <c r="T1637" s="1"/>
      <c r="U1637" s="1"/>
      <c r="V1637" s="1"/>
      <c r="W1637" s="1"/>
      <c r="X1637" s="1"/>
      <c r="Y1637" s="1"/>
      <c r="Z1637" s="1"/>
    </row>
    <row r="1638" spans="1:26" ht="33.75" customHeight="1">
      <c r="A1638" s="1">
        <v>2154</v>
      </c>
      <c r="B1638" s="1" t="s">
        <v>4562</v>
      </c>
      <c r="C1638" s="1" t="s">
        <v>4563</v>
      </c>
      <c r="D1638" s="4">
        <v>39905.736111111109</v>
      </c>
      <c r="E1638" s="1" t="s">
        <v>760</v>
      </c>
      <c r="F1638" s="1"/>
      <c r="G1638" s="5" t="s">
        <v>64</v>
      </c>
      <c r="H1638" s="5" t="s">
        <v>179</v>
      </c>
      <c r="I1638" s="1" t="s">
        <v>179</v>
      </c>
      <c r="J1638" s="1"/>
      <c r="K1638" s="1"/>
      <c r="L1638" s="2" t="s">
        <v>4564</v>
      </c>
      <c r="M1638" s="1"/>
      <c r="N1638" s="1"/>
      <c r="O1638" s="1"/>
      <c r="P1638" s="1"/>
      <c r="Q1638" s="1"/>
      <c r="R1638" s="1"/>
      <c r="S1638" s="1"/>
      <c r="T1638" s="1"/>
      <c r="U1638" s="1"/>
      <c r="V1638" s="1"/>
      <c r="W1638" s="1"/>
      <c r="X1638" s="1"/>
      <c r="Y1638" s="1"/>
      <c r="Z1638" s="1"/>
    </row>
    <row r="1639" spans="1:26" ht="33.75" customHeight="1">
      <c r="A1639" s="1">
        <v>2138</v>
      </c>
      <c r="B1639" s="1" t="s">
        <v>4565</v>
      </c>
      <c r="C1639" s="1" t="s">
        <v>4460</v>
      </c>
      <c r="D1639" s="4">
        <v>39906.026388888888</v>
      </c>
      <c r="E1639" s="1" t="s">
        <v>1887</v>
      </c>
      <c r="F1639" s="1"/>
      <c r="G1639" s="5" t="s">
        <v>64</v>
      </c>
      <c r="H1639" s="5" t="s">
        <v>375</v>
      </c>
      <c r="I1639" s="1" t="s">
        <v>900</v>
      </c>
      <c r="J1639" s="1"/>
      <c r="K1639" s="1"/>
      <c r="L1639" s="2" t="s">
        <v>4566</v>
      </c>
      <c r="M1639" s="1"/>
      <c r="N1639" s="1"/>
      <c r="O1639" s="1"/>
      <c r="P1639" s="1"/>
      <c r="Q1639" s="1"/>
      <c r="R1639" s="1"/>
      <c r="S1639" s="1"/>
      <c r="T1639" s="1"/>
      <c r="U1639" s="1"/>
      <c r="V1639" s="1"/>
      <c r="W1639" s="1"/>
      <c r="X1639" s="1"/>
      <c r="Y1639" s="1"/>
      <c r="Z1639" s="1"/>
    </row>
    <row r="1640" spans="1:26" ht="33.75" customHeight="1">
      <c r="A1640" s="1">
        <v>1578</v>
      </c>
      <c r="B1640" s="1" t="s">
        <v>12</v>
      </c>
      <c r="C1640" s="1" t="s">
        <v>4563</v>
      </c>
      <c r="D1640" s="4">
        <v>39906.042037037034</v>
      </c>
      <c r="E1640" s="1" t="s">
        <v>175</v>
      </c>
      <c r="F1640" s="1"/>
      <c r="G1640" s="6" t="s">
        <v>78</v>
      </c>
      <c r="H1640" s="5" t="s">
        <v>88</v>
      </c>
      <c r="I1640" s="1" t="s">
        <v>4567</v>
      </c>
      <c r="J1640" s="1"/>
      <c r="K1640" s="1"/>
      <c r="L1640" s="2" t="s">
        <v>4568</v>
      </c>
      <c r="M1640" s="1"/>
      <c r="N1640" s="1"/>
      <c r="O1640" s="1"/>
      <c r="P1640" s="1"/>
      <c r="Q1640" s="1"/>
      <c r="R1640" s="1"/>
      <c r="S1640" s="1"/>
      <c r="T1640" s="1"/>
      <c r="U1640" s="1"/>
      <c r="V1640" s="1"/>
      <c r="W1640" s="1"/>
      <c r="X1640" s="1"/>
      <c r="Y1640" s="1"/>
      <c r="Z1640" s="1"/>
    </row>
    <row r="1641" spans="1:26" ht="33.75" customHeight="1">
      <c r="A1641" s="1">
        <v>1407</v>
      </c>
      <c r="B1641" s="1" t="s">
        <v>4569</v>
      </c>
      <c r="C1641" s="1" t="s">
        <v>3929</v>
      </c>
      <c r="D1641" s="4">
        <v>39906.084722222222</v>
      </c>
      <c r="E1641" s="1" t="s">
        <v>54</v>
      </c>
      <c r="F1641" s="1"/>
      <c r="G1641" s="6" t="s">
        <v>78</v>
      </c>
      <c r="H1641" s="5" t="s">
        <v>79</v>
      </c>
      <c r="I1641" s="1" t="s">
        <v>166</v>
      </c>
      <c r="J1641" s="1"/>
      <c r="K1641" s="1" t="s">
        <v>4570</v>
      </c>
      <c r="L1641" s="2" t="s">
        <v>4571</v>
      </c>
      <c r="M1641" s="1"/>
      <c r="N1641" s="1"/>
      <c r="O1641" s="1"/>
      <c r="P1641" s="1"/>
      <c r="Q1641" s="1"/>
      <c r="R1641" s="1"/>
      <c r="S1641" s="1"/>
      <c r="T1641" s="1"/>
      <c r="U1641" s="1"/>
      <c r="V1641" s="1"/>
      <c r="W1641" s="1"/>
      <c r="X1641" s="1"/>
      <c r="Y1641" s="1"/>
      <c r="Z1641" s="1"/>
    </row>
    <row r="1642" spans="1:26" ht="33.75" customHeight="1">
      <c r="A1642" s="1">
        <v>1401</v>
      </c>
      <c r="B1642" s="1" t="s">
        <v>4572</v>
      </c>
      <c r="C1642" s="1" t="s">
        <v>3929</v>
      </c>
      <c r="D1642" s="4">
        <v>39906.088194444441</v>
      </c>
      <c r="E1642" s="1" t="s">
        <v>54</v>
      </c>
      <c r="F1642" s="1"/>
      <c r="G1642" s="5" t="s">
        <v>15</v>
      </c>
      <c r="H1642" s="5" t="s">
        <v>150</v>
      </c>
      <c r="I1642" s="1" t="s">
        <v>4573</v>
      </c>
      <c r="J1642" s="1"/>
      <c r="K1642" s="1" t="s">
        <v>4574</v>
      </c>
      <c r="L1642" s="2" t="s">
        <v>4575</v>
      </c>
      <c r="M1642" s="1"/>
      <c r="N1642" s="1"/>
      <c r="O1642" s="1"/>
      <c r="P1642" s="1"/>
      <c r="Q1642" s="1"/>
      <c r="R1642" s="1"/>
      <c r="S1642" s="1"/>
      <c r="T1642" s="1"/>
      <c r="U1642" s="1"/>
      <c r="V1642" s="1"/>
      <c r="W1642" s="1"/>
      <c r="X1642" s="1"/>
      <c r="Y1642" s="1"/>
      <c r="Z1642" s="1"/>
    </row>
    <row r="1643" spans="1:26" ht="33.75" customHeight="1">
      <c r="A1643" s="1">
        <v>2156</v>
      </c>
      <c r="B1643" s="1" t="s">
        <v>4576</v>
      </c>
      <c r="C1643" s="1" t="s">
        <v>4563</v>
      </c>
      <c r="D1643" s="4">
        <v>39906.164583333331</v>
      </c>
      <c r="E1643" s="1" t="s">
        <v>474</v>
      </c>
      <c r="F1643" s="1"/>
      <c r="G1643" s="5" t="s">
        <v>26</v>
      </c>
      <c r="H1643" s="5" t="s">
        <v>133</v>
      </c>
      <c r="I1643" s="1" t="s">
        <v>28</v>
      </c>
      <c r="J1643" s="1" t="s">
        <v>134</v>
      </c>
      <c r="K1643" s="1"/>
      <c r="L1643" s="2" t="s">
        <v>4577</v>
      </c>
      <c r="M1643" s="1"/>
      <c r="N1643" s="1"/>
      <c r="O1643" s="1"/>
      <c r="P1643" s="1"/>
      <c r="Q1643" s="1"/>
      <c r="R1643" s="1"/>
      <c r="S1643" s="1"/>
      <c r="T1643" s="1"/>
      <c r="U1643" s="1"/>
      <c r="V1643" s="1"/>
      <c r="W1643" s="1"/>
      <c r="X1643" s="1"/>
      <c r="Y1643" s="1"/>
      <c r="Z1643" s="1"/>
    </row>
    <row r="1644" spans="1:26" ht="33.75" customHeight="1">
      <c r="A1644" s="1">
        <v>2139</v>
      </c>
      <c r="B1644" s="1" t="s">
        <v>4578</v>
      </c>
      <c r="C1644" s="1" t="s">
        <v>4460</v>
      </c>
      <c r="D1644" s="4">
        <v>39906.241666666669</v>
      </c>
      <c r="E1644" s="1" t="s">
        <v>84</v>
      </c>
      <c r="F1644" s="1"/>
      <c r="G1644" s="5" t="s">
        <v>64</v>
      </c>
      <c r="H1644" s="5" t="s">
        <v>218</v>
      </c>
      <c r="I1644" s="1" t="s">
        <v>4579</v>
      </c>
      <c r="J1644" s="1"/>
      <c r="K1644" s="1"/>
      <c r="L1644" s="2" t="s">
        <v>4580</v>
      </c>
      <c r="M1644" s="1"/>
      <c r="N1644" s="1"/>
      <c r="O1644" s="1"/>
      <c r="P1644" s="1"/>
      <c r="Q1644" s="1"/>
      <c r="R1644" s="1"/>
      <c r="S1644" s="1"/>
      <c r="T1644" s="1"/>
      <c r="U1644" s="1"/>
      <c r="V1644" s="1"/>
      <c r="W1644" s="1"/>
      <c r="X1644" s="1"/>
      <c r="Y1644" s="1"/>
      <c r="Z1644" s="1"/>
    </row>
    <row r="1645" spans="1:26" ht="33.75" customHeight="1">
      <c r="A1645" s="1">
        <v>2157</v>
      </c>
      <c r="B1645" s="1" t="s">
        <v>4581</v>
      </c>
      <c r="C1645" s="1" t="s">
        <v>4563</v>
      </c>
      <c r="D1645" s="4">
        <v>39906.291666666664</v>
      </c>
      <c r="E1645" s="1" t="s">
        <v>54</v>
      </c>
      <c r="F1645" s="1" t="s">
        <v>4576</v>
      </c>
      <c r="G1645" s="5" t="s">
        <v>26</v>
      </c>
      <c r="H1645" s="5" t="s">
        <v>27</v>
      </c>
      <c r="I1645" s="1" t="s">
        <v>28</v>
      </c>
      <c r="J1645" s="1" t="s">
        <v>259</v>
      </c>
      <c r="K1645" s="1" t="s">
        <v>4582</v>
      </c>
      <c r="L1645" s="2" t="s">
        <v>4583</v>
      </c>
      <c r="M1645" s="1"/>
      <c r="N1645" s="1"/>
      <c r="O1645" s="1"/>
      <c r="P1645" s="1"/>
      <c r="Q1645" s="1"/>
      <c r="R1645" s="1"/>
      <c r="S1645" s="1"/>
      <c r="T1645" s="1"/>
      <c r="U1645" s="1"/>
      <c r="V1645" s="1"/>
      <c r="W1645" s="1"/>
      <c r="X1645" s="1"/>
      <c r="Y1645" s="1"/>
      <c r="Z1645" s="1"/>
    </row>
    <row r="1646" spans="1:26" ht="33.75" customHeight="1">
      <c r="A1646" s="1">
        <v>2158</v>
      </c>
      <c r="B1646" s="1" t="s">
        <v>4584</v>
      </c>
      <c r="C1646" s="1" t="s">
        <v>4563</v>
      </c>
      <c r="D1646" s="4">
        <v>39906.404166666667</v>
      </c>
      <c r="E1646" s="1" t="s">
        <v>2242</v>
      </c>
      <c r="F1646" s="1"/>
      <c r="G1646" s="5" t="s">
        <v>64</v>
      </c>
      <c r="H1646" s="1"/>
      <c r="I1646" s="1" t="s">
        <v>64</v>
      </c>
      <c r="J1646" s="1"/>
      <c r="K1646" s="1"/>
      <c r="L1646" s="2" t="s">
        <v>4585</v>
      </c>
      <c r="M1646" s="1"/>
      <c r="N1646" s="1"/>
      <c r="O1646" s="1"/>
      <c r="P1646" s="1"/>
      <c r="Q1646" s="1"/>
      <c r="R1646" s="1"/>
      <c r="S1646" s="1"/>
      <c r="T1646" s="1"/>
      <c r="U1646" s="1"/>
      <c r="V1646" s="1"/>
      <c r="W1646" s="1"/>
      <c r="X1646" s="1"/>
      <c r="Y1646" s="1"/>
      <c r="Z1646" s="1"/>
    </row>
    <row r="1647" spans="1:26" ht="33.75" customHeight="1">
      <c r="A1647" s="1">
        <v>2140</v>
      </c>
      <c r="B1647" s="1" t="s">
        <v>4586</v>
      </c>
      <c r="C1647" s="1" t="s">
        <v>4460</v>
      </c>
      <c r="D1647" s="4">
        <v>39906.441666666666</v>
      </c>
      <c r="E1647" s="1" t="s">
        <v>84</v>
      </c>
      <c r="F1647" s="1"/>
      <c r="G1647" s="5" t="s">
        <v>64</v>
      </c>
      <c r="H1647" s="1"/>
      <c r="I1647" s="1" t="s">
        <v>64</v>
      </c>
      <c r="J1647" s="1"/>
      <c r="K1647" s="1"/>
      <c r="L1647" s="2" t="s">
        <v>4587</v>
      </c>
      <c r="M1647" s="1"/>
      <c r="N1647" s="1"/>
      <c r="O1647" s="1"/>
      <c r="P1647" s="1"/>
      <c r="Q1647" s="1"/>
      <c r="R1647" s="1"/>
      <c r="S1647" s="1"/>
      <c r="T1647" s="1"/>
      <c r="U1647" s="1"/>
      <c r="V1647" s="1"/>
      <c r="W1647" s="1"/>
      <c r="X1647" s="1"/>
      <c r="Y1647" s="1"/>
      <c r="Z1647" s="1"/>
    </row>
    <row r="1648" spans="1:26" ht="33.75" customHeight="1">
      <c r="A1648" s="1">
        <v>2159</v>
      </c>
      <c r="B1648" s="1" t="s">
        <v>4588</v>
      </c>
      <c r="C1648" s="1" t="s">
        <v>4563</v>
      </c>
      <c r="D1648" s="4">
        <v>39906.482638888891</v>
      </c>
      <c r="E1648" s="1" t="s">
        <v>4589</v>
      </c>
      <c r="F1648" s="1"/>
      <c r="G1648" s="5" t="s">
        <v>64</v>
      </c>
      <c r="H1648" s="5" t="s">
        <v>431</v>
      </c>
      <c r="I1648" s="1" t="s">
        <v>4590</v>
      </c>
      <c r="J1648" s="1"/>
      <c r="K1648" s="1"/>
      <c r="L1648" s="2" t="s">
        <v>4591</v>
      </c>
      <c r="M1648" s="1"/>
      <c r="N1648" s="1"/>
      <c r="O1648" s="1"/>
      <c r="P1648" s="1"/>
      <c r="Q1648" s="1"/>
      <c r="R1648" s="1"/>
      <c r="S1648" s="1"/>
      <c r="T1648" s="1"/>
      <c r="U1648" s="1"/>
      <c r="V1648" s="1"/>
      <c r="W1648" s="1"/>
      <c r="X1648" s="1"/>
      <c r="Y1648" s="1"/>
      <c r="Z1648" s="1"/>
    </row>
    <row r="1649" spans="1:26" ht="33.75" customHeight="1">
      <c r="A1649" s="1">
        <v>2160</v>
      </c>
      <c r="B1649" s="1" t="s">
        <v>4592</v>
      </c>
      <c r="C1649" s="1" t="s">
        <v>4563</v>
      </c>
      <c r="D1649" s="4">
        <v>39906.556944444441</v>
      </c>
      <c r="E1649" s="1" t="s">
        <v>4176</v>
      </c>
      <c r="F1649" s="1"/>
      <c r="G1649" s="5" t="s">
        <v>64</v>
      </c>
      <c r="H1649" s="5" t="s">
        <v>431</v>
      </c>
      <c r="I1649" s="1" t="s">
        <v>4590</v>
      </c>
      <c r="J1649" s="1"/>
      <c r="K1649" s="1"/>
      <c r="L1649" s="2" t="s">
        <v>4593</v>
      </c>
      <c r="M1649" s="1"/>
      <c r="N1649" s="1"/>
      <c r="O1649" s="1"/>
      <c r="P1649" s="1"/>
      <c r="Q1649" s="1"/>
      <c r="R1649" s="1"/>
      <c r="S1649" s="1"/>
      <c r="T1649" s="1"/>
      <c r="U1649" s="1"/>
      <c r="V1649" s="1"/>
      <c r="W1649" s="1"/>
      <c r="X1649" s="1"/>
      <c r="Y1649" s="1"/>
      <c r="Z1649" s="1"/>
    </row>
    <row r="1650" spans="1:26" ht="33.75" customHeight="1">
      <c r="A1650" s="1">
        <v>2141</v>
      </c>
      <c r="B1650" s="1" t="s">
        <v>4594</v>
      </c>
      <c r="C1650" s="1" t="s">
        <v>4460</v>
      </c>
      <c r="D1650" s="4">
        <v>39906.813194444447</v>
      </c>
      <c r="E1650" s="1" t="s">
        <v>2893</v>
      </c>
      <c r="F1650" s="1"/>
      <c r="G1650" s="5" t="s">
        <v>64</v>
      </c>
      <c r="H1650" s="1"/>
      <c r="I1650" s="1" t="s">
        <v>64</v>
      </c>
      <c r="J1650" s="1"/>
      <c r="K1650" s="1" t="s">
        <v>4595</v>
      </c>
      <c r="L1650" s="2" t="s">
        <v>4596</v>
      </c>
      <c r="M1650" s="1"/>
      <c r="N1650" s="1"/>
      <c r="O1650" s="1"/>
      <c r="P1650" s="1"/>
      <c r="Q1650" s="1"/>
      <c r="R1650" s="1"/>
      <c r="S1650" s="1"/>
      <c r="T1650" s="1"/>
      <c r="U1650" s="1"/>
      <c r="V1650" s="1"/>
      <c r="W1650" s="1"/>
      <c r="X1650" s="1"/>
      <c r="Y1650" s="1"/>
      <c r="Z1650" s="1"/>
    </row>
    <row r="1651" spans="1:26" ht="33.75" customHeight="1">
      <c r="A1651" s="1">
        <v>2142</v>
      </c>
      <c r="B1651" s="1" t="s">
        <v>4597</v>
      </c>
      <c r="C1651" s="1" t="s">
        <v>4460</v>
      </c>
      <c r="D1651" s="4">
        <v>39906.826388888891</v>
      </c>
      <c r="E1651" s="1" t="s">
        <v>772</v>
      </c>
      <c r="F1651" s="1"/>
      <c r="G1651" s="5" t="s">
        <v>64</v>
      </c>
      <c r="H1651" s="1"/>
      <c r="I1651" s="1" t="s">
        <v>64</v>
      </c>
      <c r="J1651" s="1"/>
      <c r="K1651" s="1"/>
      <c r="L1651" s="2" t="s">
        <v>4598</v>
      </c>
      <c r="M1651" s="1"/>
      <c r="N1651" s="1"/>
      <c r="O1651" s="1"/>
      <c r="P1651" s="1"/>
      <c r="Q1651" s="1"/>
      <c r="R1651" s="1"/>
      <c r="S1651" s="1"/>
      <c r="T1651" s="1"/>
      <c r="U1651" s="1"/>
      <c r="V1651" s="1"/>
      <c r="W1651" s="1"/>
      <c r="X1651" s="1"/>
      <c r="Y1651" s="1"/>
      <c r="Z1651" s="1"/>
    </row>
    <row r="1652" spans="1:26" ht="33.75" customHeight="1">
      <c r="A1652" s="1">
        <v>2143</v>
      </c>
      <c r="B1652" s="1" t="s">
        <v>4599</v>
      </c>
      <c r="C1652" s="1" t="s">
        <v>4460</v>
      </c>
      <c r="D1652" s="4">
        <v>39907.335416666669</v>
      </c>
      <c r="E1652" s="1" t="s">
        <v>4600</v>
      </c>
      <c r="F1652" s="1"/>
      <c r="G1652" s="5" t="s">
        <v>64</v>
      </c>
      <c r="H1652" s="1"/>
      <c r="I1652" s="1" t="s">
        <v>64</v>
      </c>
      <c r="J1652" s="1"/>
      <c r="K1652" s="1"/>
      <c r="L1652" s="2" t="s">
        <v>4601</v>
      </c>
      <c r="M1652" s="1"/>
      <c r="N1652" s="1"/>
      <c r="O1652" s="1"/>
      <c r="P1652" s="1"/>
      <c r="Q1652" s="1"/>
      <c r="R1652" s="1"/>
      <c r="S1652" s="1"/>
      <c r="T1652" s="1"/>
      <c r="U1652" s="1"/>
      <c r="V1652" s="1"/>
      <c r="W1652" s="1"/>
      <c r="X1652" s="1"/>
      <c r="Y1652" s="1"/>
      <c r="Z1652" s="1"/>
    </row>
    <row r="1653" spans="1:26" ht="33.75" customHeight="1">
      <c r="A1653" s="1">
        <v>2144</v>
      </c>
      <c r="B1653" s="1" t="s">
        <v>4602</v>
      </c>
      <c r="C1653" s="1" t="s">
        <v>4460</v>
      </c>
      <c r="D1653" s="4">
        <v>39907.369444444441</v>
      </c>
      <c r="E1653" s="1" t="s">
        <v>2893</v>
      </c>
      <c r="F1653" s="1" t="s">
        <v>4597</v>
      </c>
      <c r="G1653" s="5" t="s">
        <v>64</v>
      </c>
      <c r="H1653" s="5" t="s">
        <v>179</v>
      </c>
      <c r="I1653" s="1" t="s">
        <v>179</v>
      </c>
      <c r="J1653" s="1"/>
      <c r="K1653" s="1"/>
      <c r="L1653" s="2" t="s">
        <v>4603</v>
      </c>
      <c r="M1653" s="1"/>
      <c r="N1653" s="1"/>
      <c r="O1653" s="1"/>
      <c r="P1653" s="1"/>
      <c r="Q1653" s="1"/>
      <c r="R1653" s="1"/>
      <c r="S1653" s="1"/>
      <c r="T1653" s="1"/>
      <c r="U1653" s="1"/>
      <c r="V1653" s="1"/>
      <c r="W1653" s="1"/>
      <c r="X1653" s="1"/>
      <c r="Y1653" s="1"/>
      <c r="Z1653" s="1"/>
    </row>
    <row r="1654" spans="1:26" ht="33.75" customHeight="1">
      <c r="A1654" s="1">
        <v>2145</v>
      </c>
      <c r="B1654" s="1" t="s">
        <v>4604</v>
      </c>
      <c r="C1654" s="1" t="s">
        <v>4460</v>
      </c>
      <c r="D1654" s="4">
        <v>39907.386805555558</v>
      </c>
      <c r="E1654" s="1" t="s">
        <v>84</v>
      </c>
      <c r="F1654" s="1" t="s">
        <v>4599</v>
      </c>
      <c r="G1654" s="5" t="s">
        <v>26</v>
      </c>
      <c r="H1654" s="5" t="s">
        <v>133</v>
      </c>
      <c r="I1654" s="1" t="s">
        <v>28</v>
      </c>
      <c r="J1654" s="1" t="s">
        <v>134</v>
      </c>
      <c r="K1654" s="1"/>
      <c r="L1654" s="2" t="s">
        <v>4605</v>
      </c>
      <c r="M1654" s="1"/>
      <c r="N1654" s="1"/>
      <c r="O1654" s="1"/>
      <c r="P1654" s="1"/>
      <c r="Q1654" s="1"/>
      <c r="R1654" s="1"/>
      <c r="S1654" s="1"/>
      <c r="T1654" s="1"/>
      <c r="U1654" s="1"/>
      <c r="V1654" s="1"/>
      <c r="W1654" s="1"/>
      <c r="X1654" s="1"/>
      <c r="Y1654" s="1"/>
      <c r="Z1654" s="1"/>
    </row>
    <row r="1655" spans="1:26" ht="33.75" customHeight="1">
      <c r="A1655" s="1">
        <v>2146</v>
      </c>
      <c r="B1655" s="1" t="s">
        <v>4606</v>
      </c>
      <c r="C1655" s="1" t="s">
        <v>4460</v>
      </c>
      <c r="D1655" s="4">
        <v>39907.390972222223</v>
      </c>
      <c r="E1655" s="1" t="s">
        <v>84</v>
      </c>
      <c r="F1655" s="1"/>
      <c r="G1655" s="5" t="s">
        <v>64</v>
      </c>
      <c r="H1655" s="1"/>
      <c r="I1655" s="1" t="s">
        <v>64</v>
      </c>
      <c r="J1655" s="1"/>
      <c r="K1655" s="1"/>
      <c r="L1655" s="2" t="s">
        <v>4607</v>
      </c>
      <c r="M1655" s="1"/>
      <c r="N1655" s="1"/>
      <c r="O1655" s="1"/>
      <c r="P1655" s="1"/>
      <c r="Q1655" s="1"/>
      <c r="R1655" s="1"/>
      <c r="S1655" s="1"/>
      <c r="T1655" s="1"/>
      <c r="U1655" s="1"/>
      <c r="V1655" s="1"/>
      <c r="W1655" s="1"/>
      <c r="X1655" s="1"/>
      <c r="Y1655" s="1"/>
      <c r="Z1655" s="1"/>
    </row>
    <row r="1656" spans="1:26" ht="33.75" customHeight="1">
      <c r="A1656" s="1">
        <v>2147</v>
      </c>
      <c r="B1656" s="1" t="s">
        <v>4608</v>
      </c>
      <c r="C1656" s="1" t="s">
        <v>4460</v>
      </c>
      <c r="D1656" s="4">
        <v>39907.536111111112</v>
      </c>
      <c r="E1656" s="1" t="s">
        <v>772</v>
      </c>
      <c r="F1656" s="1"/>
      <c r="G1656" s="5" t="s">
        <v>64</v>
      </c>
      <c r="H1656" s="1"/>
      <c r="I1656" s="1" t="s">
        <v>64</v>
      </c>
      <c r="J1656" s="1"/>
      <c r="K1656" s="1"/>
      <c r="L1656" s="2" t="s">
        <v>4609</v>
      </c>
      <c r="M1656" s="1"/>
      <c r="N1656" s="1"/>
      <c r="O1656" s="1"/>
      <c r="P1656" s="1"/>
      <c r="Q1656" s="1"/>
      <c r="R1656" s="1"/>
      <c r="S1656" s="1"/>
      <c r="T1656" s="1"/>
      <c r="U1656" s="1"/>
      <c r="V1656" s="1"/>
      <c r="W1656" s="1"/>
      <c r="X1656" s="1"/>
      <c r="Y1656" s="1"/>
      <c r="Z1656" s="1"/>
    </row>
    <row r="1657" spans="1:26" ht="33.75" customHeight="1">
      <c r="A1657" s="1">
        <v>1408</v>
      </c>
      <c r="B1657" s="1" t="s">
        <v>4610</v>
      </c>
      <c r="C1657" s="1" t="s">
        <v>3929</v>
      </c>
      <c r="D1657" s="4">
        <v>39907.728472222225</v>
      </c>
      <c r="E1657" s="1" t="s">
        <v>14</v>
      </c>
      <c r="F1657" s="1"/>
      <c r="G1657" s="5" t="s">
        <v>64</v>
      </c>
      <c r="H1657" s="5" t="s">
        <v>3663</v>
      </c>
      <c r="I1657" s="1" t="s">
        <v>3040</v>
      </c>
      <c r="J1657" s="1" t="s">
        <v>3651</v>
      </c>
      <c r="K1657" s="1" t="s">
        <v>4611</v>
      </c>
      <c r="L1657" s="2" t="s">
        <v>4612</v>
      </c>
      <c r="M1657" s="1"/>
      <c r="N1657" s="1"/>
      <c r="O1657" s="1"/>
      <c r="P1657" s="1"/>
      <c r="Q1657" s="1"/>
      <c r="R1657" s="1"/>
      <c r="S1657" s="1"/>
      <c r="T1657" s="1"/>
      <c r="U1657" s="1"/>
      <c r="V1657" s="1"/>
      <c r="W1657" s="1"/>
      <c r="X1657" s="1"/>
      <c r="Y1657" s="1"/>
      <c r="Z1657" s="1"/>
    </row>
    <row r="1658" spans="1:26" ht="33.75" customHeight="1">
      <c r="A1658" s="1">
        <v>2148</v>
      </c>
      <c r="B1658" s="1" t="s">
        <v>4613</v>
      </c>
      <c r="C1658" s="1" t="s">
        <v>4460</v>
      </c>
      <c r="D1658" s="4">
        <v>39907.919444444444</v>
      </c>
      <c r="E1658" s="1" t="s">
        <v>4600</v>
      </c>
      <c r="F1658" s="1" t="s">
        <v>4604</v>
      </c>
      <c r="G1658" s="5" t="s">
        <v>26</v>
      </c>
      <c r="H1658" s="5" t="s">
        <v>27</v>
      </c>
      <c r="I1658" s="1" t="s">
        <v>28</v>
      </c>
      <c r="J1658" s="1" t="s">
        <v>259</v>
      </c>
      <c r="K1658" s="1"/>
      <c r="L1658" s="2" t="s">
        <v>4614</v>
      </c>
      <c r="M1658" s="1"/>
      <c r="N1658" s="1"/>
      <c r="O1658" s="1"/>
      <c r="P1658" s="1"/>
      <c r="Q1658" s="1"/>
      <c r="R1658" s="1"/>
      <c r="S1658" s="1"/>
      <c r="T1658" s="1"/>
      <c r="U1658" s="1"/>
      <c r="V1658" s="1"/>
      <c r="W1658" s="1"/>
      <c r="X1658" s="1"/>
      <c r="Y1658" s="1"/>
      <c r="Z1658" s="1"/>
    </row>
    <row r="1659" spans="1:26" ht="33.75" customHeight="1">
      <c r="A1659" s="1">
        <v>2149</v>
      </c>
      <c r="B1659" s="1" t="s">
        <v>4615</v>
      </c>
      <c r="C1659" s="1" t="s">
        <v>4460</v>
      </c>
      <c r="D1659" s="4">
        <v>39907.977777777778</v>
      </c>
      <c r="E1659" s="1" t="s">
        <v>314</v>
      </c>
      <c r="F1659" s="1" t="s">
        <v>4531</v>
      </c>
      <c r="G1659" s="5" t="s">
        <v>64</v>
      </c>
      <c r="H1659" s="1"/>
      <c r="I1659" s="1" t="s">
        <v>64</v>
      </c>
      <c r="J1659" s="1"/>
      <c r="K1659" s="1"/>
      <c r="L1659" s="2" t="s">
        <v>4616</v>
      </c>
      <c r="M1659" s="1"/>
      <c r="N1659" s="1"/>
      <c r="O1659" s="1"/>
      <c r="P1659" s="1"/>
      <c r="Q1659" s="1"/>
      <c r="R1659" s="1"/>
      <c r="S1659" s="1"/>
      <c r="T1659" s="1"/>
      <c r="U1659" s="1"/>
      <c r="V1659" s="1"/>
      <c r="W1659" s="1"/>
      <c r="X1659" s="1"/>
      <c r="Y1659" s="1"/>
      <c r="Z1659" s="1"/>
    </row>
    <row r="1660" spans="1:26" ht="33.75" customHeight="1">
      <c r="A1660" s="1">
        <v>2161</v>
      </c>
      <c r="B1660" s="1" t="s">
        <v>4617</v>
      </c>
      <c r="C1660" s="1" t="s">
        <v>4563</v>
      </c>
      <c r="D1660" s="4">
        <v>39908.238194444442</v>
      </c>
      <c r="E1660" s="1" t="s">
        <v>3610</v>
      </c>
      <c r="F1660" s="1"/>
      <c r="G1660" s="5" t="s">
        <v>64</v>
      </c>
      <c r="H1660" s="5" t="s">
        <v>179</v>
      </c>
      <c r="I1660" s="1" t="s">
        <v>179</v>
      </c>
      <c r="J1660" s="1"/>
      <c r="K1660" s="1"/>
      <c r="L1660" s="2" t="s">
        <v>4618</v>
      </c>
      <c r="M1660" s="1"/>
      <c r="N1660" s="1"/>
      <c r="O1660" s="1"/>
      <c r="P1660" s="1"/>
      <c r="Q1660" s="1"/>
      <c r="R1660" s="1"/>
      <c r="S1660" s="1"/>
      <c r="T1660" s="1"/>
      <c r="U1660" s="1"/>
      <c r="V1660" s="1"/>
      <c r="W1660" s="1"/>
      <c r="X1660" s="1"/>
      <c r="Y1660" s="1"/>
      <c r="Z1660" s="1"/>
    </row>
    <row r="1661" spans="1:26" ht="33.75" customHeight="1">
      <c r="A1661" s="1">
        <v>1409</v>
      </c>
      <c r="B1661" s="1" t="s">
        <v>4619</v>
      </c>
      <c r="C1661" s="1" t="s">
        <v>3929</v>
      </c>
      <c r="D1661" s="4">
        <v>39908.288194444445</v>
      </c>
      <c r="E1661" s="1" t="s">
        <v>196</v>
      </c>
      <c r="F1661" s="1"/>
      <c r="G1661" s="5" t="s">
        <v>26</v>
      </c>
      <c r="H1661" s="5" t="s">
        <v>133</v>
      </c>
      <c r="I1661" s="1" t="s">
        <v>28</v>
      </c>
      <c r="J1661" s="1" t="s">
        <v>134</v>
      </c>
      <c r="K1661" s="1" t="s">
        <v>4620</v>
      </c>
      <c r="L1661" s="2" t="s">
        <v>4621</v>
      </c>
      <c r="M1661" s="1"/>
      <c r="N1661" s="1"/>
      <c r="O1661" s="1"/>
      <c r="P1661" s="1"/>
      <c r="Q1661" s="1"/>
      <c r="R1661" s="1"/>
      <c r="S1661" s="1"/>
      <c r="T1661" s="1"/>
      <c r="U1661" s="1"/>
      <c r="V1661" s="1"/>
      <c r="W1661" s="1"/>
      <c r="X1661" s="1"/>
      <c r="Y1661" s="1"/>
      <c r="Z1661" s="1"/>
    </row>
    <row r="1662" spans="1:26" ht="33.75" customHeight="1">
      <c r="A1662" s="1">
        <v>2162</v>
      </c>
      <c r="B1662" s="1" t="s">
        <v>4622</v>
      </c>
      <c r="C1662" s="1" t="s">
        <v>4563</v>
      </c>
      <c r="D1662" s="4">
        <v>39908.336805555555</v>
      </c>
      <c r="E1662" s="1" t="s">
        <v>54</v>
      </c>
      <c r="F1662" s="1"/>
      <c r="G1662" s="5" t="s">
        <v>26</v>
      </c>
      <c r="H1662" s="5" t="s">
        <v>27</v>
      </c>
      <c r="I1662" s="1" t="s">
        <v>28</v>
      </c>
      <c r="J1662" s="1" t="s">
        <v>259</v>
      </c>
      <c r="K1662" s="1"/>
      <c r="L1662" s="2" t="s">
        <v>4623</v>
      </c>
      <c r="M1662" s="1"/>
      <c r="N1662" s="1"/>
      <c r="O1662" s="1"/>
      <c r="P1662" s="1"/>
      <c r="Q1662" s="1"/>
      <c r="R1662" s="1"/>
      <c r="S1662" s="1"/>
      <c r="T1662" s="1"/>
      <c r="U1662" s="1"/>
      <c r="V1662" s="1"/>
      <c r="W1662" s="1"/>
      <c r="X1662" s="1"/>
      <c r="Y1662" s="1"/>
      <c r="Z1662" s="1"/>
    </row>
    <row r="1663" spans="1:26" ht="33.75" customHeight="1">
      <c r="A1663" s="1">
        <v>2150</v>
      </c>
      <c r="B1663" s="1" t="s">
        <v>4624</v>
      </c>
      <c r="C1663" s="1" t="s">
        <v>4460</v>
      </c>
      <c r="D1663" s="4">
        <v>39908.510416666664</v>
      </c>
      <c r="E1663" s="1" t="s">
        <v>772</v>
      </c>
      <c r="F1663" s="1"/>
      <c r="G1663" s="5" t="s">
        <v>64</v>
      </c>
      <c r="H1663" s="1"/>
      <c r="I1663" s="1" t="s">
        <v>64</v>
      </c>
      <c r="J1663" s="1"/>
      <c r="K1663" s="1"/>
      <c r="L1663" s="2" t="s">
        <v>4625</v>
      </c>
      <c r="M1663" s="1"/>
      <c r="N1663" s="1"/>
      <c r="O1663" s="1"/>
      <c r="P1663" s="1"/>
      <c r="Q1663" s="1"/>
      <c r="R1663" s="1"/>
      <c r="S1663" s="1"/>
      <c r="T1663" s="1"/>
      <c r="U1663" s="1"/>
      <c r="V1663" s="1"/>
      <c r="W1663" s="1"/>
      <c r="X1663" s="1"/>
      <c r="Y1663" s="1"/>
      <c r="Z1663" s="1"/>
    </row>
    <row r="1664" spans="1:26" ht="33.75" customHeight="1">
      <c r="A1664" s="1">
        <v>2151</v>
      </c>
      <c r="B1664" s="1" t="s">
        <v>4626</v>
      </c>
      <c r="C1664" s="1" t="s">
        <v>4460</v>
      </c>
      <c r="D1664" s="4">
        <v>39908.581250000003</v>
      </c>
      <c r="E1664" s="1" t="s">
        <v>32</v>
      </c>
      <c r="F1664" s="1" t="s">
        <v>4627</v>
      </c>
      <c r="G1664" s="5" t="s">
        <v>64</v>
      </c>
      <c r="H1664" s="1"/>
      <c r="I1664" s="1" t="s">
        <v>64</v>
      </c>
      <c r="J1664" s="1"/>
      <c r="K1664" s="1"/>
      <c r="L1664" s="2" t="s">
        <v>4628</v>
      </c>
      <c r="M1664" s="1"/>
      <c r="N1664" s="1"/>
      <c r="O1664" s="1"/>
      <c r="P1664" s="1"/>
      <c r="Q1664" s="1"/>
      <c r="R1664" s="1"/>
      <c r="S1664" s="1"/>
      <c r="T1664" s="1"/>
      <c r="U1664" s="1"/>
      <c r="V1664" s="1"/>
      <c r="W1664" s="1"/>
      <c r="X1664" s="1"/>
      <c r="Y1664" s="1"/>
      <c r="Z1664" s="1"/>
    </row>
    <row r="1665" spans="1:26" ht="33.75" customHeight="1">
      <c r="A1665" s="1">
        <v>2152</v>
      </c>
      <c r="B1665" s="1" t="s">
        <v>4629</v>
      </c>
      <c r="C1665" s="1" t="s">
        <v>4460</v>
      </c>
      <c r="D1665" s="4">
        <v>39908.688888888886</v>
      </c>
      <c r="E1665" s="1" t="s">
        <v>32</v>
      </c>
      <c r="F1665" s="1"/>
      <c r="G1665" s="5" t="s">
        <v>64</v>
      </c>
      <c r="H1665" s="1"/>
      <c r="I1665" s="1" t="s">
        <v>64</v>
      </c>
      <c r="J1665" s="1"/>
      <c r="K1665" s="1"/>
      <c r="L1665" s="2" t="s">
        <v>4630</v>
      </c>
      <c r="M1665" s="1"/>
      <c r="N1665" s="1"/>
      <c r="O1665" s="1"/>
      <c r="P1665" s="1"/>
      <c r="Q1665" s="1"/>
      <c r="R1665" s="1"/>
      <c r="S1665" s="1"/>
      <c r="T1665" s="1"/>
      <c r="U1665" s="1"/>
      <c r="V1665" s="1"/>
      <c r="W1665" s="1"/>
      <c r="X1665" s="1"/>
      <c r="Y1665" s="1"/>
      <c r="Z1665" s="1"/>
    </row>
    <row r="1666" spans="1:26" ht="33.75" customHeight="1">
      <c r="A1666" s="1">
        <v>2153</v>
      </c>
      <c r="B1666" s="1" t="s">
        <v>4631</v>
      </c>
      <c r="C1666" s="1" t="s">
        <v>4460</v>
      </c>
      <c r="D1666" s="4">
        <v>39908.701388888891</v>
      </c>
      <c r="E1666" s="1" t="s">
        <v>32</v>
      </c>
      <c r="F1666" s="1"/>
      <c r="G1666" s="5" t="s">
        <v>64</v>
      </c>
      <c r="H1666" s="5" t="s">
        <v>375</v>
      </c>
      <c r="I1666" s="1" t="s">
        <v>4632</v>
      </c>
      <c r="J1666" s="1"/>
      <c r="K1666" s="1"/>
      <c r="L1666" s="2" t="s">
        <v>4633</v>
      </c>
      <c r="M1666" s="1"/>
      <c r="N1666" s="1"/>
      <c r="O1666" s="1"/>
      <c r="P1666" s="1"/>
      <c r="Q1666" s="1"/>
      <c r="R1666" s="1"/>
      <c r="S1666" s="1"/>
      <c r="T1666" s="1"/>
      <c r="U1666" s="1"/>
      <c r="V1666" s="1"/>
      <c r="W1666" s="1"/>
      <c r="X1666" s="1"/>
      <c r="Y1666" s="1"/>
      <c r="Z1666" s="1"/>
    </row>
    <row r="1667" spans="1:26" ht="33.75" customHeight="1">
      <c r="A1667" s="1">
        <v>1410</v>
      </c>
      <c r="B1667" s="1" t="s">
        <v>4634</v>
      </c>
      <c r="C1667" s="1" t="s">
        <v>3929</v>
      </c>
      <c r="D1667" s="4">
        <v>39908.708333333336</v>
      </c>
      <c r="E1667" s="1" t="s">
        <v>196</v>
      </c>
      <c r="F1667" s="1" t="s">
        <v>4619</v>
      </c>
      <c r="G1667" s="5" t="s">
        <v>64</v>
      </c>
      <c r="H1667" s="1"/>
      <c r="I1667" s="1" t="s">
        <v>64</v>
      </c>
      <c r="J1667" s="1"/>
      <c r="K1667" s="1"/>
      <c r="L1667" s="2" t="s">
        <v>4635</v>
      </c>
      <c r="M1667" s="1"/>
      <c r="N1667" s="1"/>
      <c r="O1667" s="1"/>
      <c r="P1667" s="1"/>
      <c r="Q1667" s="1"/>
      <c r="R1667" s="1"/>
      <c r="S1667" s="1"/>
      <c r="T1667" s="1"/>
      <c r="U1667" s="1"/>
      <c r="V1667" s="1"/>
      <c r="W1667" s="1"/>
      <c r="X1667" s="1"/>
      <c r="Y1667" s="1"/>
      <c r="Z1667" s="1"/>
    </row>
    <row r="1668" spans="1:26" ht="33.75" customHeight="1">
      <c r="A1668" s="1">
        <v>1411</v>
      </c>
      <c r="B1668" s="1" t="s">
        <v>4636</v>
      </c>
      <c r="C1668" s="1" t="s">
        <v>3929</v>
      </c>
      <c r="D1668" s="4">
        <v>39908.747916666667</v>
      </c>
      <c r="E1668" s="1" t="s">
        <v>14</v>
      </c>
      <c r="F1668" s="1"/>
      <c r="G1668" s="5" t="s">
        <v>26</v>
      </c>
      <c r="H1668" s="5" t="s">
        <v>27</v>
      </c>
      <c r="I1668" s="1" t="s">
        <v>28</v>
      </c>
      <c r="J1668" s="1" t="s">
        <v>259</v>
      </c>
      <c r="K1668" s="1" t="s">
        <v>4637</v>
      </c>
      <c r="L1668" s="2" t="s">
        <v>4638</v>
      </c>
      <c r="M1668" s="1"/>
      <c r="N1668" s="1"/>
      <c r="O1668" s="1"/>
      <c r="P1668" s="1"/>
      <c r="Q1668" s="1"/>
      <c r="R1668" s="1"/>
      <c r="S1668" s="1"/>
      <c r="T1668" s="1"/>
      <c r="U1668" s="1"/>
      <c r="V1668" s="1"/>
      <c r="W1668" s="1"/>
      <c r="X1668" s="1"/>
      <c r="Y1668" s="1"/>
      <c r="Z1668" s="1"/>
    </row>
    <row r="1669" spans="1:26" ht="33.75" customHeight="1">
      <c r="A1669" s="1">
        <v>1412</v>
      </c>
      <c r="B1669" s="1" t="s">
        <v>4639</v>
      </c>
      <c r="C1669" s="1" t="s">
        <v>3929</v>
      </c>
      <c r="D1669" s="4">
        <v>39908.751388888886</v>
      </c>
      <c r="E1669" s="1" t="s">
        <v>14</v>
      </c>
      <c r="F1669" s="1" t="s">
        <v>4636</v>
      </c>
      <c r="G1669" s="5" t="s">
        <v>26</v>
      </c>
      <c r="H1669" s="5" t="s">
        <v>133</v>
      </c>
      <c r="I1669" s="1" t="s">
        <v>4640</v>
      </c>
      <c r="J1669" s="1"/>
      <c r="K1669" s="1"/>
      <c r="L1669" s="2" t="s">
        <v>4641</v>
      </c>
      <c r="M1669" s="1"/>
      <c r="N1669" s="1"/>
      <c r="O1669" s="1"/>
      <c r="P1669" s="1"/>
      <c r="Q1669" s="1"/>
      <c r="R1669" s="1"/>
      <c r="S1669" s="1"/>
      <c r="T1669" s="1"/>
      <c r="U1669" s="1"/>
      <c r="V1669" s="1"/>
      <c r="W1669" s="1"/>
      <c r="X1669" s="1"/>
      <c r="Y1669" s="1"/>
      <c r="Z1669" s="1"/>
    </row>
    <row r="1670" spans="1:26" ht="33.75" customHeight="1">
      <c r="A1670" s="1">
        <v>1413</v>
      </c>
      <c r="B1670" s="1" t="s">
        <v>4642</v>
      </c>
      <c r="C1670" s="1" t="s">
        <v>3929</v>
      </c>
      <c r="D1670" s="4">
        <v>39908.769444444442</v>
      </c>
      <c r="E1670" s="1" t="s">
        <v>196</v>
      </c>
      <c r="F1670" s="1"/>
      <c r="G1670" s="5" t="s">
        <v>64</v>
      </c>
      <c r="H1670" s="1"/>
      <c r="I1670" s="1" t="s">
        <v>64</v>
      </c>
      <c r="J1670" s="1"/>
      <c r="K1670" s="1"/>
      <c r="L1670" s="2" t="s">
        <v>4643</v>
      </c>
      <c r="M1670" s="1"/>
      <c r="N1670" s="1"/>
      <c r="O1670" s="1"/>
      <c r="P1670" s="1"/>
      <c r="Q1670" s="1"/>
      <c r="R1670" s="1"/>
      <c r="S1670" s="1"/>
      <c r="T1670" s="1"/>
      <c r="U1670" s="1"/>
      <c r="V1670" s="1"/>
      <c r="W1670" s="1"/>
      <c r="X1670" s="1"/>
      <c r="Y1670" s="1"/>
      <c r="Z1670" s="1"/>
    </row>
    <row r="1671" spans="1:26" ht="33.75" customHeight="1">
      <c r="A1671" s="1">
        <v>1414</v>
      </c>
      <c r="B1671" s="1" t="s">
        <v>4644</v>
      </c>
      <c r="C1671" s="1" t="s">
        <v>3929</v>
      </c>
      <c r="D1671" s="4">
        <v>39908.779166666667</v>
      </c>
      <c r="E1671" s="1" t="s">
        <v>196</v>
      </c>
      <c r="F1671" s="1" t="s">
        <v>4642</v>
      </c>
      <c r="G1671" s="5" t="s">
        <v>26</v>
      </c>
      <c r="H1671" s="5" t="s">
        <v>133</v>
      </c>
      <c r="I1671" s="1" t="s">
        <v>28</v>
      </c>
      <c r="J1671" s="1" t="s">
        <v>134</v>
      </c>
      <c r="K1671" s="1"/>
      <c r="L1671" s="2" t="s">
        <v>4645</v>
      </c>
      <c r="M1671" s="1"/>
      <c r="N1671" s="1"/>
      <c r="O1671" s="1"/>
      <c r="P1671" s="1"/>
      <c r="Q1671" s="1"/>
      <c r="R1671" s="1"/>
      <c r="S1671" s="1"/>
      <c r="T1671" s="1"/>
      <c r="U1671" s="1"/>
      <c r="V1671" s="1"/>
      <c r="W1671" s="1"/>
      <c r="X1671" s="1"/>
      <c r="Y1671" s="1"/>
      <c r="Z1671" s="1"/>
    </row>
    <row r="1672" spans="1:26" ht="33.75" customHeight="1">
      <c r="A1672" s="1">
        <v>1415</v>
      </c>
      <c r="B1672" s="1" t="s">
        <v>4646</v>
      </c>
      <c r="C1672" s="1" t="s">
        <v>3929</v>
      </c>
      <c r="D1672" s="4">
        <v>39908.783333333333</v>
      </c>
      <c r="E1672" s="1" t="s">
        <v>14</v>
      </c>
      <c r="F1672" s="1"/>
      <c r="G1672" s="5" t="s">
        <v>26</v>
      </c>
      <c r="H1672" s="5" t="s">
        <v>1010</v>
      </c>
      <c r="I1672" s="1" t="s">
        <v>28</v>
      </c>
      <c r="J1672" s="1" t="s">
        <v>4647</v>
      </c>
      <c r="K1672" s="1" t="s">
        <v>4648</v>
      </c>
      <c r="L1672" s="2" t="s">
        <v>4649</v>
      </c>
      <c r="M1672" s="1"/>
      <c r="N1672" s="1"/>
      <c r="O1672" s="1"/>
      <c r="P1672" s="1"/>
      <c r="Q1672" s="1"/>
      <c r="R1672" s="1"/>
      <c r="S1672" s="1"/>
      <c r="T1672" s="1"/>
      <c r="U1672" s="1"/>
      <c r="V1672" s="1"/>
      <c r="W1672" s="1"/>
      <c r="X1672" s="1"/>
      <c r="Y1672" s="1"/>
      <c r="Z1672" s="1"/>
    </row>
    <row r="1673" spans="1:26" ht="33.75" customHeight="1">
      <c r="A1673" s="1">
        <v>1416</v>
      </c>
      <c r="B1673" s="1" t="s">
        <v>4650</v>
      </c>
      <c r="C1673" s="1" t="s">
        <v>3929</v>
      </c>
      <c r="D1673" s="4">
        <v>39908.794444444444</v>
      </c>
      <c r="E1673" s="1" t="s">
        <v>196</v>
      </c>
      <c r="F1673" s="1" t="s">
        <v>4646</v>
      </c>
      <c r="G1673" s="5" t="s">
        <v>26</v>
      </c>
      <c r="H1673" s="5" t="s">
        <v>133</v>
      </c>
      <c r="I1673" s="1" t="s">
        <v>28</v>
      </c>
      <c r="J1673" s="1" t="s">
        <v>134</v>
      </c>
      <c r="K1673" s="1" t="s">
        <v>26</v>
      </c>
      <c r="L1673" s="2" t="s">
        <v>4651</v>
      </c>
      <c r="M1673" s="1"/>
      <c r="N1673" s="1"/>
      <c r="O1673" s="1"/>
      <c r="P1673" s="1"/>
      <c r="Q1673" s="1"/>
      <c r="R1673" s="1"/>
      <c r="S1673" s="1"/>
      <c r="T1673" s="1"/>
      <c r="U1673" s="1"/>
      <c r="V1673" s="1"/>
      <c r="W1673" s="1"/>
      <c r="X1673" s="1"/>
      <c r="Y1673" s="1"/>
      <c r="Z1673" s="1"/>
    </row>
    <row r="1674" spans="1:26" ht="33.75" customHeight="1">
      <c r="A1674" s="1">
        <v>1417</v>
      </c>
      <c r="B1674" s="1" t="s">
        <v>4652</v>
      </c>
      <c r="C1674" s="1" t="s">
        <v>3929</v>
      </c>
      <c r="D1674" s="4">
        <v>39908.815972222219</v>
      </c>
      <c r="E1674" s="1" t="s">
        <v>196</v>
      </c>
      <c r="F1674" s="1"/>
      <c r="G1674" s="5" t="s">
        <v>26</v>
      </c>
      <c r="H1674" s="5" t="s">
        <v>27</v>
      </c>
      <c r="I1674" s="1" t="s">
        <v>28</v>
      </c>
      <c r="J1674" s="1" t="s">
        <v>29</v>
      </c>
      <c r="K1674" s="1"/>
      <c r="L1674" s="2" t="s">
        <v>4653</v>
      </c>
      <c r="M1674" s="1"/>
      <c r="N1674" s="1"/>
      <c r="O1674" s="1"/>
      <c r="P1674" s="1"/>
      <c r="Q1674" s="1"/>
      <c r="R1674" s="1"/>
      <c r="S1674" s="1"/>
      <c r="T1674" s="1"/>
      <c r="U1674" s="1"/>
      <c r="V1674" s="1"/>
      <c r="W1674" s="1"/>
      <c r="X1674" s="1"/>
      <c r="Y1674" s="1"/>
      <c r="Z1674" s="1"/>
    </row>
    <row r="1675" spans="1:26" ht="33.75" customHeight="1">
      <c r="A1675" s="1">
        <v>2063</v>
      </c>
      <c r="B1675" s="1" t="s">
        <v>4654</v>
      </c>
      <c r="C1675" s="1" t="s">
        <v>4460</v>
      </c>
      <c r="D1675" s="4">
        <v>39909.078472222223</v>
      </c>
      <c r="E1675" s="1" t="s">
        <v>1887</v>
      </c>
      <c r="F1675" s="1"/>
      <c r="G1675" s="5" t="s">
        <v>64</v>
      </c>
      <c r="H1675" s="5" t="s">
        <v>375</v>
      </c>
      <c r="I1675" s="1" t="s">
        <v>900</v>
      </c>
      <c r="J1675" s="1"/>
      <c r="K1675" s="1"/>
      <c r="L1675" s="2" t="s">
        <v>4655</v>
      </c>
      <c r="M1675" s="1"/>
      <c r="N1675" s="1"/>
      <c r="O1675" s="1"/>
      <c r="P1675" s="1"/>
      <c r="Q1675" s="1"/>
      <c r="R1675" s="1"/>
      <c r="S1675" s="1"/>
      <c r="T1675" s="1"/>
      <c r="U1675" s="1"/>
      <c r="V1675" s="1"/>
      <c r="W1675" s="1"/>
      <c r="X1675" s="1"/>
      <c r="Y1675" s="1"/>
      <c r="Z1675" s="1"/>
    </row>
    <row r="1676" spans="1:26" ht="33.75" customHeight="1">
      <c r="A1676" s="1">
        <v>1535</v>
      </c>
      <c r="B1676" s="1" t="s">
        <v>4656</v>
      </c>
      <c r="C1676" s="1" t="s">
        <v>4151</v>
      </c>
      <c r="D1676" s="4">
        <v>39909.289583333331</v>
      </c>
      <c r="E1676" s="1" t="s">
        <v>4657</v>
      </c>
      <c r="F1676" s="1"/>
      <c r="G1676" s="5" t="s">
        <v>15</v>
      </c>
      <c r="H1676" s="5" t="s">
        <v>140</v>
      </c>
      <c r="I1676" s="1" t="s">
        <v>166</v>
      </c>
      <c r="J1676" s="1"/>
      <c r="K1676" s="1" t="s">
        <v>4658</v>
      </c>
      <c r="L1676" s="2" t="s">
        <v>4659</v>
      </c>
      <c r="M1676" s="1"/>
      <c r="N1676" s="1"/>
      <c r="O1676" s="1"/>
      <c r="P1676" s="1"/>
      <c r="Q1676" s="1"/>
      <c r="R1676" s="1"/>
      <c r="S1676" s="1"/>
      <c r="T1676" s="1"/>
      <c r="U1676" s="1"/>
      <c r="V1676" s="1"/>
      <c r="W1676" s="1"/>
      <c r="X1676" s="1"/>
      <c r="Y1676" s="1"/>
      <c r="Z1676" s="1"/>
    </row>
    <row r="1677" spans="1:26" ht="33.75" customHeight="1">
      <c r="A1677" s="1">
        <v>2064</v>
      </c>
      <c r="B1677" s="1" t="s">
        <v>4660</v>
      </c>
      <c r="C1677" s="1" t="s">
        <v>4460</v>
      </c>
      <c r="D1677" s="4">
        <v>39909.326388888891</v>
      </c>
      <c r="E1677" s="1" t="s">
        <v>84</v>
      </c>
      <c r="F1677" s="1"/>
      <c r="G1677" s="6" t="s">
        <v>78</v>
      </c>
      <c r="H1677" s="5" t="s">
        <v>79</v>
      </c>
      <c r="I1677" s="1" t="s">
        <v>4661</v>
      </c>
      <c r="J1677" s="1"/>
      <c r="K1677" s="1" t="s">
        <v>4662</v>
      </c>
      <c r="L1677" s="2" t="s">
        <v>4663</v>
      </c>
      <c r="M1677" s="1"/>
      <c r="N1677" s="1"/>
      <c r="O1677" s="1"/>
      <c r="P1677" s="1"/>
      <c r="Q1677" s="1"/>
      <c r="R1677" s="1"/>
      <c r="S1677" s="1"/>
      <c r="T1677" s="1"/>
      <c r="U1677" s="1"/>
      <c r="V1677" s="1"/>
      <c r="W1677" s="1"/>
      <c r="X1677" s="1"/>
      <c r="Y1677" s="1"/>
      <c r="Z1677" s="1"/>
    </row>
    <row r="1678" spans="1:26" ht="33.75" customHeight="1">
      <c r="A1678" s="1">
        <v>2065</v>
      </c>
      <c r="B1678" s="1" t="s">
        <v>4664</v>
      </c>
      <c r="C1678" s="1" t="s">
        <v>4460</v>
      </c>
      <c r="D1678" s="4">
        <v>39909.463194444441</v>
      </c>
      <c r="E1678" s="1" t="s">
        <v>4665</v>
      </c>
      <c r="F1678" s="1"/>
      <c r="G1678" s="5" t="s">
        <v>15</v>
      </c>
      <c r="H1678" s="5" t="s">
        <v>140</v>
      </c>
      <c r="I1678" s="1" t="s">
        <v>35</v>
      </c>
      <c r="J1678" s="1"/>
      <c r="K1678" s="1" t="s">
        <v>4666</v>
      </c>
      <c r="L1678" s="2" t="s">
        <v>4667</v>
      </c>
      <c r="M1678" s="1"/>
      <c r="N1678" s="1"/>
      <c r="O1678" s="1"/>
      <c r="P1678" s="1"/>
      <c r="Q1678" s="1"/>
      <c r="R1678" s="1"/>
      <c r="S1678" s="1"/>
      <c r="T1678" s="1"/>
      <c r="U1678" s="1"/>
      <c r="V1678" s="1"/>
      <c r="W1678" s="1"/>
      <c r="X1678" s="1"/>
      <c r="Y1678" s="1"/>
      <c r="Z1678" s="1"/>
    </row>
    <row r="1679" spans="1:26" ht="33.75" customHeight="1">
      <c r="A1679" s="1">
        <v>2066</v>
      </c>
      <c r="B1679" s="1" t="s">
        <v>4668</v>
      </c>
      <c r="C1679" s="1" t="s">
        <v>4460</v>
      </c>
      <c r="D1679" s="4">
        <v>39909.477083333331</v>
      </c>
      <c r="E1679" s="1" t="s">
        <v>32</v>
      </c>
      <c r="F1679" s="1"/>
      <c r="G1679" s="5" t="s">
        <v>15</v>
      </c>
      <c r="H1679" s="5" t="s">
        <v>150</v>
      </c>
      <c r="I1679" s="1" t="s">
        <v>1803</v>
      </c>
      <c r="J1679" s="1"/>
      <c r="K1679" s="1"/>
      <c r="L1679" s="2" t="s">
        <v>4669</v>
      </c>
      <c r="M1679" s="1"/>
      <c r="N1679" s="1"/>
      <c r="O1679" s="1"/>
      <c r="P1679" s="1"/>
      <c r="Q1679" s="1"/>
      <c r="R1679" s="1"/>
      <c r="S1679" s="1"/>
      <c r="T1679" s="1"/>
      <c r="U1679" s="1"/>
      <c r="V1679" s="1"/>
      <c r="W1679" s="1"/>
      <c r="X1679" s="1"/>
      <c r="Y1679" s="1"/>
      <c r="Z1679" s="1"/>
    </row>
    <row r="1680" spans="1:26" ht="33.75" customHeight="1">
      <c r="A1680" s="1">
        <v>2067</v>
      </c>
      <c r="B1680" s="1" t="s">
        <v>4670</v>
      </c>
      <c r="C1680" s="1" t="s">
        <v>4460</v>
      </c>
      <c r="D1680" s="4">
        <v>39909.482638888891</v>
      </c>
      <c r="E1680" s="1" t="s">
        <v>32</v>
      </c>
      <c r="F1680" s="1" t="s">
        <v>4668</v>
      </c>
      <c r="G1680" s="5" t="s">
        <v>64</v>
      </c>
      <c r="H1680" s="5" t="s">
        <v>431</v>
      </c>
      <c r="I1680" s="1" t="s">
        <v>4671</v>
      </c>
      <c r="J1680" s="1"/>
      <c r="K1680" s="1"/>
      <c r="L1680" s="2" t="s">
        <v>4672</v>
      </c>
      <c r="M1680" s="1"/>
      <c r="N1680" s="1"/>
      <c r="O1680" s="1"/>
      <c r="P1680" s="1"/>
      <c r="Q1680" s="1"/>
      <c r="R1680" s="1"/>
      <c r="S1680" s="1"/>
      <c r="T1680" s="1"/>
      <c r="U1680" s="1"/>
      <c r="V1680" s="1"/>
      <c r="W1680" s="1"/>
      <c r="X1680" s="1"/>
      <c r="Y1680" s="1"/>
      <c r="Z1680" s="1"/>
    </row>
    <row r="1681" spans="1:26" ht="33.75" customHeight="1">
      <c r="A1681" s="1">
        <v>1418</v>
      </c>
      <c r="B1681" s="1" t="s">
        <v>4673</v>
      </c>
      <c r="C1681" s="1" t="s">
        <v>3929</v>
      </c>
      <c r="D1681" s="4">
        <v>39909.932638888888</v>
      </c>
      <c r="E1681" s="1" t="s">
        <v>320</v>
      </c>
      <c r="F1681" s="1" t="s">
        <v>4610</v>
      </c>
      <c r="G1681" s="5" t="s">
        <v>26</v>
      </c>
      <c r="H1681" s="5" t="s">
        <v>133</v>
      </c>
      <c r="I1681" s="1" t="s">
        <v>28</v>
      </c>
      <c r="J1681" s="1" t="s">
        <v>134</v>
      </c>
      <c r="K1681" s="1" t="s">
        <v>4674</v>
      </c>
      <c r="L1681" s="2" t="s">
        <v>4675</v>
      </c>
      <c r="M1681" s="1"/>
      <c r="N1681" s="1"/>
      <c r="O1681" s="1"/>
      <c r="P1681" s="1"/>
      <c r="Q1681" s="1"/>
      <c r="R1681" s="1"/>
      <c r="S1681" s="1"/>
      <c r="T1681" s="1"/>
      <c r="U1681" s="1"/>
      <c r="V1681" s="1"/>
      <c r="W1681" s="1"/>
      <c r="X1681" s="1"/>
      <c r="Y1681" s="1"/>
      <c r="Z1681" s="1"/>
    </row>
    <row r="1682" spans="1:26" ht="33.75" customHeight="1">
      <c r="A1682" s="1">
        <v>1419</v>
      </c>
      <c r="B1682" s="1" t="s">
        <v>4676</v>
      </c>
      <c r="C1682" s="1" t="s">
        <v>3929</v>
      </c>
      <c r="D1682" s="4">
        <v>39909.94027777778</v>
      </c>
      <c r="E1682" s="1" t="s">
        <v>320</v>
      </c>
      <c r="F1682" s="1" t="s">
        <v>4610</v>
      </c>
      <c r="G1682" s="5" t="s">
        <v>15</v>
      </c>
      <c r="H1682" s="5" t="s">
        <v>140</v>
      </c>
      <c r="I1682" s="1" t="s">
        <v>35</v>
      </c>
      <c r="J1682" s="1"/>
      <c r="K1682" s="1" t="s">
        <v>4677</v>
      </c>
      <c r="L1682" s="2" t="s">
        <v>4678</v>
      </c>
      <c r="M1682" s="1"/>
      <c r="N1682" s="1"/>
      <c r="O1682" s="1"/>
      <c r="P1682" s="1"/>
      <c r="Q1682" s="1"/>
      <c r="R1682" s="1"/>
      <c r="S1682" s="1"/>
      <c r="T1682" s="1"/>
      <c r="U1682" s="1"/>
      <c r="V1682" s="1"/>
      <c r="W1682" s="1"/>
      <c r="X1682" s="1"/>
      <c r="Y1682" s="1"/>
      <c r="Z1682" s="1"/>
    </row>
    <row r="1683" spans="1:26" ht="33.75" customHeight="1">
      <c r="A1683" s="1">
        <v>2068</v>
      </c>
      <c r="B1683" s="1" t="s">
        <v>4679</v>
      </c>
      <c r="C1683" s="1" t="s">
        <v>4460</v>
      </c>
      <c r="D1683" s="4">
        <v>39909.941666666666</v>
      </c>
      <c r="E1683" s="1" t="s">
        <v>1089</v>
      </c>
      <c r="F1683" s="1"/>
      <c r="G1683" s="5" t="s">
        <v>64</v>
      </c>
      <c r="H1683" s="1"/>
      <c r="I1683" s="1" t="s">
        <v>64</v>
      </c>
      <c r="J1683" s="1"/>
      <c r="K1683" s="1"/>
      <c r="L1683" s="2" t="s">
        <v>4680</v>
      </c>
      <c r="M1683" s="1"/>
      <c r="N1683" s="1"/>
      <c r="O1683" s="1"/>
      <c r="P1683" s="1"/>
      <c r="Q1683" s="1"/>
      <c r="R1683" s="1"/>
      <c r="S1683" s="1"/>
      <c r="T1683" s="1"/>
      <c r="U1683" s="1"/>
      <c r="V1683" s="1"/>
      <c r="W1683" s="1"/>
      <c r="X1683" s="1"/>
      <c r="Y1683" s="1"/>
      <c r="Z1683" s="1"/>
    </row>
    <row r="1684" spans="1:26" ht="33.75" customHeight="1">
      <c r="A1684" s="1">
        <v>2069</v>
      </c>
      <c r="B1684" s="1" t="s">
        <v>4681</v>
      </c>
      <c r="C1684" s="1" t="s">
        <v>4460</v>
      </c>
      <c r="D1684" s="4">
        <v>39910.330555555556</v>
      </c>
      <c r="E1684" s="1" t="s">
        <v>4600</v>
      </c>
      <c r="F1684" s="1" t="s">
        <v>4682</v>
      </c>
      <c r="G1684" s="5" t="s">
        <v>64</v>
      </c>
      <c r="H1684" s="5" t="s">
        <v>179</v>
      </c>
      <c r="I1684" s="1" t="s">
        <v>179</v>
      </c>
      <c r="J1684" s="1"/>
      <c r="K1684" s="1"/>
      <c r="L1684" s="2" t="s">
        <v>4683</v>
      </c>
      <c r="M1684" s="1"/>
      <c r="N1684" s="1"/>
      <c r="O1684" s="1"/>
      <c r="P1684" s="1"/>
      <c r="Q1684" s="1"/>
      <c r="R1684" s="1"/>
      <c r="S1684" s="1"/>
      <c r="T1684" s="1"/>
      <c r="U1684" s="1"/>
      <c r="V1684" s="1"/>
      <c r="W1684" s="1"/>
      <c r="X1684" s="1"/>
      <c r="Y1684" s="1"/>
      <c r="Z1684" s="1"/>
    </row>
    <row r="1685" spans="1:26" ht="33.75" customHeight="1">
      <c r="A1685" s="1">
        <v>2070</v>
      </c>
      <c r="B1685" s="1" t="s">
        <v>4684</v>
      </c>
      <c r="C1685" s="1" t="s">
        <v>4460</v>
      </c>
      <c r="D1685" s="4">
        <v>39910.331944444442</v>
      </c>
      <c r="E1685" s="1" t="s">
        <v>4600</v>
      </c>
      <c r="F1685" s="1"/>
      <c r="G1685" s="5" t="s">
        <v>64</v>
      </c>
      <c r="H1685" s="5" t="s">
        <v>179</v>
      </c>
      <c r="I1685" s="1" t="s">
        <v>179</v>
      </c>
      <c r="J1685" s="1"/>
      <c r="K1685" s="1"/>
      <c r="L1685" s="2" t="s">
        <v>4685</v>
      </c>
      <c r="M1685" s="1"/>
      <c r="N1685" s="1"/>
      <c r="O1685" s="1"/>
      <c r="P1685" s="1"/>
      <c r="Q1685" s="1"/>
      <c r="R1685" s="1"/>
      <c r="S1685" s="1"/>
      <c r="T1685" s="1"/>
      <c r="U1685" s="1"/>
      <c r="V1685" s="1"/>
      <c r="W1685" s="1"/>
      <c r="X1685" s="1"/>
      <c r="Y1685" s="1"/>
      <c r="Z1685" s="1"/>
    </row>
    <row r="1686" spans="1:26" ht="33.75" customHeight="1">
      <c r="A1686" s="1">
        <v>2071</v>
      </c>
      <c r="B1686" s="1" t="s">
        <v>4686</v>
      </c>
      <c r="C1686" s="1" t="s">
        <v>4460</v>
      </c>
      <c r="D1686" s="4">
        <v>39910.511111111111</v>
      </c>
      <c r="E1686" s="1" t="s">
        <v>772</v>
      </c>
      <c r="F1686" s="1"/>
      <c r="G1686" s="5" t="s">
        <v>64</v>
      </c>
      <c r="H1686" s="1"/>
      <c r="I1686" s="1" t="s">
        <v>64</v>
      </c>
      <c r="J1686" s="1"/>
      <c r="K1686" s="1"/>
      <c r="L1686" s="2" t="s">
        <v>4687</v>
      </c>
      <c r="M1686" s="1"/>
      <c r="N1686" s="1"/>
      <c r="O1686" s="1"/>
      <c r="P1686" s="1"/>
      <c r="Q1686" s="1"/>
      <c r="R1686" s="1"/>
      <c r="S1686" s="1"/>
      <c r="T1686" s="1"/>
      <c r="U1686" s="1"/>
      <c r="V1686" s="1"/>
      <c r="W1686" s="1"/>
      <c r="X1686" s="1"/>
      <c r="Y1686" s="1"/>
      <c r="Z1686" s="1"/>
    </row>
    <row r="1687" spans="1:26" ht="33.75" customHeight="1">
      <c r="A1687" s="1">
        <v>2072</v>
      </c>
      <c r="B1687" s="1" t="s">
        <v>4688</v>
      </c>
      <c r="C1687" s="1" t="s">
        <v>4460</v>
      </c>
      <c r="D1687" s="4">
        <v>39911.227083333331</v>
      </c>
      <c r="E1687" s="1" t="s">
        <v>1089</v>
      </c>
      <c r="F1687" s="1"/>
      <c r="G1687" s="5" t="s">
        <v>64</v>
      </c>
      <c r="H1687" s="1"/>
      <c r="I1687" s="1" t="s">
        <v>64</v>
      </c>
      <c r="J1687" s="1"/>
      <c r="K1687" s="1"/>
      <c r="L1687" s="2" t="s">
        <v>4689</v>
      </c>
      <c r="M1687" s="1"/>
      <c r="N1687" s="1"/>
      <c r="O1687" s="1"/>
      <c r="P1687" s="1"/>
      <c r="Q1687" s="1"/>
      <c r="R1687" s="1"/>
      <c r="S1687" s="1"/>
      <c r="T1687" s="1"/>
      <c r="U1687" s="1"/>
      <c r="V1687" s="1"/>
      <c r="W1687" s="1"/>
      <c r="X1687" s="1"/>
      <c r="Y1687" s="1"/>
      <c r="Z1687" s="1"/>
    </row>
    <row r="1688" spans="1:26" ht="33.75" customHeight="1">
      <c r="A1688" s="1">
        <v>2073</v>
      </c>
      <c r="B1688" s="1" t="s">
        <v>4690</v>
      </c>
      <c r="C1688" s="1" t="s">
        <v>4460</v>
      </c>
      <c r="D1688" s="4">
        <v>39911.350694444445</v>
      </c>
      <c r="E1688" s="1" t="s">
        <v>1089</v>
      </c>
      <c r="F1688" s="1"/>
      <c r="G1688" s="5" t="s">
        <v>64</v>
      </c>
      <c r="H1688" s="1"/>
      <c r="I1688" s="1" t="s">
        <v>64</v>
      </c>
      <c r="J1688" s="1"/>
      <c r="K1688" s="1"/>
      <c r="L1688" s="2" t="s">
        <v>4691</v>
      </c>
      <c r="M1688" s="1"/>
      <c r="N1688" s="1"/>
      <c r="O1688" s="1"/>
      <c r="P1688" s="1"/>
      <c r="Q1688" s="1"/>
      <c r="R1688" s="1"/>
      <c r="S1688" s="1"/>
      <c r="T1688" s="1"/>
      <c r="U1688" s="1"/>
      <c r="V1688" s="1"/>
      <c r="W1688" s="1"/>
      <c r="X1688" s="1"/>
      <c r="Y1688" s="1"/>
      <c r="Z1688" s="1"/>
    </row>
    <row r="1689" spans="1:26" ht="33.75" customHeight="1">
      <c r="A1689" s="1">
        <v>2074</v>
      </c>
      <c r="B1689" s="1" t="s">
        <v>4692</v>
      </c>
      <c r="C1689" s="1" t="s">
        <v>4460</v>
      </c>
      <c r="D1689" s="4">
        <v>39911.394444444442</v>
      </c>
      <c r="E1689" s="1" t="s">
        <v>1887</v>
      </c>
      <c r="F1689" s="1"/>
      <c r="G1689" s="5" t="s">
        <v>64</v>
      </c>
      <c r="H1689" s="5" t="s">
        <v>375</v>
      </c>
      <c r="I1689" s="1" t="s">
        <v>900</v>
      </c>
      <c r="J1689" s="1"/>
      <c r="K1689" s="1"/>
      <c r="L1689" s="2" t="s">
        <v>4693</v>
      </c>
      <c r="M1689" s="1"/>
      <c r="N1689" s="1"/>
      <c r="O1689" s="1"/>
      <c r="P1689" s="1"/>
      <c r="Q1689" s="1"/>
      <c r="R1689" s="1"/>
      <c r="S1689" s="1"/>
      <c r="T1689" s="1"/>
      <c r="U1689" s="1"/>
      <c r="V1689" s="1"/>
      <c r="W1689" s="1"/>
      <c r="X1689" s="1"/>
      <c r="Y1689" s="1"/>
      <c r="Z1689" s="1"/>
    </row>
    <row r="1690" spans="1:26" ht="33.75" customHeight="1">
      <c r="A1690" s="1">
        <v>2075</v>
      </c>
      <c r="B1690" s="1" t="s">
        <v>4694</v>
      </c>
      <c r="C1690" s="1" t="s">
        <v>4460</v>
      </c>
      <c r="D1690" s="4">
        <v>39911.550000000003</v>
      </c>
      <c r="E1690" s="1" t="s">
        <v>772</v>
      </c>
      <c r="F1690" s="1"/>
      <c r="G1690" s="5" t="s">
        <v>64</v>
      </c>
      <c r="H1690" s="1"/>
      <c r="I1690" s="1" t="s">
        <v>64</v>
      </c>
      <c r="J1690" s="1"/>
      <c r="K1690" s="1"/>
      <c r="L1690" s="2" t="s">
        <v>4695</v>
      </c>
      <c r="M1690" s="1"/>
      <c r="N1690" s="1"/>
      <c r="O1690" s="1"/>
      <c r="P1690" s="1"/>
      <c r="Q1690" s="1"/>
      <c r="R1690" s="1"/>
      <c r="S1690" s="1"/>
      <c r="T1690" s="1"/>
      <c r="U1690" s="1"/>
      <c r="V1690" s="1"/>
      <c r="W1690" s="1"/>
      <c r="X1690" s="1"/>
      <c r="Y1690" s="1"/>
      <c r="Z1690" s="1"/>
    </row>
    <row r="1691" spans="1:26" ht="33.75" customHeight="1">
      <c r="A1691" s="1">
        <v>2163</v>
      </c>
      <c r="B1691" s="1" t="s">
        <v>4696</v>
      </c>
      <c r="C1691" s="1" t="s">
        <v>4563</v>
      </c>
      <c r="D1691" s="4">
        <v>39912.209027777775</v>
      </c>
      <c r="E1691" s="1" t="s">
        <v>3610</v>
      </c>
      <c r="F1691" s="1"/>
      <c r="G1691" s="5" t="s">
        <v>26</v>
      </c>
      <c r="H1691" s="5" t="s">
        <v>133</v>
      </c>
      <c r="I1691" s="1" t="s">
        <v>28</v>
      </c>
      <c r="J1691" s="1" t="s">
        <v>134</v>
      </c>
      <c r="K1691" s="1"/>
      <c r="L1691" s="2" t="s">
        <v>4697</v>
      </c>
      <c r="M1691" s="1"/>
      <c r="N1691" s="1"/>
      <c r="O1691" s="1"/>
      <c r="P1691" s="1"/>
      <c r="Q1691" s="1"/>
      <c r="R1691" s="1"/>
      <c r="S1691" s="1"/>
      <c r="T1691" s="1"/>
      <c r="U1691" s="1"/>
      <c r="V1691" s="1"/>
      <c r="W1691" s="1"/>
      <c r="X1691" s="1"/>
      <c r="Y1691" s="1"/>
      <c r="Z1691" s="1"/>
    </row>
    <row r="1692" spans="1:26" ht="33.75" customHeight="1">
      <c r="A1692" s="1">
        <v>2164</v>
      </c>
      <c r="B1692" s="1" t="s">
        <v>4698</v>
      </c>
      <c r="C1692" s="1" t="s">
        <v>4563</v>
      </c>
      <c r="D1692" s="4">
        <v>39912.313888888886</v>
      </c>
      <c r="E1692" s="1" t="s">
        <v>54</v>
      </c>
      <c r="F1692" s="1" t="s">
        <v>4696</v>
      </c>
      <c r="G1692" s="5" t="s">
        <v>26</v>
      </c>
      <c r="H1692" s="5" t="s">
        <v>27</v>
      </c>
      <c r="I1692" s="1" t="s">
        <v>28</v>
      </c>
      <c r="J1692" s="1" t="s">
        <v>259</v>
      </c>
      <c r="K1692" s="1"/>
      <c r="L1692" s="2" t="s">
        <v>4699</v>
      </c>
      <c r="M1692" s="1"/>
      <c r="N1692" s="1"/>
      <c r="O1692" s="1"/>
      <c r="P1692" s="1"/>
      <c r="Q1692" s="1"/>
      <c r="R1692" s="1"/>
      <c r="S1692" s="1"/>
      <c r="T1692" s="1"/>
      <c r="U1692" s="1"/>
      <c r="V1692" s="1"/>
      <c r="W1692" s="1"/>
      <c r="X1692" s="1"/>
      <c r="Y1692" s="1"/>
      <c r="Z1692" s="1"/>
    </row>
    <row r="1693" spans="1:26" ht="33.75" customHeight="1">
      <c r="A1693" s="1">
        <v>2076</v>
      </c>
      <c r="B1693" s="1" t="s">
        <v>4700</v>
      </c>
      <c r="C1693" s="1" t="s">
        <v>4460</v>
      </c>
      <c r="D1693" s="4">
        <v>39912.497916666667</v>
      </c>
      <c r="E1693" s="1" t="s">
        <v>772</v>
      </c>
      <c r="F1693" s="1"/>
      <c r="G1693" s="5" t="s">
        <v>64</v>
      </c>
      <c r="H1693" s="1"/>
      <c r="I1693" s="1" t="s">
        <v>64</v>
      </c>
      <c r="J1693" s="1"/>
      <c r="K1693" s="1"/>
      <c r="L1693" s="2" t="s">
        <v>4701</v>
      </c>
      <c r="M1693" s="1"/>
      <c r="N1693" s="1"/>
      <c r="O1693" s="1"/>
      <c r="P1693" s="1"/>
      <c r="Q1693" s="1"/>
      <c r="R1693" s="1"/>
      <c r="S1693" s="1"/>
      <c r="T1693" s="1"/>
      <c r="U1693" s="1"/>
      <c r="V1693" s="1"/>
      <c r="W1693" s="1"/>
      <c r="X1693" s="1"/>
      <c r="Y1693" s="1"/>
      <c r="Z1693" s="1"/>
    </row>
    <row r="1694" spans="1:26" ht="33.75" customHeight="1">
      <c r="A1694" s="1">
        <v>1420</v>
      </c>
      <c r="B1694" s="1" t="s">
        <v>4702</v>
      </c>
      <c r="C1694" s="1" t="s">
        <v>3929</v>
      </c>
      <c r="D1694" s="4">
        <v>39912.881249999999</v>
      </c>
      <c r="E1694" s="1" t="s">
        <v>54</v>
      </c>
      <c r="F1694" s="1"/>
      <c r="G1694" s="5" t="s">
        <v>33</v>
      </c>
      <c r="H1694" s="5" t="s">
        <v>34</v>
      </c>
      <c r="I1694" s="1" t="s">
        <v>1605</v>
      </c>
      <c r="J1694" s="1"/>
      <c r="K1694" s="1" t="s">
        <v>4703</v>
      </c>
      <c r="L1694" s="2" t="s">
        <v>4704</v>
      </c>
      <c r="M1694" s="1"/>
      <c r="N1694" s="1"/>
      <c r="O1694" s="1"/>
      <c r="P1694" s="1"/>
      <c r="Q1694" s="1"/>
      <c r="R1694" s="1"/>
      <c r="S1694" s="1"/>
      <c r="T1694" s="1"/>
      <c r="U1694" s="1"/>
      <c r="V1694" s="1"/>
      <c r="W1694" s="1"/>
      <c r="X1694" s="1"/>
      <c r="Y1694" s="1"/>
      <c r="Z1694" s="1"/>
    </row>
    <row r="1695" spans="1:26" ht="33.75" customHeight="1">
      <c r="A1695" s="1">
        <v>2077</v>
      </c>
      <c r="B1695" s="1" t="s">
        <v>4705</v>
      </c>
      <c r="C1695" s="1" t="s">
        <v>4460</v>
      </c>
      <c r="D1695" s="4">
        <v>39912.884027777778</v>
      </c>
      <c r="E1695" s="1" t="s">
        <v>772</v>
      </c>
      <c r="F1695" s="1"/>
      <c r="G1695" s="5" t="s">
        <v>64</v>
      </c>
      <c r="H1695" s="1"/>
      <c r="I1695" s="1" t="s">
        <v>64</v>
      </c>
      <c r="J1695" s="1"/>
      <c r="K1695" s="1"/>
      <c r="L1695" s="2" t="s">
        <v>4706</v>
      </c>
      <c r="M1695" s="1"/>
      <c r="N1695" s="1"/>
      <c r="O1695" s="1"/>
      <c r="P1695" s="1"/>
      <c r="Q1695" s="1"/>
      <c r="R1695" s="1"/>
      <c r="S1695" s="1"/>
      <c r="T1695" s="1"/>
      <c r="U1695" s="1"/>
      <c r="V1695" s="1"/>
      <c r="W1695" s="1"/>
      <c r="X1695" s="1"/>
      <c r="Y1695" s="1"/>
      <c r="Z1695" s="1"/>
    </row>
    <row r="1696" spans="1:26" ht="33.75" customHeight="1">
      <c r="A1696" s="1">
        <v>1639</v>
      </c>
      <c r="B1696" s="1" t="s">
        <v>4707</v>
      </c>
      <c r="C1696" s="1" t="s">
        <v>846</v>
      </c>
      <c r="D1696" s="4">
        <v>39914.470138888886</v>
      </c>
      <c r="E1696" s="1" t="s">
        <v>2242</v>
      </c>
      <c r="F1696" s="1">
        <v>228</v>
      </c>
      <c r="G1696" s="5" t="s">
        <v>26</v>
      </c>
      <c r="H1696" s="5" t="s">
        <v>27</v>
      </c>
      <c r="I1696" s="1" t="s">
        <v>28</v>
      </c>
      <c r="J1696" s="1" t="s">
        <v>29</v>
      </c>
      <c r="K1696" s="1"/>
      <c r="L1696" s="2" t="s">
        <v>4708</v>
      </c>
      <c r="M1696" s="1"/>
      <c r="N1696" s="1"/>
      <c r="O1696" s="1"/>
      <c r="P1696" s="1"/>
      <c r="Q1696" s="1"/>
      <c r="R1696" s="1"/>
      <c r="S1696" s="1"/>
      <c r="T1696" s="1"/>
      <c r="U1696" s="1"/>
      <c r="V1696" s="1"/>
      <c r="W1696" s="1"/>
      <c r="X1696" s="1"/>
      <c r="Y1696" s="1"/>
      <c r="Z1696" s="1"/>
    </row>
    <row r="1697" spans="1:26" ht="33.75" customHeight="1">
      <c r="A1697" s="1">
        <v>2078</v>
      </c>
      <c r="B1697" s="1" t="s">
        <v>4709</v>
      </c>
      <c r="C1697" s="1" t="s">
        <v>4460</v>
      </c>
      <c r="D1697" s="4">
        <v>39915.15902777778</v>
      </c>
      <c r="E1697" s="1" t="s">
        <v>1089</v>
      </c>
      <c r="F1697" s="1" t="s">
        <v>4710</v>
      </c>
      <c r="G1697" s="5" t="s">
        <v>33</v>
      </c>
      <c r="H1697" s="5" t="s">
        <v>34</v>
      </c>
      <c r="I1697" s="1" t="s">
        <v>1605</v>
      </c>
      <c r="J1697" s="1"/>
      <c r="K1697" s="1"/>
      <c r="L1697" s="2" t="s">
        <v>4711</v>
      </c>
      <c r="M1697" s="1"/>
      <c r="N1697" s="1"/>
      <c r="O1697" s="1"/>
      <c r="P1697" s="1"/>
      <c r="Q1697" s="1"/>
      <c r="R1697" s="1"/>
      <c r="S1697" s="1"/>
      <c r="T1697" s="1"/>
      <c r="U1697" s="1"/>
      <c r="V1697" s="1"/>
      <c r="W1697" s="1"/>
      <c r="X1697" s="1"/>
      <c r="Y1697" s="1"/>
      <c r="Z1697" s="1"/>
    </row>
    <row r="1698" spans="1:26" ht="33.75" customHeight="1">
      <c r="A1698" s="1">
        <v>2079</v>
      </c>
      <c r="B1698" s="1" t="s">
        <v>4712</v>
      </c>
      <c r="C1698" s="1" t="s">
        <v>4460</v>
      </c>
      <c r="D1698" s="4">
        <v>39915.177083333336</v>
      </c>
      <c r="E1698" s="1" t="s">
        <v>1089</v>
      </c>
      <c r="F1698" s="1"/>
      <c r="G1698" s="5" t="s">
        <v>64</v>
      </c>
      <c r="H1698" s="5" t="s">
        <v>1053</v>
      </c>
      <c r="I1698" s="1" t="s">
        <v>213</v>
      </c>
      <c r="J1698" s="1" t="s">
        <v>2493</v>
      </c>
      <c r="K1698" s="1"/>
      <c r="L1698" s="2" t="s">
        <v>4713</v>
      </c>
      <c r="M1698" s="1"/>
      <c r="N1698" s="1"/>
      <c r="O1698" s="1"/>
      <c r="P1698" s="1"/>
      <c r="Q1698" s="1"/>
      <c r="R1698" s="1"/>
      <c r="S1698" s="1"/>
      <c r="T1698" s="1"/>
      <c r="U1698" s="1"/>
      <c r="V1698" s="1"/>
      <c r="W1698" s="1"/>
      <c r="X1698" s="1"/>
      <c r="Y1698" s="1"/>
      <c r="Z1698" s="1"/>
    </row>
    <row r="1699" spans="1:26" ht="33.75" customHeight="1">
      <c r="A1699" s="1">
        <v>2080</v>
      </c>
      <c r="B1699" s="1" t="s">
        <v>4714</v>
      </c>
      <c r="C1699" s="1" t="s">
        <v>4460</v>
      </c>
      <c r="D1699" s="4">
        <v>39917.461805555555</v>
      </c>
      <c r="E1699" s="1" t="s">
        <v>772</v>
      </c>
      <c r="F1699" s="1">
        <v>1170</v>
      </c>
      <c r="G1699" s="5" t="s">
        <v>64</v>
      </c>
      <c r="H1699" s="1"/>
      <c r="I1699" s="1" t="s">
        <v>64</v>
      </c>
      <c r="J1699" s="1"/>
      <c r="K1699" s="1"/>
      <c r="L1699" s="2" t="s">
        <v>4715</v>
      </c>
      <c r="M1699" s="1"/>
      <c r="N1699" s="1"/>
      <c r="O1699" s="1"/>
      <c r="P1699" s="1"/>
      <c r="Q1699" s="1"/>
      <c r="R1699" s="1"/>
      <c r="S1699" s="1"/>
      <c r="T1699" s="1"/>
      <c r="U1699" s="1"/>
      <c r="V1699" s="1"/>
      <c r="W1699" s="1"/>
      <c r="X1699" s="1"/>
      <c r="Y1699" s="1"/>
      <c r="Z1699" s="1"/>
    </row>
    <row r="1700" spans="1:26" ht="33.75" customHeight="1">
      <c r="A1700" s="1">
        <v>2081</v>
      </c>
      <c r="B1700" s="1" t="s">
        <v>4716</v>
      </c>
      <c r="C1700" s="1" t="s">
        <v>4460</v>
      </c>
      <c r="D1700" s="4">
        <v>39917.502083333333</v>
      </c>
      <c r="E1700" s="1" t="s">
        <v>772</v>
      </c>
      <c r="F1700" s="1"/>
      <c r="G1700" s="5" t="s">
        <v>64</v>
      </c>
      <c r="H1700" s="1"/>
      <c r="I1700" s="1" t="s">
        <v>64</v>
      </c>
      <c r="J1700" s="1"/>
      <c r="K1700" s="1" t="s">
        <v>4717</v>
      </c>
      <c r="L1700" s="2" t="s">
        <v>4718</v>
      </c>
      <c r="M1700" s="1"/>
      <c r="N1700" s="1"/>
      <c r="O1700" s="1"/>
      <c r="P1700" s="1"/>
      <c r="Q1700" s="1"/>
      <c r="R1700" s="1"/>
      <c r="S1700" s="1"/>
      <c r="T1700" s="1"/>
      <c r="U1700" s="1"/>
      <c r="V1700" s="1"/>
      <c r="W1700" s="1"/>
      <c r="X1700" s="1"/>
      <c r="Y1700" s="1"/>
      <c r="Z1700" s="1"/>
    </row>
    <row r="1701" spans="1:26" ht="33.75" customHeight="1">
      <c r="A1701" s="1">
        <v>1421</v>
      </c>
      <c r="B1701" s="1" t="s">
        <v>4719</v>
      </c>
      <c r="C1701" s="1" t="s">
        <v>3929</v>
      </c>
      <c r="D1701" s="4">
        <v>39917.601388888892</v>
      </c>
      <c r="E1701" s="1" t="s">
        <v>320</v>
      </c>
      <c r="F1701" s="1"/>
      <c r="G1701" s="5" t="s">
        <v>64</v>
      </c>
      <c r="H1701" s="5" t="s">
        <v>3663</v>
      </c>
      <c r="I1701" s="1" t="s">
        <v>35</v>
      </c>
      <c r="J1701" s="1" t="s">
        <v>3664</v>
      </c>
      <c r="K1701" s="1" t="s">
        <v>4720</v>
      </c>
      <c r="L1701" s="2" t="s">
        <v>4721</v>
      </c>
      <c r="M1701" s="1"/>
      <c r="N1701" s="1"/>
      <c r="O1701" s="1"/>
      <c r="P1701" s="1"/>
      <c r="Q1701" s="1"/>
      <c r="R1701" s="1"/>
      <c r="S1701" s="1"/>
      <c r="T1701" s="1"/>
      <c r="U1701" s="1"/>
      <c r="V1701" s="1"/>
      <c r="W1701" s="1"/>
      <c r="X1701" s="1"/>
      <c r="Y1701" s="1"/>
      <c r="Z1701" s="1"/>
    </row>
    <row r="1702" spans="1:26" ht="33.75" customHeight="1">
      <c r="A1702" s="1">
        <v>1422</v>
      </c>
      <c r="B1702" s="1" t="s">
        <v>4722</v>
      </c>
      <c r="C1702" s="1" t="s">
        <v>3929</v>
      </c>
      <c r="D1702" s="4">
        <v>39917.615277777775</v>
      </c>
      <c r="E1702" s="1" t="s">
        <v>14</v>
      </c>
      <c r="F1702" s="1"/>
      <c r="G1702" s="5" t="s">
        <v>15</v>
      </c>
      <c r="H1702" s="5" t="s">
        <v>150</v>
      </c>
      <c r="I1702" s="1" t="s">
        <v>4723</v>
      </c>
      <c r="J1702" s="1"/>
      <c r="K1702" s="1" t="s">
        <v>4724</v>
      </c>
      <c r="L1702" s="2" t="s">
        <v>4725</v>
      </c>
      <c r="M1702" s="1"/>
      <c r="N1702" s="1"/>
      <c r="O1702" s="1"/>
      <c r="P1702" s="1"/>
      <c r="Q1702" s="1"/>
      <c r="R1702" s="1"/>
      <c r="S1702" s="1"/>
      <c r="T1702" s="1"/>
      <c r="U1702" s="1"/>
      <c r="V1702" s="1"/>
      <c r="W1702" s="1"/>
      <c r="X1702" s="1"/>
      <c r="Y1702" s="1"/>
      <c r="Z1702" s="1"/>
    </row>
    <row r="1703" spans="1:26" ht="33.75" customHeight="1">
      <c r="A1703" s="1">
        <v>1423</v>
      </c>
      <c r="B1703" s="1" t="s">
        <v>4726</v>
      </c>
      <c r="C1703" s="1" t="s">
        <v>3929</v>
      </c>
      <c r="D1703" s="4">
        <v>39917.781944444447</v>
      </c>
      <c r="E1703" s="1" t="s">
        <v>54</v>
      </c>
      <c r="F1703" s="1"/>
      <c r="G1703" s="5" t="s">
        <v>64</v>
      </c>
      <c r="H1703" s="5" t="s">
        <v>3663</v>
      </c>
      <c r="I1703" s="1" t="s">
        <v>4727</v>
      </c>
      <c r="J1703" s="1"/>
      <c r="K1703" s="1"/>
      <c r="L1703" s="2" t="s">
        <v>4728</v>
      </c>
      <c r="M1703" s="1"/>
      <c r="N1703" s="1"/>
      <c r="O1703" s="1"/>
      <c r="P1703" s="1"/>
      <c r="Q1703" s="1"/>
      <c r="R1703" s="1"/>
      <c r="S1703" s="1"/>
      <c r="T1703" s="1"/>
      <c r="U1703" s="1"/>
      <c r="V1703" s="1"/>
      <c r="W1703" s="1"/>
      <c r="X1703" s="1"/>
      <c r="Y1703" s="1"/>
      <c r="Z1703" s="1"/>
    </row>
    <row r="1704" spans="1:26" ht="33.75" customHeight="1">
      <c r="A1704" s="1">
        <v>1424</v>
      </c>
      <c r="B1704" s="1" t="s">
        <v>4729</v>
      </c>
      <c r="C1704" s="1" t="s">
        <v>3929</v>
      </c>
      <c r="D1704" s="4">
        <v>39917.90902777778</v>
      </c>
      <c r="E1704" s="1" t="s">
        <v>320</v>
      </c>
      <c r="F1704" s="1"/>
      <c r="G1704" s="5" t="s">
        <v>26</v>
      </c>
      <c r="H1704" s="5" t="s">
        <v>27</v>
      </c>
      <c r="I1704" s="1" t="s">
        <v>28</v>
      </c>
      <c r="J1704" s="1" t="s">
        <v>259</v>
      </c>
      <c r="K1704" s="1"/>
      <c r="L1704" s="2" t="s">
        <v>4730</v>
      </c>
      <c r="M1704" s="1"/>
      <c r="N1704" s="1"/>
      <c r="O1704" s="1"/>
      <c r="P1704" s="1"/>
      <c r="Q1704" s="1"/>
      <c r="R1704" s="1"/>
      <c r="S1704" s="1"/>
      <c r="T1704" s="1"/>
      <c r="U1704" s="1"/>
      <c r="V1704" s="1"/>
      <c r="W1704" s="1"/>
      <c r="X1704" s="1"/>
      <c r="Y1704" s="1"/>
      <c r="Z1704" s="1"/>
    </row>
    <row r="1705" spans="1:26" ht="33.75" customHeight="1">
      <c r="A1705" s="1">
        <v>1425</v>
      </c>
      <c r="B1705" s="1" t="s">
        <v>4731</v>
      </c>
      <c r="C1705" s="1" t="s">
        <v>3929</v>
      </c>
      <c r="D1705" s="4">
        <v>39917.915277777778</v>
      </c>
      <c r="E1705" s="1" t="s">
        <v>320</v>
      </c>
      <c r="F1705" s="1"/>
      <c r="G1705" s="5" t="s">
        <v>64</v>
      </c>
      <c r="H1705" s="5" t="s">
        <v>3663</v>
      </c>
      <c r="I1705" s="1" t="s">
        <v>4727</v>
      </c>
      <c r="J1705" s="1"/>
      <c r="K1705" s="1"/>
      <c r="L1705" s="2" t="s">
        <v>4732</v>
      </c>
      <c r="M1705" s="1"/>
      <c r="N1705" s="1"/>
      <c r="O1705" s="1"/>
      <c r="P1705" s="1"/>
      <c r="Q1705" s="1"/>
      <c r="R1705" s="1"/>
      <c r="S1705" s="1"/>
      <c r="T1705" s="1"/>
      <c r="U1705" s="1"/>
      <c r="V1705" s="1"/>
      <c r="W1705" s="1"/>
      <c r="X1705" s="1"/>
      <c r="Y1705" s="1"/>
      <c r="Z1705" s="1"/>
    </row>
    <row r="1706" spans="1:26" ht="33.75" customHeight="1">
      <c r="A1706" s="1">
        <v>1426</v>
      </c>
      <c r="B1706" s="1" t="s">
        <v>4733</v>
      </c>
      <c r="C1706" s="1" t="s">
        <v>3929</v>
      </c>
      <c r="D1706" s="4">
        <v>39918.068749999999</v>
      </c>
      <c r="E1706" s="1" t="s">
        <v>320</v>
      </c>
      <c r="F1706" s="1"/>
      <c r="G1706" s="5" t="s">
        <v>15</v>
      </c>
      <c r="H1706" s="5" t="s">
        <v>22</v>
      </c>
      <c r="I1706" s="1" t="s">
        <v>35</v>
      </c>
      <c r="J1706" s="1"/>
      <c r="K1706" s="1" t="s">
        <v>4734</v>
      </c>
      <c r="L1706" s="2" t="s">
        <v>4735</v>
      </c>
      <c r="M1706" s="1"/>
      <c r="N1706" s="1"/>
      <c r="O1706" s="1"/>
      <c r="P1706" s="1"/>
      <c r="Q1706" s="1"/>
      <c r="R1706" s="1"/>
      <c r="S1706" s="1"/>
      <c r="T1706" s="1"/>
      <c r="U1706" s="1"/>
      <c r="V1706" s="1"/>
      <c r="W1706" s="1"/>
      <c r="X1706" s="1"/>
      <c r="Y1706" s="1"/>
      <c r="Z1706" s="1"/>
    </row>
    <row r="1707" spans="1:26" ht="33.75" customHeight="1">
      <c r="A1707" s="1">
        <v>1427</v>
      </c>
      <c r="B1707" s="1" t="s">
        <v>4736</v>
      </c>
      <c r="C1707" s="1" t="s">
        <v>3929</v>
      </c>
      <c r="D1707" s="4">
        <v>39918.069444444445</v>
      </c>
      <c r="E1707" s="1" t="s">
        <v>320</v>
      </c>
      <c r="F1707" s="1" t="s">
        <v>4726</v>
      </c>
      <c r="G1707" s="5" t="s">
        <v>26</v>
      </c>
      <c r="H1707" s="5" t="s">
        <v>27</v>
      </c>
      <c r="I1707" s="1" t="s">
        <v>28</v>
      </c>
      <c r="J1707" s="1" t="s">
        <v>259</v>
      </c>
      <c r="K1707" s="1"/>
      <c r="L1707" s="2" t="s">
        <v>4737</v>
      </c>
      <c r="M1707" s="1"/>
      <c r="N1707" s="1"/>
      <c r="O1707" s="1"/>
      <c r="P1707" s="1"/>
      <c r="Q1707" s="1"/>
      <c r="R1707" s="1"/>
      <c r="S1707" s="1"/>
      <c r="T1707" s="1"/>
      <c r="U1707" s="1"/>
      <c r="V1707" s="1"/>
      <c r="W1707" s="1"/>
      <c r="X1707" s="1"/>
      <c r="Y1707" s="1"/>
      <c r="Z1707" s="1"/>
    </row>
    <row r="1708" spans="1:26" ht="33.75" customHeight="1">
      <c r="A1708" s="1">
        <v>1428</v>
      </c>
      <c r="B1708" s="1" t="s">
        <v>4738</v>
      </c>
      <c r="C1708" s="1" t="s">
        <v>3929</v>
      </c>
      <c r="D1708" s="4">
        <v>39918.071527777778</v>
      </c>
      <c r="E1708" s="1" t="s">
        <v>14</v>
      </c>
      <c r="F1708" s="1" t="s">
        <v>4731</v>
      </c>
      <c r="G1708" s="5" t="s">
        <v>26</v>
      </c>
      <c r="H1708" s="5" t="s">
        <v>27</v>
      </c>
      <c r="I1708" s="1" t="s">
        <v>28</v>
      </c>
      <c r="J1708" s="1" t="s">
        <v>259</v>
      </c>
      <c r="K1708" s="1"/>
      <c r="L1708" s="2" t="s">
        <v>4739</v>
      </c>
      <c r="M1708" s="1"/>
      <c r="N1708" s="1"/>
      <c r="O1708" s="1"/>
      <c r="P1708" s="1"/>
      <c r="Q1708" s="1"/>
      <c r="R1708" s="1"/>
      <c r="S1708" s="1"/>
      <c r="T1708" s="1"/>
      <c r="U1708" s="1"/>
      <c r="V1708" s="1"/>
      <c r="W1708" s="1"/>
      <c r="X1708" s="1"/>
      <c r="Y1708" s="1"/>
      <c r="Z1708" s="1"/>
    </row>
    <row r="1709" spans="1:26" ht="33.75" customHeight="1">
      <c r="A1709" s="1">
        <v>2082</v>
      </c>
      <c r="B1709" s="1" t="s">
        <v>4740</v>
      </c>
      <c r="C1709" s="1" t="s">
        <v>4460</v>
      </c>
      <c r="D1709" s="4">
        <v>39918.488194444442</v>
      </c>
      <c r="E1709" s="1" t="s">
        <v>772</v>
      </c>
      <c r="F1709" s="1"/>
      <c r="G1709" s="5" t="s">
        <v>64</v>
      </c>
      <c r="H1709" s="1"/>
      <c r="I1709" s="1" t="s">
        <v>64</v>
      </c>
      <c r="J1709" s="1"/>
      <c r="K1709" s="1"/>
      <c r="L1709" s="2" t="s">
        <v>4741</v>
      </c>
      <c r="M1709" s="1"/>
      <c r="N1709" s="1"/>
      <c r="O1709" s="1"/>
      <c r="P1709" s="1"/>
      <c r="Q1709" s="1"/>
      <c r="R1709" s="1"/>
      <c r="S1709" s="1"/>
      <c r="T1709" s="1"/>
      <c r="U1709" s="1"/>
      <c r="V1709" s="1"/>
      <c r="W1709" s="1"/>
      <c r="X1709" s="1"/>
      <c r="Y1709" s="1"/>
      <c r="Z1709" s="1"/>
    </row>
    <row r="1710" spans="1:26" ht="33.75" customHeight="1">
      <c r="A1710" s="1">
        <v>1429</v>
      </c>
      <c r="B1710" s="1" t="s">
        <v>4742</v>
      </c>
      <c r="C1710" s="1" t="s">
        <v>3929</v>
      </c>
      <c r="D1710" s="4">
        <v>39918.670138888891</v>
      </c>
      <c r="E1710" s="1" t="s">
        <v>320</v>
      </c>
      <c r="F1710" s="1"/>
      <c r="G1710" s="5" t="s">
        <v>33</v>
      </c>
      <c r="H1710" s="5" t="s">
        <v>34</v>
      </c>
      <c r="I1710" s="1" t="s">
        <v>4743</v>
      </c>
      <c r="J1710" s="1"/>
      <c r="K1710" s="1"/>
      <c r="L1710" s="2" t="s">
        <v>4744</v>
      </c>
      <c r="M1710" s="1"/>
      <c r="N1710" s="1"/>
      <c r="O1710" s="1"/>
      <c r="P1710" s="1"/>
      <c r="Q1710" s="1"/>
      <c r="R1710" s="1"/>
      <c r="S1710" s="1"/>
      <c r="T1710" s="1"/>
      <c r="U1710" s="1"/>
      <c r="V1710" s="1"/>
      <c r="W1710" s="1"/>
      <c r="X1710" s="1"/>
      <c r="Y1710" s="1"/>
      <c r="Z1710" s="1"/>
    </row>
    <row r="1711" spans="1:26" ht="33.75" customHeight="1">
      <c r="A1711" s="1">
        <v>1430</v>
      </c>
      <c r="B1711" s="1" t="s">
        <v>4745</v>
      </c>
      <c r="C1711" s="1" t="s">
        <v>3929</v>
      </c>
      <c r="D1711" s="4">
        <v>39918.67083333333</v>
      </c>
      <c r="E1711" s="1" t="s">
        <v>320</v>
      </c>
      <c r="F1711" s="1"/>
      <c r="G1711" s="5" t="s">
        <v>33</v>
      </c>
      <c r="H1711" s="5" t="s">
        <v>34</v>
      </c>
      <c r="I1711" s="1" t="s">
        <v>4743</v>
      </c>
      <c r="J1711" s="1"/>
      <c r="K1711" s="1"/>
      <c r="L1711" s="2" t="s">
        <v>4746</v>
      </c>
      <c r="M1711" s="1"/>
      <c r="N1711" s="1"/>
      <c r="O1711" s="1"/>
      <c r="P1711" s="1"/>
      <c r="Q1711" s="1"/>
      <c r="R1711" s="1"/>
      <c r="S1711" s="1"/>
      <c r="T1711" s="1"/>
      <c r="U1711" s="1"/>
      <c r="V1711" s="1"/>
      <c r="W1711" s="1"/>
      <c r="X1711" s="1"/>
      <c r="Y1711" s="1"/>
      <c r="Z1711" s="1"/>
    </row>
    <row r="1712" spans="1:26" ht="33.75" customHeight="1">
      <c r="A1712" s="1">
        <v>1431</v>
      </c>
      <c r="B1712" s="1" t="s">
        <v>4747</v>
      </c>
      <c r="C1712" s="1" t="s">
        <v>3929</v>
      </c>
      <c r="D1712" s="4">
        <v>39918.849305555559</v>
      </c>
      <c r="E1712" s="1" t="s">
        <v>320</v>
      </c>
      <c r="F1712" s="1"/>
      <c r="G1712" s="5" t="s">
        <v>64</v>
      </c>
      <c r="H1712" s="5" t="s">
        <v>431</v>
      </c>
      <c r="I1712" s="1" t="s">
        <v>4748</v>
      </c>
      <c r="J1712" s="1"/>
      <c r="K1712" s="1"/>
      <c r="L1712" s="2" t="s">
        <v>4749</v>
      </c>
      <c r="M1712" s="1"/>
      <c r="N1712" s="1"/>
      <c r="O1712" s="1"/>
      <c r="P1712" s="1"/>
      <c r="Q1712" s="1"/>
      <c r="R1712" s="1"/>
      <c r="S1712" s="1"/>
      <c r="T1712" s="1"/>
      <c r="U1712" s="1"/>
      <c r="V1712" s="1"/>
      <c r="W1712" s="1"/>
      <c r="X1712" s="1"/>
      <c r="Y1712" s="1"/>
      <c r="Z1712" s="1"/>
    </row>
    <row r="1713" spans="1:26" ht="33.75" customHeight="1">
      <c r="A1713" s="1">
        <v>1432</v>
      </c>
      <c r="B1713" s="1" t="s">
        <v>4750</v>
      </c>
      <c r="C1713" s="1" t="s">
        <v>3929</v>
      </c>
      <c r="D1713" s="4">
        <v>39919.623611111114</v>
      </c>
      <c r="E1713" s="1" t="s">
        <v>320</v>
      </c>
      <c r="F1713" s="1"/>
      <c r="G1713" s="5" t="s">
        <v>26</v>
      </c>
      <c r="H1713" s="5" t="s">
        <v>133</v>
      </c>
      <c r="I1713" s="1" t="s">
        <v>28</v>
      </c>
      <c r="J1713" s="1" t="s">
        <v>134</v>
      </c>
      <c r="K1713" s="1" t="s">
        <v>4751</v>
      </c>
      <c r="L1713" s="2" t="s">
        <v>4752</v>
      </c>
      <c r="M1713" s="1"/>
      <c r="N1713" s="1"/>
      <c r="O1713" s="1"/>
      <c r="P1713" s="1"/>
      <c r="Q1713" s="1"/>
      <c r="R1713" s="1"/>
      <c r="S1713" s="1"/>
      <c r="T1713" s="1"/>
      <c r="U1713" s="1"/>
      <c r="V1713" s="1"/>
      <c r="W1713" s="1"/>
      <c r="X1713" s="1"/>
      <c r="Y1713" s="1"/>
      <c r="Z1713" s="1"/>
    </row>
    <row r="1714" spans="1:26" ht="33.75" customHeight="1">
      <c r="A1714" s="1">
        <v>1433</v>
      </c>
      <c r="B1714" s="1" t="s">
        <v>4753</v>
      </c>
      <c r="C1714" s="1" t="s">
        <v>3929</v>
      </c>
      <c r="D1714" s="4">
        <v>39919.677083333336</v>
      </c>
      <c r="E1714" s="1" t="s">
        <v>196</v>
      </c>
      <c r="F1714" s="1" t="s">
        <v>4750</v>
      </c>
      <c r="G1714" s="5" t="s">
        <v>64</v>
      </c>
      <c r="H1714" s="5" t="s">
        <v>3663</v>
      </c>
      <c r="I1714" s="1" t="s">
        <v>2382</v>
      </c>
      <c r="J1714" s="1"/>
      <c r="K1714" s="1" t="s">
        <v>259</v>
      </c>
      <c r="L1714" s="2" t="s">
        <v>4754</v>
      </c>
      <c r="M1714" s="1"/>
      <c r="N1714" s="1"/>
      <c r="O1714" s="1"/>
      <c r="P1714" s="1"/>
      <c r="Q1714" s="1"/>
      <c r="R1714" s="1"/>
      <c r="S1714" s="1"/>
      <c r="T1714" s="1"/>
      <c r="U1714" s="1"/>
      <c r="V1714" s="1"/>
      <c r="W1714" s="1"/>
      <c r="X1714" s="1"/>
      <c r="Y1714" s="1"/>
      <c r="Z1714" s="1"/>
    </row>
    <row r="1715" spans="1:26" ht="33.75" customHeight="1">
      <c r="A1715" s="1">
        <v>1434</v>
      </c>
      <c r="B1715" s="1" t="s">
        <v>4755</v>
      </c>
      <c r="C1715" s="1" t="s">
        <v>3929</v>
      </c>
      <c r="D1715" s="4">
        <v>39920.941666666666</v>
      </c>
      <c r="E1715" s="1" t="s">
        <v>772</v>
      </c>
      <c r="F1715" s="1"/>
      <c r="G1715" s="6" t="s">
        <v>78</v>
      </c>
      <c r="H1715" s="5" t="s">
        <v>88</v>
      </c>
      <c r="I1715" s="1" t="s">
        <v>4756</v>
      </c>
      <c r="J1715" s="1"/>
      <c r="K1715" s="1" t="s">
        <v>4757</v>
      </c>
      <c r="L1715" s="2" t="s">
        <v>4758</v>
      </c>
      <c r="M1715" s="1"/>
      <c r="N1715" s="1"/>
      <c r="O1715" s="1"/>
      <c r="P1715" s="1"/>
      <c r="Q1715" s="1"/>
      <c r="R1715" s="1"/>
      <c r="S1715" s="1"/>
      <c r="T1715" s="1"/>
      <c r="U1715" s="1"/>
      <c r="V1715" s="1"/>
      <c r="W1715" s="1"/>
      <c r="X1715" s="1"/>
      <c r="Y1715" s="1"/>
      <c r="Z1715" s="1"/>
    </row>
    <row r="1716" spans="1:26" ht="33.75" customHeight="1">
      <c r="A1716" s="1">
        <v>1435</v>
      </c>
      <c r="B1716" s="1" t="s">
        <v>4759</v>
      </c>
      <c r="C1716" s="1" t="s">
        <v>3929</v>
      </c>
      <c r="D1716" s="4">
        <v>39920.943749999999</v>
      </c>
      <c r="E1716" s="1" t="s">
        <v>772</v>
      </c>
      <c r="F1716" s="1" t="s">
        <v>4755</v>
      </c>
      <c r="G1716" s="6" t="s">
        <v>78</v>
      </c>
      <c r="H1716" s="5" t="s">
        <v>88</v>
      </c>
      <c r="I1716" s="1" t="s">
        <v>4756</v>
      </c>
      <c r="J1716" s="1"/>
      <c r="K1716" s="1"/>
      <c r="L1716" s="2" t="s">
        <v>4760</v>
      </c>
      <c r="M1716" s="1"/>
      <c r="N1716" s="1"/>
      <c r="O1716" s="1"/>
      <c r="P1716" s="1"/>
      <c r="Q1716" s="1"/>
      <c r="R1716" s="1"/>
      <c r="S1716" s="1"/>
      <c r="T1716" s="1"/>
      <c r="U1716" s="1"/>
      <c r="V1716" s="1"/>
      <c r="W1716" s="1"/>
      <c r="X1716" s="1"/>
      <c r="Y1716" s="1"/>
      <c r="Z1716" s="1"/>
    </row>
    <row r="1717" spans="1:26" ht="33.75" customHeight="1">
      <c r="A1717" s="1">
        <v>1436</v>
      </c>
      <c r="B1717" s="1" t="s">
        <v>4761</v>
      </c>
      <c r="C1717" s="1" t="s">
        <v>3929</v>
      </c>
      <c r="D1717" s="4">
        <v>39920.979861111111</v>
      </c>
      <c r="E1717" s="1" t="s">
        <v>14</v>
      </c>
      <c r="F1717" s="1" t="s">
        <v>4755</v>
      </c>
      <c r="G1717" s="5" t="s">
        <v>26</v>
      </c>
      <c r="H1717" s="5" t="s">
        <v>133</v>
      </c>
      <c r="I1717" s="1" t="s">
        <v>28</v>
      </c>
      <c r="J1717" s="1" t="s">
        <v>134</v>
      </c>
      <c r="K1717" s="1"/>
      <c r="L1717" s="2" t="s">
        <v>4762</v>
      </c>
      <c r="M1717" s="1"/>
      <c r="N1717" s="1"/>
      <c r="O1717" s="1"/>
      <c r="P1717" s="1"/>
      <c r="Q1717" s="1"/>
      <c r="R1717" s="1"/>
      <c r="S1717" s="1"/>
      <c r="T1717" s="1"/>
      <c r="U1717" s="1"/>
      <c r="V1717" s="1"/>
      <c r="W1717" s="1"/>
      <c r="X1717" s="1"/>
      <c r="Y1717" s="1"/>
      <c r="Z1717" s="1"/>
    </row>
    <row r="1718" spans="1:26" ht="33.75" customHeight="1">
      <c r="A1718" s="1">
        <v>1437</v>
      </c>
      <c r="B1718" s="1" t="s">
        <v>4763</v>
      </c>
      <c r="C1718" s="1" t="s">
        <v>3929</v>
      </c>
      <c r="D1718" s="4">
        <v>39922.089583333334</v>
      </c>
      <c r="E1718" s="1" t="s">
        <v>772</v>
      </c>
      <c r="F1718" s="1"/>
      <c r="G1718" s="1" t="s">
        <v>64</v>
      </c>
      <c r="H1718" s="5" t="s">
        <v>431</v>
      </c>
      <c r="I1718" s="1" t="s">
        <v>4764</v>
      </c>
      <c r="J1718" s="1"/>
      <c r="K1718" s="1"/>
      <c r="L1718" s="2" t="s">
        <v>4765</v>
      </c>
      <c r="M1718" s="1"/>
      <c r="N1718" s="1"/>
      <c r="O1718" s="1"/>
      <c r="P1718" s="1"/>
      <c r="Q1718" s="1"/>
      <c r="R1718" s="1"/>
      <c r="S1718" s="1"/>
      <c r="T1718" s="1"/>
      <c r="U1718" s="1"/>
      <c r="V1718" s="1"/>
      <c r="W1718" s="1"/>
      <c r="X1718" s="1"/>
      <c r="Y1718" s="1"/>
      <c r="Z1718" s="1"/>
    </row>
    <row r="1719" spans="1:26" ht="33.75" customHeight="1">
      <c r="A1719" s="1">
        <v>1438</v>
      </c>
      <c r="B1719" s="1" t="s">
        <v>4766</v>
      </c>
      <c r="C1719" s="1" t="s">
        <v>3929</v>
      </c>
      <c r="D1719" s="4">
        <v>39922.159722222219</v>
      </c>
      <c r="E1719" s="1" t="s">
        <v>320</v>
      </c>
      <c r="F1719" s="1"/>
      <c r="G1719" s="5" t="s">
        <v>64</v>
      </c>
      <c r="H1719" s="1"/>
      <c r="I1719" s="1" t="s">
        <v>64</v>
      </c>
      <c r="J1719" s="1"/>
      <c r="K1719" s="1"/>
      <c r="L1719" s="2" t="s">
        <v>4767</v>
      </c>
      <c r="M1719" s="1"/>
      <c r="N1719" s="1"/>
      <c r="O1719" s="1"/>
      <c r="P1719" s="1"/>
      <c r="Q1719" s="1"/>
      <c r="R1719" s="1"/>
      <c r="S1719" s="1"/>
      <c r="T1719" s="1"/>
      <c r="U1719" s="1"/>
      <c r="V1719" s="1"/>
      <c r="W1719" s="1"/>
      <c r="X1719" s="1"/>
      <c r="Y1719" s="1"/>
      <c r="Z1719" s="1"/>
    </row>
    <row r="1720" spans="1:26" ht="33.75" customHeight="1">
      <c r="A1720" s="1">
        <v>2083</v>
      </c>
      <c r="B1720" s="1" t="s">
        <v>4768</v>
      </c>
      <c r="C1720" s="1" t="s">
        <v>4460</v>
      </c>
      <c r="D1720" s="4">
        <v>39923.493055555555</v>
      </c>
      <c r="E1720" s="1" t="s">
        <v>772</v>
      </c>
      <c r="F1720" s="1"/>
      <c r="G1720" s="5" t="s">
        <v>64</v>
      </c>
      <c r="H1720" s="1"/>
      <c r="I1720" s="1" t="s">
        <v>64</v>
      </c>
      <c r="J1720" s="1"/>
      <c r="K1720" s="1"/>
      <c r="L1720" s="2" t="s">
        <v>4769</v>
      </c>
      <c r="M1720" s="1"/>
      <c r="N1720" s="1"/>
      <c r="O1720" s="1"/>
      <c r="P1720" s="1"/>
      <c r="Q1720" s="1"/>
      <c r="R1720" s="1"/>
      <c r="S1720" s="1"/>
      <c r="T1720" s="1"/>
      <c r="U1720" s="1"/>
      <c r="V1720" s="1"/>
      <c r="W1720" s="1"/>
      <c r="X1720" s="1"/>
      <c r="Y1720" s="1"/>
      <c r="Z1720" s="1"/>
    </row>
    <row r="1721" spans="1:26" ht="33.75" customHeight="1">
      <c r="A1721" s="1">
        <v>2084</v>
      </c>
      <c r="B1721" s="1" t="s">
        <v>4770</v>
      </c>
      <c r="C1721" s="1" t="s">
        <v>4460</v>
      </c>
      <c r="D1721" s="4">
        <v>39923.505555555559</v>
      </c>
      <c r="E1721" s="1" t="s">
        <v>772</v>
      </c>
      <c r="F1721" s="1" t="s">
        <v>4768</v>
      </c>
      <c r="G1721" s="5" t="s">
        <v>64</v>
      </c>
      <c r="H1721" s="5" t="s">
        <v>282</v>
      </c>
      <c r="I1721" s="1" t="s">
        <v>283</v>
      </c>
      <c r="J1721" s="1"/>
      <c r="K1721" s="1"/>
      <c r="L1721" s="2" t="s">
        <v>4771</v>
      </c>
      <c r="M1721" s="1"/>
      <c r="N1721" s="1"/>
      <c r="O1721" s="1"/>
      <c r="P1721" s="1"/>
      <c r="Q1721" s="1"/>
      <c r="R1721" s="1"/>
      <c r="S1721" s="1"/>
      <c r="T1721" s="1"/>
      <c r="U1721" s="1"/>
      <c r="V1721" s="1"/>
      <c r="W1721" s="1"/>
      <c r="X1721" s="1"/>
      <c r="Y1721" s="1"/>
      <c r="Z1721" s="1"/>
    </row>
    <row r="1722" spans="1:26" ht="33.75" customHeight="1">
      <c r="A1722" s="1">
        <v>2085</v>
      </c>
      <c r="B1722" s="1" t="s">
        <v>4772</v>
      </c>
      <c r="C1722" s="1" t="s">
        <v>4460</v>
      </c>
      <c r="D1722" s="4">
        <v>39923.508333333331</v>
      </c>
      <c r="E1722" s="1" t="s">
        <v>772</v>
      </c>
      <c r="F1722" s="1" t="s">
        <v>4770</v>
      </c>
      <c r="G1722" s="5" t="s">
        <v>64</v>
      </c>
      <c r="H1722" s="5" t="s">
        <v>179</v>
      </c>
      <c r="I1722" s="1" t="s">
        <v>179</v>
      </c>
      <c r="J1722" s="1"/>
      <c r="K1722" s="1"/>
      <c r="L1722" s="2" t="s">
        <v>4773</v>
      </c>
      <c r="M1722" s="1"/>
      <c r="N1722" s="1"/>
      <c r="O1722" s="1"/>
      <c r="P1722" s="1"/>
      <c r="Q1722" s="1"/>
      <c r="R1722" s="1"/>
      <c r="S1722" s="1"/>
      <c r="T1722" s="1"/>
      <c r="U1722" s="1"/>
      <c r="V1722" s="1"/>
      <c r="W1722" s="1"/>
      <c r="X1722" s="1"/>
      <c r="Y1722" s="1"/>
      <c r="Z1722" s="1"/>
    </row>
    <row r="1723" spans="1:26" ht="33.75" customHeight="1">
      <c r="A1723" s="1">
        <v>2086</v>
      </c>
      <c r="B1723" s="1" t="s">
        <v>4774</v>
      </c>
      <c r="C1723" s="1" t="s">
        <v>4460</v>
      </c>
      <c r="D1723" s="4">
        <v>39923.598611111112</v>
      </c>
      <c r="E1723" s="1" t="s">
        <v>54</v>
      </c>
      <c r="F1723" s="1"/>
      <c r="G1723" s="7" t="s">
        <v>15</v>
      </c>
      <c r="H1723" s="5" t="s">
        <v>55</v>
      </c>
      <c r="I1723" s="1" t="s">
        <v>3234</v>
      </c>
      <c r="J1723" s="1"/>
      <c r="K1723" s="1" t="s">
        <v>4775</v>
      </c>
      <c r="L1723" s="2" t="s">
        <v>4776</v>
      </c>
      <c r="M1723" s="1"/>
      <c r="N1723" s="1"/>
      <c r="O1723" s="1"/>
      <c r="P1723" s="1"/>
      <c r="Q1723" s="1"/>
      <c r="R1723" s="1"/>
      <c r="S1723" s="1"/>
      <c r="T1723" s="1"/>
      <c r="U1723" s="1"/>
      <c r="V1723" s="1"/>
      <c r="W1723" s="1"/>
      <c r="X1723" s="1"/>
      <c r="Y1723" s="1"/>
      <c r="Z1723" s="1"/>
    </row>
    <row r="1724" spans="1:26" ht="33.75" customHeight="1">
      <c r="A1724" s="1">
        <v>2087</v>
      </c>
      <c r="B1724" s="1" t="s">
        <v>4777</v>
      </c>
      <c r="C1724" s="1" t="s">
        <v>4460</v>
      </c>
      <c r="D1724" s="4">
        <v>39923.708333333336</v>
      </c>
      <c r="E1724" s="1" t="s">
        <v>54</v>
      </c>
      <c r="F1724" s="1" t="s">
        <v>4770</v>
      </c>
      <c r="G1724" s="5" t="s">
        <v>33</v>
      </c>
      <c r="H1724" s="5" t="s">
        <v>34</v>
      </c>
      <c r="I1724" s="1" t="s">
        <v>1605</v>
      </c>
      <c r="J1724" s="1"/>
      <c r="K1724" s="1"/>
      <c r="L1724" s="2" t="s">
        <v>4778</v>
      </c>
      <c r="M1724" s="1"/>
      <c r="N1724" s="1"/>
      <c r="O1724" s="1"/>
      <c r="P1724" s="1"/>
      <c r="Q1724" s="1"/>
      <c r="R1724" s="1"/>
      <c r="S1724" s="1"/>
      <c r="T1724" s="1"/>
      <c r="U1724" s="1"/>
      <c r="V1724" s="1"/>
      <c r="W1724" s="1"/>
      <c r="X1724" s="1"/>
      <c r="Y1724" s="1"/>
      <c r="Z1724" s="1"/>
    </row>
    <row r="1725" spans="1:26" ht="33.75" customHeight="1">
      <c r="A1725" s="1">
        <v>1439</v>
      </c>
      <c r="B1725" s="1" t="s">
        <v>4779</v>
      </c>
      <c r="C1725" s="1" t="s">
        <v>3929</v>
      </c>
      <c r="D1725" s="4">
        <v>39925.172222222223</v>
      </c>
      <c r="E1725" s="1" t="s">
        <v>320</v>
      </c>
      <c r="F1725" s="1"/>
      <c r="G1725" s="5" t="s">
        <v>64</v>
      </c>
      <c r="H1725" s="5" t="s">
        <v>263</v>
      </c>
      <c r="I1725" s="1" t="s">
        <v>4780</v>
      </c>
      <c r="J1725" s="1"/>
      <c r="K1725" s="1"/>
      <c r="L1725" s="2" t="s">
        <v>4781</v>
      </c>
      <c r="M1725" s="1"/>
      <c r="N1725" s="1"/>
      <c r="O1725" s="1"/>
      <c r="P1725" s="1"/>
      <c r="Q1725" s="1"/>
      <c r="R1725" s="1"/>
      <c r="S1725" s="1"/>
      <c r="T1725" s="1"/>
      <c r="U1725" s="1"/>
      <c r="V1725" s="1"/>
      <c r="W1725" s="1"/>
      <c r="X1725" s="1"/>
      <c r="Y1725" s="1"/>
      <c r="Z1725" s="1"/>
    </row>
    <row r="1726" spans="1:26" ht="33.75" customHeight="1">
      <c r="A1726" s="1">
        <v>1440</v>
      </c>
      <c r="B1726" s="1" t="s">
        <v>4782</v>
      </c>
      <c r="C1726" s="1" t="s">
        <v>3929</v>
      </c>
      <c r="D1726" s="4">
        <v>39925.871527777781</v>
      </c>
      <c r="E1726" s="1" t="s">
        <v>320</v>
      </c>
      <c r="F1726" s="1"/>
      <c r="G1726" s="6" t="s">
        <v>78</v>
      </c>
      <c r="H1726" s="5" t="s">
        <v>197</v>
      </c>
      <c r="I1726" s="1" t="s">
        <v>56</v>
      </c>
      <c r="J1726" s="1"/>
      <c r="K1726" s="1"/>
      <c r="L1726" s="2" t="s">
        <v>4783</v>
      </c>
      <c r="M1726" s="1"/>
      <c r="N1726" s="1"/>
      <c r="O1726" s="1"/>
      <c r="P1726" s="1"/>
      <c r="Q1726" s="1"/>
      <c r="R1726" s="1"/>
      <c r="S1726" s="1"/>
      <c r="T1726" s="1"/>
      <c r="U1726" s="1"/>
      <c r="V1726" s="1"/>
      <c r="W1726" s="1"/>
      <c r="X1726" s="1"/>
      <c r="Y1726" s="1"/>
      <c r="Z1726" s="1"/>
    </row>
    <row r="1727" spans="1:26" ht="33.75" customHeight="1">
      <c r="A1727" s="1">
        <v>2088</v>
      </c>
      <c r="B1727" s="1" t="s">
        <v>4784</v>
      </c>
      <c r="C1727" s="1" t="s">
        <v>4460</v>
      </c>
      <c r="D1727" s="4">
        <v>39926.462500000001</v>
      </c>
      <c r="E1727" s="1" t="s">
        <v>772</v>
      </c>
      <c r="F1727" s="1" t="s">
        <v>4777</v>
      </c>
      <c r="G1727" s="5" t="s">
        <v>33</v>
      </c>
      <c r="H1727" s="5" t="s">
        <v>34</v>
      </c>
      <c r="I1727" s="1" t="s">
        <v>1605</v>
      </c>
      <c r="J1727" s="1"/>
      <c r="K1727" s="1"/>
      <c r="L1727" s="2" t="s">
        <v>4785</v>
      </c>
      <c r="M1727" s="1"/>
      <c r="N1727" s="1"/>
      <c r="O1727" s="1"/>
      <c r="P1727" s="1"/>
      <c r="Q1727" s="1"/>
      <c r="R1727" s="1"/>
      <c r="S1727" s="1"/>
      <c r="T1727" s="1"/>
      <c r="U1727" s="1"/>
      <c r="V1727" s="1"/>
      <c r="W1727" s="1"/>
      <c r="X1727" s="1"/>
      <c r="Y1727" s="1"/>
      <c r="Z1727" s="1"/>
    </row>
    <row r="1728" spans="1:26" ht="33.75" customHeight="1">
      <c r="A1728" s="1">
        <v>1441</v>
      </c>
      <c r="B1728" s="1" t="s">
        <v>4786</v>
      </c>
      <c r="C1728" s="1" t="s">
        <v>3929</v>
      </c>
      <c r="D1728" s="4">
        <v>39927.677777777775</v>
      </c>
      <c r="E1728" s="1" t="s">
        <v>320</v>
      </c>
      <c r="F1728" s="1"/>
      <c r="G1728" s="6" t="s">
        <v>78</v>
      </c>
      <c r="H1728" s="5" t="s">
        <v>197</v>
      </c>
      <c r="I1728" s="1" t="s">
        <v>56</v>
      </c>
      <c r="J1728" s="1"/>
      <c r="K1728" s="1"/>
      <c r="L1728" s="2" t="s">
        <v>4787</v>
      </c>
      <c r="M1728" s="1"/>
      <c r="N1728" s="1"/>
      <c r="O1728" s="1"/>
      <c r="P1728" s="1"/>
      <c r="Q1728" s="1"/>
      <c r="R1728" s="1"/>
      <c r="S1728" s="1"/>
      <c r="T1728" s="1"/>
      <c r="U1728" s="1"/>
      <c r="V1728" s="1"/>
      <c r="W1728" s="1"/>
      <c r="X1728" s="1"/>
      <c r="Y1728" s="1"/>
      <c r="Z1728" s="1"/>
    </row>
    <row r="1729" spans="1:26" ht="33.75" customHeight="1">
      <c r="A1729" s="1">
        <v>1442</v>
      </c>
      <c r="B1729" s="1" t="s">
        <v>4788</v>
      </c>
      <c r="C1729" s="1" t="s">
        <v>3929</v>
      </c>
      <c r="D1729" s="4">
        <v>39927.679166666669</v>
      </c>
      <c r="E1729" s="1" t="s">
        <v>320</v>
      </c>
      <c r="F1729" s="1"/>
      <c r="G1729" s="5" t="s">
        <v>64</v>
      </c>
      <c r="H1729" s="5" t="s">
        <v>179</v>
      </c>
      <c r="I1729" s="1" t="s">
        <v>2382</v>
      </c>
      <c r="J1729" s="1"/>
      <c r="K1729" s="1" t="s">
        <v>179</v>
      </c>
      <c r="L1729" s="2" t="s">
        <v>4789</v>
      </c>
      <c r="M1729" s="1"/>
      <c r="N1729" s="1"/>
      <c r="O1729" s="1"/>
      <c r="P1729" s="1"/>
      <c r="Q1729" s="1"/>
      <c r="R1729" s="1"/>
      <c r="S1729" s="1"/>
      <c r="T1729" s="1"/>
      <c r="U1729" s="1"/>
      <c r="V1729" s="1"/>
      <c r="W1729" s="1"/>
      <c r="X1729" s="1"/>
      <c r="Y1729" s="1"/>
      <c r="Z1729" s="1"/>
    </row>
    <row r="1730" spans="1:26" ht="33.75" customHeight="1">
      <c r="A1730" s="1">
        <v>1443</v>
      </c>
      <c r="B1730" s="1" t="s">
        <v>4790</v>
      </c>
      <c r="C1730" s="1" t="s">
        <v>3929</v>
      </c>
      <c r="D1730" s="4">
        <v>39927.679861111108</v>
      </c>
      <c r="E1730" s="1" t="s">
        <v>320</v>
      </c>
      <c r="F1730" s="1"/>
      <c r="G1730" s="5" t="s">
        <v>64</v>
      </c>
      <c r="H1730" s="5" t="s">
        <v>179</v>
      </c>
      <c r="I1730" s="1" t="s">
        <v>2382</v>
      </c>
      <c r="J1730" s="1"/>
      <c r="K1730" s="1" t="s">
        <v>179</v>
      </c>
      <c r="L1730" s="2" t="s">
        <v>4791</v>
      </c>
      <c r="M1730" s="1"/>
      <c r="N1730" s="1"/>
      <c r="O1730" s="1"/>
      <c r="P1730" s="1"/>
      <c r="Q1730" s="1"/>
      <c r="R1730" s="1"/>
      <c r="S1730" s="1"/>
      <c r="T1730" s="1"/>
      <c r="U1730" s="1"/>
      <c r="V1730" s="1"/>
      <c r="W1730" s="1"/>
      <c r="X1730" s="1"/>
      <c r="Y1730" s="1"/>
      <c r="Z1730" s="1"/>
    </row>
    <row r="1731" spans="1:26" ht="33.75" customHeight="1">
      <c r="A1731" s="1">
        <v>1444</v>
      </c>
      <c r="B1731" s="1" t="s">
        <v>4792</v>
      </c>
      <c r="C1731" s="1" t="s">
        <v>3929</v>
      </c>
      <c r="D1731" s="4">
        <v>39927.838888888888</v>
      </c>
      <c r="E1731" s="1" t="s">
        <v>320</v>
      </c>
      <c r="F1731" s="1"/>
      <c r="G1731" s="5" t="s">
        <v>33</v>
      </c>
      <c r="H1731" s="5" t="s">
        <v>34</v>
      </c>
      <c r="I1731" s="1" t="s">
        <v>1605</v>
      </c>
      <c r="J1731" s="1"/>
      <c r="K1731" s="1" t="s">
        <v>4793</v>
      </c>
      <c r="L1731" s="2" t="s">
        <v>4794</v>
      </c>
      <c r="M1731" s="1"/>
      <c r="N1731" s="1"/>
      <c r="O1731" s="1"/>
      <c r="P1731" s="1"/>
      <c r="Q1731" s="1"/>
      <c r="R1731" s="1"/>
      <c r="S1731" s="1"/>
      <c r="T1731" s="1"/>
      <c r="U1731" s="1"/>
      <c r="V1731" s="1"/>
      <c r="W1731" s="1"/>
      <c r="X1731" s="1"/>
      <c r="Y1731" s="1"/>
      <c r="Z1731" s="1"/>
    </row>
    <row r="1732" spans="1:26" ht="33.75" customHeight="1">
      <c r="A1732" s="1">
        <v>2089</v>
      </c>
      <c r="B1732" s="1" t="s">
        <v>4795</v>
      </c>
      <c r="C1732" s="1" t="s">
        <v>4460</v>
      </c>
      <c r="D1732" s="4">
        <v>39927.868055555555</v>
      </c>
      <c r="E1732" s="1" t="s">
        <v>84</v>
      </c>
      <c r="F1732" s="1"/>
      <c r="G1732" s="5" t="s">
        <v>64</v>
      </c>
      <c r="H1732" s="1"/>
      <c r="I1732" s="1" t="s">
        <v>64</v>
      </c>
      <c r="J1732" s="1"/>
      <c r="K1732" s="1"/>
      <c r="L1732" s="2" t="s">
        <v>4796</v>
      </c>
      <c r="M1732" s="1"/>
      <c r="N1732" s="1"/>
      <c r="O1732" s="1"/>
      <c r="P1732" s="1"/>
      <c r="Q1732" s="1"/>
      <c r="R1732" s="1"/>
      <c r="S1732" s="1"/>
      <c r="T1732" s="1"/>
      <c r="U1732" s="1"/>
      <c r="V1732" s="1"/>
      <c r="W1732" s="1"/>
      <c r="X1732" s="1"/>
      <c r="Y1732" s="1"/>
      <c r="Z1732" s="1"/>
    </row>
    <row r="1733" spans="1:26" ht="33.75" customHeight="1">
      <c r="A1733" s="1">
        <v>1445</v>
      </c>
      <c r="B1733" s="1" t="s">
        <v>4797</v>
      </c>
      <c r="C1733" s="1" t="s">
        <v>3929</v>
      </c>
      <c r="D1733" s="4">
        <v>39928.34375</v>
      </c>
      <c r="E1733" s="1" t="s">
        <v>1887</v>
      </c>
      <c r="F1733" s="1"/>
      <c r="G1733" s="5" t="s">
        <v>64</v>
      </c>
      <c r="H1733" s="5" t="s">
        <v>179</v>
      </c>
      <c r="I1733" s="1" t="s">
        <v>2382</v>
      </c>
      <c r="J1733" s="1"/>
      <c r="K1733" s="1"/>
      <c r="L1733" s="2" t="s">
        <v>4798</v>
      </c>
      <c r="M1733" s="1"/>
      <c r="N1733" s="1"/>
      <c r="O1733" s="1"/>
      <c r="P1733" s="1"/>
      <c r="Q1733" s="1"/>
      <c r="R1733" s="1"/>
      <c r="S1733" s="1"/>
      <c r="T1733" s="1"/>
      <c r="U1733" s="1"/>
      <c r="V1733" s="1"/>
      <c r="W1733" s="1"/>
      <c r="X1733" s="1"/>
      <c r="Y1733" s="1"/>
      <c r="Z1733" s="1"/>
    </row>
    <row r="1734" spans="1:26" ht="33.75" customHeight="1">
      <c r="A1734" s="1">
        <v>2090</v>
      </c>
      <c r="B1734" s="1" t="s">
        <v>4799</v>
      </c>
      <c r="C1734" s="1" t="s">
        <v>4460</v>
      </c>
      <c r="D1734" s="4">
        <v>39928.387499999997</v>
      </c>
      <c r="E1734" s="1" t="s">
        <v>772</v>
      </c>
      <c r="F1734" s="1"/>
      <c r="G1734" s="5" t="s">
        <v>64</v>
      </c>
      <c r="H1734" s="1"/>
      <c r="I1734" s="1" t="s">
        <v>64</v>
      </c>
      <c r="J1734" s="1"/>
      <c r="K1734" s="1"/>
      <c r="L1734" s="2" t="s">
        <v>4800</v>
      </c>
      <c r="M1734" s="1"/>
      <c r="N1734" s="1"/>
      <c r="O1734" s="1"/>
      <c r="P1734" s="1"/>
      <c r="Q1734" s="1"/>
      <c r="R1734" s="1"/>
      <c r="S1734" s="1"/>
      <c r="T1734" s="1"/>
      <c r="U1734" s="1"/>
      <c r="V1734" s="1"/>
      <c r="W1734" s="1"/>
      <c r="X1734" s="1"/>
      <c r="Y1734" s="1"/>
      <c r="Z1734" s="1"/>
    </row>
    <row r="1735" spans="1:26" ht="33.75" customHeight="1">
      <c r="A1735" s="1">
        <v>2091</v>
      </c>
      <c r="B1735" s="1" t="s">
        <v>4801</v>
      </c>
      <c r="C1735" s="1" t="s">
        <v>4460</v>
      </c>
      <c r="D1735" s="4">
        <v>39931.723611111112</v>
      </c>
      <c r="E1735" s="1" t="s">
        <v>1089</v>
      </c>
      <c r="F1735" s="1" t="s">
        <v>4802</v>
      </c>
      <c r="G1735" s="5" t="s">
        <v>33</v>
      </c>
      <c r="H1735" s="5" t="s">
        <v>34</v>
      </c>
      <c r="I1735" s="1" t="s">
        <v>1605</v>
      </c>
      <c r="J1735" s="1" t="s">
        <v>4803</v>
      </c>
      <c r="K1735" s="1"/>
      <c r="L1735" s="2" t="s">
        <v>4804</v>
      </c>
      <c r="M1735" s="1"/>
      <c r="N1735" s="1"/>
      <c r="O1735" s="1"/>
      <c r="P1735" s="1"/>
      <c r="Q1735" s="1"/>
      <c r="R1735" s="1"/>
      <c r="S1735" s="1"/>
      <c r="T1735" s="1"/>
      <c r="U1735" s="1"/>
      <c r="V1735" s="1"/>
      <c r="W1735" s="1"/>
      <c r="X1735" s="1"/>
      <c r="Y1735" s="1"/>
      <c r="Z1735" s="1"/>
    </row>
    <row r="1736" spans="1:26" ht="33.75" customHeight="1">
      <c r="A1736" s="1">
        <v>2092</v>
      </c>
      <c r="B1736" s="1" t="s">
        <v>4805</v>
      </c>
      <c r="C1736" s="1" t="s">
        <v>4460</v>
      </c>
      <c r="D1736" s="4">
        <v>39932.425000000003</v>
      </c>
      <c r="E1736" s="1" t="s">
        <v>772</v>
      </c>
      <c r="F1736" s="1" t="s">
        <v>4801</v>
      </c>
      <c r="G1736" s="5" t="s">
        <v>15</v>
      </c>
      <c r="H1736" s="5" t="s">
        <v>150</v>
      </c>
      <c r="I1736" s="1" t="s">
        <v>1803</v>
      </c>
      <c r="J1736" s="1"/>
      <c r="K1736" s="1" t="s">
        <v>4806</v>
      </c>
      <c r="L1736" s="2" t="s">
        <v>4807</v>
      </c>
      <c r="M1736" s="1"/>
      <c r="N1736" s="1"/>
      <c r="O1736" s="1"/>
      <c r="P1736" s="1"/>
      <c r="Q1736" s="1"/>
      <c r="R1736" s="1"/>
      <c r="S1736" s="1"/>
      <c r="T1736" s="1"/>
      <c r="U1736" s="1"/>
      <c r="V1736" s="1"/>
      <c r="W1736" s="1"/>
      <c r="X1736" s="1"/>
      <c r="Y1736" s="1"/>
      <c r="Z1736" s="1"/>
    </row>
    <row r="1737" spans="1:26" ht="33.75" customHeight="1">
      <c r="A1737" s="1">
        <v>2093</v>
      </c>
      <c r="B1737" s="1" t="s">
        <v>4808</v>
      </c>
      <c r="C1737" s="1" t="s">
        <v>4460</v>
      </c>
      <c r="D1737" s="4">
        <v>39934.56527777778</v>
      </c>
      <c r="E1737" s="1" t="s">
        <v>772</v>
      </c>
      <c r="F1737" s="1" t="s">
        <v>4809</v>
      </c>
      <c r="G1737" s="5" t="s">
        <v>33</v>
      </c>
      <c r="H1737" s="5" t="s">
        <v>34</v>
      </c>
      <c r="I1737" s="1" t="s">
        <v>1605</v>
      </c>
      <c r="J1737" s="1"/>
      <c r="K1737" s="1"/>
      <c r="L1737" s="2" t="s">
        <v>4810</v>
      </c>
      <c r="M1737" s="1"/>
      <c r="N1737" s="1"/>
      <c r="O1737" s="1"/>
      <c r="P1737" s="1"/>
      <c r="Q1737" s="1"/>
      <c r="R1737" s="1"/>
      <c r="S1737" s="1"/>
      <c r="T1737" s="1"/>
      <c r="U1737" s="1"/>
      <c r="V1737" s="1"/>
      <c r="W1737" s="1"/>
      <c r="X1737" s="1"/>
      <c r="Y1737" s="1"/>
      <c r="Z1737" s="1"/>
    </row>
    <row r="1738" spans="1:26" ht="33.75" customHeight="1">
      <c r="A1738" s="1">
        <v>1446</v>
      </c>
      <c r="B1738" s="1" t="s">
        <v>4811</v>
      </c>
      <c r="C1738" s="1" t="s">
        <v>3929</v>
      </c>
      <c r="D1738" s="4">
        <v>39935.091666666667</v>
      </c>
      <c r="E1738" s="1" t="s">
        <v>320</v>
      </c>
      <c r="F1738" s="1"/>
      <c r="G1738" s="5" t="s">
        <v>64</v>
      </c>
      <c r="H1738" s="5" t="s">
        <v>3663</v>
      </c>
      <c r="I1738" s="1" t="s">
        <v>3664</v>
      </c>
      <c r="J1738" s="1" t="s">
        <v>3651</v>
      </c>
      <c r="K1738" s="1" t="s">
        <v>4812</v>
      </c>
      <c r="L1738" s="2" t="s">
        <v>4813</v>
      </c>
      <c r="M1738" s="1"/>
      <c r="N1738" s="1"/>
      <c r="O1738" s="1"/>
      <c r="P1738" s="1"/>
      <c r="Q1738" s="1"/>
      <c r="R1738" s="1"/>
      <c r="S1738" s="1"/>
      <c r="T1738" s="1"/>
      <c r="U1738" s="1"/>
      <c r="V1738" s="1"/>
      <c r="W1738" s="1"/>
      <c r="X1738" s="1"/>
      <c r="Y1738" s="1"/>
      <c r="Z1738" s="1"/>
    </row>
    <row r="1739" spans="1:26" ht="33.75" customHeight="1">
      <c r="A1739" s="1">
        <v>1447</v>
      </c>
      <c r="B1739" s="1" t="s">
        <v>4814</v>
      </c>
      <c r="C1739" s="1" t="s">
        <v>3929</v>
      </c>
      <c r="D1739" s="4">
        <v>39936.886805555558</v>
      </c>
      <c r="E1739" s="1" t="s">
        <v>320</v>
      </c>
      <c r="F1739" s="1"/>
      <c r="G1739" s="5" t="s">
        <v>64</v>
      </c>
      <c r="H1739" s="5" t="s">
        <v>1053</v>
      </c>
      <c r="I1739" s="1" t="s">
        <v>4815</v>
      </c>
      <c r="J1739" s="1"/>
      <c r="K1739" s="1" t="s">
        <v>4816</v>
      </c>
      <c r="L1739" s="2" t="s">
        <v>4817</v>
      </c>
      <c r="M1739" s="1"/>
      <c r="N1739" s="1"/>
      <c r="O1739" s="1"/>
      <c r="P1739" s="1"/>
      <c r="Q1739" s="1"/>
      <c r="R1739" s="1"/>
      <c r="S1739" s="1"/>
      <c r="T1739" s="1"/>
      <c r="U1739" s="1"/>
      <c r="V1739" s="1"/>
      <c r="W1739" s="1"/>
      <c r="X1739" s="1"/>
      <c r="Y1739" s="1"/>
      <c r="Z1739" s="1"/>
    </row>
    <row r="1740" spans="1:26" ht="33.75" customHeight="1">
      <c r="A1740" s="1">
        <v>1448</v>
      </c>
      <c r="B1740" s="1" t="s">
        <v>4818</v>
      </c>
      <c r="C1740" s="1" t="s">
        <v>3929</v>
      </c>
      <c r="D1740" s="4">
        <v>39941.638888888891</v>
      </c>
      <c r="E1740" s="1" t="s">
        <v>320</v>
      </c>
      <c r="F1740" s="1"/>
      <c r="G1740" s="5" t="s">
        <v>64</v>
      </c>
      <c r="H1740" s="5" t="s">
        <v>1053</v>
      </c>
      <c r="I1740" s="1" t="s">
        <v>4819</v>
      </c>
      <c r="J1740" s="1"/>
      <c r="K1740" s="1"/>
      <c r="L1740" s="2" t="s">
        <v>4820</v>
      </c>
      <c r="M1740" s="1"/>
      <c r="N1740" s="1"/>
      <c r="O1740" s="1"/>
      <c r="P1740" s="1"/>
      <c r="Q1740" s="1"/>
      <c r="R1740" s="1"/>
      <c r="S1740" s="1"/>
      <c r="T1740" s="1"/>
      <c r="U1740" s="1"/>
      <c r="V1740" s="1"/>
      <c r="W1740" s="1"/>
      <c r="X1740" s="1"/>
      <c r="Y1740" s="1"/>
      <c r="Z1740" s="1"/>
    </row>
    <row r="1741" spans="1:26" ht="33.75" customHeight="1">
      <c r="A1741" s="1">
        <v>1450</v>
      </c>
      <c r="B1741" s="1" t="s">
        <v>4821</v>
      </c>
      <c r="C1741" s="1" t="s">
        <v>3929</v>
      </c>
      <c r="D1741" s="4">
        <v>39941.693055555559</v>
      </c>
      <c r="E1741" s="1" t="s">
        <v>14</v>
      </c>
      <c r="F1741" s="1"/>
      <c r="G1741" s="5" t="s">
        <v>15</v>
      </c>
      <c r="H1741" s="5" t="s">
        <v>22</v>
      </c>
      <c r="I1741" s="1" t="s">
        <v>23</v>
      </c>
      <c r="J1741" s="1"/>
      <c r="K1741" s="1"/>
      <c r="L1741" s="2" t="s">
        <v>4822</v>
      </c>
      <c r="M1741" s="1"/>
      <c r="N1741" s="1"/>
      <c r="O1741" s="1"/>
      <c r="P1741" s="1"/>
      <c r="Q1741" s="1"/>
      <c r="R1741" s="1"/>
      <c r="S1741" s="1"/>
      <c r="T1741" s="1"/>
      <c r="U1741" s="1"/>
      <c r="V1741" s="1"/>
      <c r="W1741" s="1"/>
      <c r="X1741" s="1"/>
      <c r="Y1741" s="1"/>
      <c r="Z1741" s="1"/>
    </row>
    <row r="1742" spans="1:26" ht="33.75" customHeight="1">
      <c r="A1742" s="1">
        <v>1449</v>
      </c>
      <c r="B1742" s="1" t="s">
        <v>4823</v>
      </c>
      <c r="C1742" s="1" t="s">
        <v>3929</v>
      </c>
      <c r="D1742" s="4">
        <v>39942.752083333333</v>
      </c>
      <c r="E1742" s="1" t="s">
        <v>320</v>
      </c>
      <c r="F1742" s="1" t="s">
        <v>4818</v>
      </c>
      <c r="G1742" s="6" t="s">
        <v>78</v>
      </c>
      <c r="H1742" s="5" t="s">
        <v>79</v>
      </c>
      <c r="I1742" s="1" t="s">
        <v>2382</v>
      </c>
      <c r="J1742" s="1"/>
      <c r="K1742" s="1"/>
      <c r="L1742" s="2" t="s">
        <v>4824</v>
      </c>
      <c r="M1742" s="1"/>
      <c r="N1742" s="1"/>
      <c r="O1742" s="1"/>
      <c r="P1742" s="1"/>
      <c r="Q1742" s="1"/>
      <c r="R1742" s="1"/>
      <c r="S1742" s="1"/>
      <c r="T1742" s="1"/>
      <c r="U1742" s="1"/>
      <c r="V1742" s="1"/>
      <c r="W1742" s="1"/>
      <c r="X1742" s="1"/>
      <c r="Y1742" s="1"/>
      <c r="Z1742" s="1"/>
    </row>
    <row r="1743" spans="1:26" ht="33.75" customHeight="1">
      <c r="A1743" s="1">
        <v>1451</v>
      </c>
      <c r="B1743" s="1" t="s">
        <v>4825</v>
      </c>
      <c r="C1743" s="1" t="s">
        <v>3929</v>
      </c>
      <c r="D1743" s="4">
        <v>39942.75277777778</v>
      </c>
      <c r="E1743" s="1" t="s">
        <v>320</v>
      </c>
      <c r="F1743" s="1" t="s">
        <v>4818</v>
      </c>
      <c r="G1743" s="5" t="s">
        <v>64</v>
      </c>
      <c r="H1743" s="5" t="s">
        <v>1053</v>
      </c>
      <c r="I1743" s="1" t="s">
        <v>4826</v>
      </c>
      <c r="J1743" s="1"/>
      <c r="K1743" s="1"/>
      <c r="L1743" s="2" t="s">
        <v>4827</v>
      </c>
      <c r="M1743" s="1"/>
      <c r="N1743" s="1"/>
      <c r="O1743" s="1"/>
      <c r="P1743" s="1"/>
      <c r="Q1743" s="1"/>
      <c r="R1743" s="1"/>
      <c r="S1743" s="1"/>
      <c r="T1743" s="1"/>
      <c r="U1743" s="1"/>
      <c r="V1743" s="1"/>
      <c r="W1743" s="1"/>
      <c r="X1743" s="1"/>
      <c r="Y1743" s="1"/>
      <c r="Z1743" s="1"/>
    </row>
    <row r="1744" spans="1:26" ht="33.75" customHeight="1">
      <c r="A1744" s="1">
        <v>1452</v>
      </c>
      <c r="B1744" s="1" t="s">
        <v>4828</v>
      </c>
      <c r="C1744" s="1" t="s">
        <v>3929</v>
      </c>
      <c r="D1744" s="4">
        <v>39942.755555555559</v>
      </c>
      <c r="E1744" s="1" t="s">
        <v>4829</v>
      </c>
      <c r="F1744" s="1" t="s">
        <v>4825</v>
      </c>
      <c r="G1744" s="6" t="s">
        <v>78</v>
      </c>
      <c r="H1744" s="5" t="s">
        <v>79</v>
      </c>
      <c r="I1744" s="1" t="s">
        <v>4826</v>
      </c>
      <c r="J1744" s="1"/>
      <c r="K1744" s="1"/>
      <c r="L1744" s="2" t="s">
        <v>4830</v>
      </c>
      <c r="M1744" s="1"/>
      <c r="N1744" s="1"/>
      <c r="O1744" s="1"/>
      <c r="P1744" s="1"/>
      <c r="Q1744" s="1"/>
      <c r="R1744" s="1"/>
      <c r="S1744" s="1"/>
      <c r="T1744" s="1"/>
      <c r="U1744" s="1"/>
      <c r="V1744" s="1"/>
      <c r="W1744" s="1"/>
      <c r="X1744" s="1"/>
      <c r="Y1744" s="1"/>
      <c r="Z1744" s="1"/>
    </row>
    <row r="1745" spans="1:26" ht="33.75" customHeight="1">
      <c r="A1745" s="1">
        <v>1453</v>
      </c>
      <c r="B1745" s="1" t="s">
        <v>4831</v>
      </c>
      <c r="C1745" s="1" t="s">
        <v>3929</v>
      </c>
      <c r="D1745" s="4">
        <v>39942.756249999999</v>
      </c>
      <c r="E1745" s="1" t="s">
        <v>320</v>
      </c>
      <c r="F1745" s="1" t="s">
        <v>4832</v>
      </c>
      <c r="G1745" s="5" t="s">
        <v>64</v>
      </c>
      <c r="H1745" s="1"/>
      <c r="I1745" s="1" t="s">
        <v>64</v>
      </c>
      <c r="J1745" s="1"/>
      <c r="K1745" s="1" t="s">
        <v>4833</v>
      </c>
      <c r="L1745" s="2" t="s">
        <v>4834</v>
      </c>
      <c r="M1745" s="1"/>
      <c r="N1745" s="1"/>
      <c r="O1745" s="1"/>
      <c r="P1745" s="1"/>
      <c r="Q1745" s="1"/>
      <c r="R1745" s="1"/>
      <c r="S1745" s="1"/>
      <c r="T1745" s="1"/>
      <c r="U1745" s="1"/>
      <c r="V1745" s="1"/>
      <c r="W1745" s="1"/>
      <c r="X1745" s="1"/>
      <c r="Y1745" s="1"/>
      <c r="Z1745" s="1"/>
    </row>
    <row r="1746" spans="1:26" ht="33.75" customHeight="1">
      <c r="A1746" s="1">
        <v>1454</v>
      </c>
      <c r="B1746" s="1" t="s">
        <v>4835</v>
      </c>
      <c r="C1746" s="1" t="s">
        <v>3929</v>
      </c>
      <c r="D1746" s="4">
        <v>39942.757638888892</v>
      </c>
      <c r="E1746" s="1" t="s">
        <v>4829</v>
      </c>
      <c r="F1746" s="1"/>
      <c r="G1746" s="5" t="s">
        <v>64</v>
      </c>
      <c r="H1746" s="1"/>
      <c r="I1746" s="1" t="s">
        <v>64</v>
      </c>
      <c r="J1746" s="1"/>
      <c r="K1746" s="1"/>
      <c r="L1746" s="2" t="s">
        <v>4836</v>
      </c>
      <c r="M1746" s="1"/>
      <c r="N1746" s="1"/>
      <c r="O1746" s="1"/>
      <c r="P1746" s="1"/>
      <c r="Q1746" s="1"/>
      <c r="R1746" s="1"/>
      <c r="S1746" s="1"/>
      <c r="T1746" s="1"/>
      <c r="U1746" s="1"/>
      <c r="V1746" s="1"/>
      <c r="W1746" s="1"/>
      <c r="X1746" s="1"/>
      <c r="Y1746" s="1"/>
      <c r="Z1746" s="1"/>
    </row>
    <row r="1747" spans="1:26" ht="33.75" customHeight="1">
      <c r="A1747" s="1">
        <v>1455</v>
      </c>
      <c r="B1747" s="1" t="s">
        <v>4837</v>
      </c>
      <c r="C1747" s="1" t="s">
        <v>3929</v>
      </c>
      <c r="D1747" s="4">
        <v>39942.757638888892</v>
      </c>
      <c r="E1747" s="1" t="s">
        <v>320</v>
      </c>
      <c r="F1747" s="1"/>
      <c r="G1747" s="5" t="s">
        <v>64</v>
      </c>
      <c r="H1747" s="1"/>
      <c r="I1747" s="1" t="s">
        <v>64</v>
      </c>
      <c r="J1747" s="1"/>
      <c r="K1747" s="1"/>
      <c r="L1747" s="2" t="s">
        <v>4838</v>
      </c>
      <c r="M1747" s="1"/>
      <c r="N1747" s="1"/>
      <c r="O1747" s="1"/>
      <c r="P1747" s="1"/>
      <c r="Q1747" s="1"/>
      <c r="R1747" s="1"/>
      <c r="S1747" s="1"/>
      <c r="T1747" s="1"/>
      <c r="U1747" s="1"/>
      <c r="V1747" s="1"/>
      <c r="W1747" s="1"/>
      <c r="X1747" s="1"/>
      <c r="Y1747" s="1"/>
      <c r="Z1747" s="1"/>
    </row>
    <row r="1748" spans="1:26" ht="33.75" customHeight="1">
      <c r="A1748" s="1">
        <v>1456</v>
      </c>
      <c r="B1748" s="1" t="s">
        <v>4839</v>
      </c>
      <c r="C1748" s="1" t="s">
        <v>3929</v>
      </c>
      <c r="D1748" s="4">
        <v>39942.759027777778</v>
      </c>
      <c r="E1748" s="1" t="s">
        <v>4829</v>
      </c>
      <c r="F1748" s="1"/>
      <c r="G1748" s="5" t="s">
        <v>64</v>
      </c>
      <c r="H1748" s="1"/>
      <c r="I1748" s="1" t="s">
        <v>64</v>
      </c>
      <c r="J1748" s="1"/>
      <c r="K1748" s="1"/>
      <c r="L1748" s="2" t="s">
        <v>4840</v>
      </c>
      <c r="M1748" s="1"/>
      <c r="N1748" s="1"/>
      <c r="O1748" s="1"/>
      <c r="P1748" s="1"/>
      <c r="Q1748" s="1"/>
      <c r="R1748" s="1"/>
      <c r="S1748" s="1"/>
      <c r="T1748" s="1"/>
      <c r="U1748" s="1"/>
      <c r="V1748" s="1"/>
      <c r="W1748" s="1"/>
      <c r="X1748" s="1"/>
      <c r="Y1748" s="1"/>
      <c r="Z1748" s="1"/>
    </row>
    <row r="1749" spans="1:26" ht="33.75" customHeight="1">
      <c r="A1749" s="1">
        <v>1457</v>
      </c>
      <c r="B1749" s="1" t="s">
        <v>4841</v>
      </c>
      <c r="C1749" s="1" t="s">
        <v>3929</v>
      </c>
      <c r="D1749" s="4">
        <v>39942.769444444442</v>
      </c>
      <c r="E1749" s="1" t="s">
        <v>320</v>
      </c>
      <c r="F1749" s="1" t="s">
        <v>4825</v>
      </c>
      <c r="G1749" s="5" t="s">
        <v>64</v>
      </c>
      <c r="H1749" s="5" t="s">
        <v>1053</v>
      </c>
      <c r="I1749" s="1" t="s">
        <v>4842</v>
      </c>
      <c r="J1749" s="1"/>
      <c r="K1749" s="1"/>
      <c r="L1749" s="2" t="s">
        <v>4843</v>
      </c>
      <c r="M1749" s="1"/>
      <c r="N1749" s="1"/>
      <c r="O1749" s="1"/>
      <c r="P1749" s="1"/>
      <c r="Q1749" s="1"/>
      <c r="R1749" s="1"/>
      <c r="S1749" s="1"/>
      <c r="T1749" s="1"/>
      <c r="U1749" s="1"/>
      <c r="V1749" s="1"/>
      <c r="W1749" s="1"/>
      <c r="X1749" s="1"/>
      <c r="Y1749" s="1"/>
      <c r="Z1749" s="1"/>
    </row>
    <row r="1750" spans="1:26" ht="33.75" customHeight="1">
      <c r="A1750" s="1">
        <v>1458</v>
      </c>
      <c r="B1750" s="1" t="s">
        <v>4844</v>
      </c>
      <c r="C1750" s="1" t="s">
        <v>3929</v>
      </c>
      <c r="D1750" s="4">
        <v>39942.925694444442</v>
      </c>
      <c r="E1750" s="1" t="s">
        <v>320</v>
      </c>
      <c r="F1750" s="1" t="s">
        <v>4841</v>
      </c>
      <c r="G1750" s="5" t="s">
        <v>64</v>
      </c>
      <c r="H1750" s="5" t="s">
        <v>1053</v>
      </c>
      <c r="I1750" s="1" t="s">
        <v>4842</v>
      </c>
      <c r="J1750" s="1"/>
      <c r="K1750" s="1"/>
      <c r="L1750" s="2" t="s">
        <v>4845</v>
      </c>
      <c r="M1750" s="1"/>
      <c r="N1750" s="1"/>
      <c r="O1750" s="1"/>
      <c r="P1750" s="1"/>
      <c r="Q1750" s="1"/>
      <c r="R1750" s="1"/>
      <c r="S1750" s="1"/>
      <c r="T1750" s="1"/>
      <c r="U1750" s="1"/>
      <c r="V1750" s="1"/>
      <c r="W1750" s="1"/>
      <c r="X1750" s="1"/>
      <c r="Y1750" s="1"/>
      <c r="Z1750" s="1"/>
    </row>
    <row r="1751" spans="1:26" ht="33.75" customHeight="1">
      <c r="A1751" s="1">
        <v>1459</v>
      </c>
      <c r="B1751" s="1" t="s">
        <v>4846</v>
      </c>
      <c r="C1751" s="1" t="s">
        <v>3929</v>
      </c>
      <c r="D1751" s="4">
        <v>39943.755555555559</v>
      </c>
      <c r="E1751" s="1" t="s">
        <v>14</v>
      </c>
      <c r="F1751" s="1"/>
      <c r="G1751" s="5" t="s">
        <v>64</v>
      </c>
      <c r="H1751" s="5" t="s">
        <v>3663</v>
      </c>
      <c r="I1751" s="1" t="s">
        <v>3664</v>
      </c>
      <c r="J1751" s="1" t="s">
        <v>4847</v>
      </c>
      <c r="K1751" s="1"/>
      <c r="L1751" s="2" t="s">
        <v>4848</v>
      </c>
      <c r="M1751" s="1"/>
      <c r="N1751" s="1"/>
      <c r="O1751" s="1"/>
      <c r="P1751" s="1"/>
      <c r="Q1751" s="1"/>
      <c r="R1751" s="1"/>
      <c r="S1751" s="1"/>
      <c r="T1751" s="1"/>
      <c r="U1751" s="1"/>
      <c r="V1751" s="1"/>
      <c r="W1751" s="1"/>
      <c r="X1751" s="1"/>
      <c r="Y1751" s="1"/>
      <c r="Z1751" s="1"/>
    </row>
    <row r="1752" spans="1:26" ht="33.75" customHeight="1">
      <c r="A1752" s="1">
        <v>1460</v>
      </c>
      <c r="B1752" s="1" t="s">
        <v>4849</v>
      </c>
      <c r="C1752" s="1" t="s">
        <v>3929</v>
      </c>
      <c r="D1752" s="4">
        <v>39944.050000000003</v>
      </c>
      <c r="E1752" s="1" t="s">
        <v>320</v>
      </c>
      <c r="F1752" s="1"/>
      <c r="G1752" s="5" t="s">
        <v>64</v>
      </c>
      <c r="H1752" s="5" t="s">
        <v>3663</v>
      </c>
      <c r="I1752" s="1" t="s">
        <v>3664</v>
      </c>
      <c r="J1752" s="1" t="s">
        <v>4847</v>
      </c>
      <c r="K1752" s="1" t="s">
        <v>4850</v>
      </c>
      <c r="L1752" s="2" t="s">
        <v>4851</v>
      </c>
      <c r="M1752" s="1"/>
      <c r="N1752" s="1"/>
      <c r="O1752" s="1"/>
      <c r="P1752" s="1"/>
      <c r="Q1752" s="1"/>
      <c r="R1752" s="1"/>
      <c r="S1752" s="1"/>
      <c r="T1752" s="1"/>
      <c r="U1752" s="1"/>
      <c r="V1752" s="1"/>
      <c r="W1752" s="1"/>
      <c r="X1752" s="1"/>
      <c r="Y1752" s="1"/>
      <c r="Z1752" s="1"/>
    </row>
    <row r="1753" spans="1:26" ht="33.75" customHeight="1">
      <c r="A1753" s="1">
        <v>1461</v>
      </c>
      <c r="B1753" s="1" t="s">
        <v>4852</v>
      </c>
      <c r="C1753" s="1" t="s">
        <v>3929</v>
      </c>
      <c r="D1753" s="4">
        <v>39947.938194444447</v>
      </c>
      <c r="E1753" s="1" t="s">
        <v>320</v>
      </c>
      <c r="F1753" s="1"/>
      <c r="G1753" s="5" t="s">
        <v>64</v>
      </c>
      <c r="H1753" s="5" t="s">
        <v>3663</v>
      </c>
      <c r="I1753" s="1" t="s">
        <v>3664</v>
      </c>
      <c r="J1753" s="1" t="s">
        <v>4847</v>
      </c>
      <c r="K1753" s="1"/>
      <c r="L1753" s="2" t="s">
        <v>4853</v>
      </c>
      <c r="M1753" s="1"/>
      <c r="N1753" s="1"/>
      <c r="O1753" s="1"/>
      <c r="P1753" s="1"/>
      <c r="Q1753" s="1"/>
      <c r="R1753" s="1"/>
      <c r="S1753" s="1"/>
      <c r="T1753" s="1"/>
      <c r="U1753" s="1"/>
      <c r="V1753" s="1"/>
      <c r="W1753" s="1"/>
      <c r="X1753" s="1"/>
      <c r="Y1753" s="1"/>
      <c r="Z1753" s="1"/>
    </row>
    <row r="1754" spans="1:26" ht="33.75" customHeight="1">
      <c r="A1754" s="1">
        <v>2094</v>
      </c>
      <c r="B1754" s="1" t="s">
        <v>4854</v>
      </c>
      <c r="C1754" s="1" t="s">
        <v>4460</v>
      </c>
      <c r="D1754" s="4">
        <v>39948.254166666666</v>
      </c>
      <c r="E1754" s="1" t="s">
        <v>1887</v>
      </c>
      <c r="F1754" s="1"/>
      <c r="G1754" s="5" t="s">
        <v>15</v>
      </c>
      <c r="H1754" s="5" t="s">
        <v>140</v>
      </c>
      <c r="I1754" s="1" t="s">
        <v>166</v>
      </c>
      <c r="J1754" s="1"/>
      <c r="K1754" s="1" t="s">
        <v>4855</v>
      </c>
      <c r="L1754" s="2" t="s">
        <v>4856</v>
      </c>
      <c r="M1754" s="1"/>
      <c r="N1754" s="1"/>
      <c r="O1754" s="1"/>
      <c r="P1754" s="1"/>
      <c r="Q1754" s="1"/>
      <c r="R1754" s="1"/>
      <c r="S1754" s="1"/>
      <c r="T1754" s="1"/>
      <c r="U1754" s="1"/>
      <c r="V1754" s="1"/>
      <c r="W1754" s="1"/>
      <c r="X1754" s="1"/>
      <c r="Y1754" s="1"/>
      <c r="Z1754" s="1"/>
    </row>
    <row r="1755" spans="1:26" ht="33.75" customHeight="1">
      <c r="A1755" s="1">
        <v>2095</v>
      </c>
      <c r="B1755" s="1" t="s">
        <v>4857</v>
      </c>
      <c r="C1755" s="1" t="s">
        <v>4460</v>
      </c>
      <c r="D1755" s="4">
        <v>39948.362500000003</v>
      </c>
      <c r="E1755" s="1" t="s">
        <v>54</v>
      </c>
      <c r="F1755" s="1"/>
      <c r="G1755" s="5" t="s">
        <v>64</v>
      </c>
      <c r="H1755" s="5" t="s">
        <v>3663</v>
      </c>
      <c r="I1755" s="1" t="s">
        <v>3664</v>
      </c>
      <c r="J1755" s="1" t="s">
        <v>3651</v>
      </c>
      <c r="K1755" s="1" t="s">
        <v>4858</v>
      </c>
      <c r="L1755" s="2" t="s">
        <v>4859</v>
      </c>
      <c r="M1755" s="1"/>
      <c r="N1755" s="1"/>
      <c r="O1755" s="1"/>
      <c r="P1755" s="1"/>
      <c r="Q1755" s="1"/>
      <c r="R1755" s="1"/>
      <c r="S1755" s="1"/>
      <c r="T1755" s="1"/>
      <c r="U1755" s="1"/>
      <c r="V1755" s="1"/>
      <c r="W1755" s="1"/>
      <c r="X1755" s="1"/>
      <c r="Y1755" s="1"/>
      <c r="Z1755" s="1"/>
    </row>
    <row r="1756" spans="1:26" ht="33.75" customHeight="1">
      <c r="A1756" s="1">
        <v>2096</v>
      </c>
      <c r="B1756" s="1" t="s">
        <v>4860</v>
      </c>
      <c r="C1756" s="1" t="s">
        <v>4460</v>
      </c>
      <c r="D1756" s="4">
        <v>39948.724305555559</v>
      </c>
      <c r="E1756" s="1" t="s">
        <v>1887</v>
      </c>
      <c r="F1756" s="1"/>
      <c r="G1756" s="5" t="s">
        <v>64</v>
      </c>
      <c r="H1756" s="5" t="s">
        <v>3663</v>
      </c>
      <c r="I1756" s="1" t="s">
        <v>3664</v>
      </c>
      <c r="J1756" s="1" t="s">
        <v>4861</v>
      </c>
      <c r="K1756" s="1"/>
      <c r="L1756" s="2" t="s">
        <v>4862</v>
      </c>
      <c r="M1756" s="1"/>
      <c r="N1756" s="1"/>
      <c r="O1756" s="1"/>
      <c r="P1756" s="1"/>
      <c r="Q1756" s="1"/>
      <c r="R1756" s="1"/>
      <c r="S1756" s="1"/>
      <c r="T1756" s="1"/>
      <c r="U1756" s="1"/>
      <c r="V1756" s="1"/>
      <c r="W1756" s="1"/>
      <c r="X1756" s="1"/>
      <c r="Y1756" s="1"/>
      <c r="Z1756" s="1"/>
    </row>
    <row r="1757" spans="1:26" ht="33.75" customHeight="1">
      <c r="A1757" s="1">
        <v>1462</v>
      </c>
      <c r="B1757" s="1" t="s">
        <v>4863</v>
      </c>
      <c r="C1757" s="1" t="s">
        <v>3929</v>
      </c>
      <c r="D1757" s="4">
        <v>39948.95208333333</v>
      </c>
      <c r="E1757" s="1" t="s">
        <v>320</v>
      </c>
      <c r="F1757" s="1"/>
      <c r="G1757" s="5" t="s">
        <v>64</v>
      </c>
      <c r="H1757" s="5" t="s">
        <v>3663</v>
      </c>
      <c r="I1757" s="1" t="s">
        <v>3664</v>
      </c>
      <c r="J1757" s="1" t="s">
        <v>4847</v>
      </c>
      <c r="K1757" s="1"/>
      <c r="L1757" s="2" t="s">
        <v>4864</v>
      </c>
      <c r="M1757" s="1"/>
      <c r="N1757" s="1"/>
      <c r="O1757" s="1"/>
      <c r="P1757" s="1"/>
      <c r="Q1757" s="1"/>
      <c r="R1757" s="1"/>
      <c r="S1757" s="1"/>
      <c r="T1757" s="1"/>
      <c r="U1757" s="1"/>
      <c r="V1757" s="1"/>
      <c r="W1757" s="1"/>
      <c r="X1757" s="1"/>
      <c r="Y1757" s="1"/>
      <c r="Z1757" s="1"/>
    </row>
    <row r="1758" spans="1:26" ht="33.75" customHeight="1">
      <c r="A1758" s="1">
        <v>1463</v>
      </c>
      <c r="B1758" s="1" t="s">
        <v>4865</v>
      </c>
      <c r="C1758" s="1" t="s">
        <v>3929</v>
      </c>
      <c r="D1758" s="4">
        <v>39949.13958333333</v>
      </c>
      <c r="E1758" s="1" t="s">
        <v>196</v>
      </c>
      <c r="F1758" s="1"/>
      <c r="G1758" s="5" t="s">
        <v>64</v>
      </c>
      <c r="H1758" s="5" t="s">
        <v>1053</v>
      </c>
      <c r="I1758" s="1" t="s">
        <v>3040</v>
      </c>
      <c r="J1758" s="1" t="s">
        <v>3651</v>
      </c>
      <c r="K1758" s="1"/>
      <c r="L1758" s="2" t="s">
        <v>4866</v>
      </c>
      <c r="M1758" s="1"/>
      <c r="N1758" s="1"/>
      <c r="O1758" s="1"/>
      <c r="P1758" s="1"/>
      <c r="Q1758" s="1"/>
      <c r="R1758" s="1"/>
      <c r="S1758" s="1"/>
      <c r="T1758" s="1"/>
      <c r="U1758" s="1"/>
      <c r="V1758" s="1"/>
      <c r="W1758" s="1"/>
      <c r="X1758" s="1"/>
      <c r="Y1758" s="1"/>
      <c r="Z1758" s="1"/>
    </row>
    <row r="1759" spans="1:26" ht="33.75" customHeight="1">
      <c r="A1759" s="1">
        <v>1464</v>
      </c>
      <c r="B1759" s="1" t="s">
        <v>4867</v>
      </c>
      <c r="C1759" s="1" t="s">
        <v>3929</v>
      </c>
      <c r="D1759" s="4">
        <v>39949.813194444447</v>
      </c>
      <c r="E1759" s="1" t="s">
        <v>196</v>
      </c>
      <c r="F1759" s="1"/>
      <c r="G1759" s="5" t="s">
        <v>64</v>
      </c>
      <c r="H1759" s="5" t="s">
        <v>179</v>
      </c>
      <c r="I1759" s="1" t="s">
        <v>179</v>
      </c>
      <c r="J1759" s="1"/>
      <c r="K1759" s="1" t="s">
        <v>4868</v>
      </c>
      <c r="L1759" s="2" t="s">
        <v>4869</v>
      </c>
      <c r="M1759" s="1"/>
      <c r="N1759" s="1"/>
      <c r="O1759" s="1"/>
      <c r="P1759" s="1"/>
      <c r="Q1759" s="1"/>
      <c r="R1759" s="1"/>
      <c r="S1759" s="1"/>
      <c r="T1759" s="1"/>
      <c r="U1759" s="1"/>
      <c r="V1759" s="1"/>
      <c r="W1759" s="1"/>
      <c r="X1759" s="1"/>
      <c r="Y1759" s="1"/>
      <c r="Z1759" s="1"/>
    </row>
    <row r="1760" spans="1:26" ht="33.75" customHeight="1">
      <c r="A1760" s="1">
        <v>2097</v>
      </c>
      <c r="B1760" s="1" t="s">
        <v>4870</v>
      </c>
      <c r="C1760" s="1" t="s">
        <v>4460</v>
      </c>
      <c r="D1760" s="4">
        <v>39950.456944444442</v>
      </c>
      <c r="E1760" s="1" t="s">
        <v>772</v>
      </c>
      <c r="F1760" s="1" t="s">
        <v>4857</v>
      </c>
      <c r="G1760" s="5" t="s">
        <v>64</v>
      </c>
      <c r="H1760" s="1"/>
      <c r="I1760" s="1" t="s">
        <v>4871</v>
      </c>
      <c r="J1760" s="1"/>
      <c r="K1760" s="1"/>
      <c r="L1760" s="2" t="s">
        <v>4872</v>
      </c>
      <c r="M1760" s="1"/>
      <c r="N1760" s="1"/>
      <c r="O1760" s="1"/>
      <c r="P1760" s="1"/>
      <c r="Q1760" s="1"/>
      <c r="R1760" s="1"/>
      <c r="S1760" s="1"/>
      <c r="T1760" s="1"/>
      <c r="U1760" s="1"/>
      <c r="V1760" s="1"/>
      <c r="W1760" s="1"/>
      <c r="X1760" s="1"/>
      <c r="Y1760" s="1"/>
      <c r="Z1760" s="1"/>
    </row>
    <row r="1761" spans="1:26" ht="33.75" customHeight="1">
      <c r="A1761" s="1">
        <v>2098</v>
      </c>
      <c r="B1761" s="1" t="s">
        <v>4873</v>
      </c>
      <c r="C1761" s="1" t="s">
        <v>4460</v>
      </c>
      <c r="D1761" s="4">
        <v>39951.279861111114</v>
      </c>
      <c r="E1761" s="1" t="s">
        <v>84</v>
      </c>
      <c r="F1761" s="1" t="s">
        <v>4857</v>
      </c>
      <c r="G1761" s="5" t="s">
        <v>64</v>
      </c>
      <c r="H1761" s="1"/>
      <c r="I1761" s="1" t="s">
        <v>4871</v>
      </c>
      <c r="J1761" s="1"/>
      <c r="K1761" s="1"/>
      <c r="L1761" s="2" t="s">
        <v>4874</v>
      </c>
      <c r="M1761" s="1"/>
      <c r="N1761" s="1"/>
      <c r="O1761" s="1"/>
      <c r="P1761" s="1"/>
      <c r="Q1761" s="1"/>
      <c r="R1761" s="1"/>
      <c r="S1761" s="1"/>
      <c r="T1761" s="1"/>
      <c r="U1761" s="1"/>
      <c r="V1761" s="1"/>
      <c r="W1761" s="1"/>
      <c r="X1761" s="1"/>
      <c r="Y1761" s="1"/>
      <c r="Z1761" s="1"/>
    </row>
    <row r="1762" spans="1:26" ht="33.75" customHeight="1">
      <c r="A1762" s="1">
        <v>2099</v>
      </c>
      <c r="B1762" s="1" t="s">
        <v>4875</v>
      </c>
      <c r="C1762" s="1" t="s">
        <v>4460</v>
      </c>
      <c r="D1762" s="4">
        <v>39951.284722222219</v>
      </c>
      <c r="E1762" s="1" t="s">
        <v>84</v>
      </c>
      <c r="F1762" s="1"/>
      <c r="G1762" s="5" t="s">
        <v>15</v>
      </c>
      <c r="H1762" s="5" t="s">
        <v>140</v>
      </c>
      <c r="I1762" s="1" t="s">
        <v>4876</v>
      </c>
      <c r="J1762" s="1"/>
      <c r="K1762" s="1"/>
      <c r="L1762" s="2" t="s">
        <v>4877</v>
      </c>
      <c r="M1762" s="1"/>
      <c r="N1762" s="1"/>
      <c r="O1762" s="1"/>
      <c r="P1762" s="1"/>
      <c r="Q1762" s="1"/>
      <c r="R1762" s="1"/>
      <c r="S1762" s="1"/>
      <c r="T1762" s="1"/>
      <c r="U1762" s="1"/>
      <c r="V1762" s="1"/>
      <c r="W1762" s="1"/>
      <c r="X1762" s="1"/>
      <c r="Y1762" s="1"/>
      <c r="Z1762" s="1"/>
    </row>
    <row r="1763" spans="1:26" ht="33.75" customHeight="1">
      <c r="A1763" s="1">
        <v>2100</v>
      </c>
      <c r="B1763" s="1" t="s">
        <v>4878</v>
      </c>
      <c r="C1763" s="1" t="s">
        <v>4460</v>
      </c>
      <c r="D1763" s="4">
        <v>39951.463194444441</v>
      </c>
      <c r="E1763" s="1" t="s">
        <v>84</v>
      </c>
      <c r="F1763" s="1"/>
      <c r="G1763" s="5" t="s">
        <v>64</v>
      </c>
      <c r="H1763" s="1"/>
      <c r="I1763" s="1" t="s">
        <v>64</v>
      </c>
      <c r="J1763" s="1"/>
      <c r="K1763" s="1"/>
      <c r="L1763" s="2" t="s">
        <v>4879</v>
      </c>
      <c r="M1763" s="1"/>
      <c r="N1763" s="1"/>
      <c r="O1763" s="1"/>
      <c r="P1763" s="1"/>
      <c r="Q1763" s="1"/>
      <c r="R1763" s="1"/>
      <c r="S1763" s="1"/>
      <c r="T1763" s="1"/>
      <c r="U1763" s="1"/>
      <c r="V1763" s="1"/>
      <c r="W1763" s="1"/>
      <c r="X1763" s="1"/>
      <c r="Y1763" s="1"/>
      <c r="Z1763" s="1"/>
    </row>
    <row r="1764" spans="1:26" ht="33.75" customHeight="1">
      <c r="A1764" s="1">
        <v>2101</v>
      </c>
      <c r="B1764" s="1" t="s">
        <v>4880</v>
      </c>
      <c r="C1764" s="1" t="s">
        <v>4460</v>
      </c>
      <c r="D1764" s="4">
        <v>39951.46875</v>
      </c>
      <c r="E1764" s="1" t="s">
        <v>84</v>
      </c>
      <c r="F1764" s="1" t="s">
        <v>4878</v>
      </c>
      <c r="G1764" s="5" t="s">
        <v>64</v>
      </c>
      <c r="H1764" s="5" t="s">
        <v>179</v>
      </c>
      <c r="I1764" s="1" t="s">
        <v>179</v>
      </c>
      <c r="J1764" s="1"/>
      <c r="K1764" s="1"/>
      <c r="L1764" s="2" t="s">
        <v>4881</v>
      </c>
      <c r="M1764" s="1"/>
      <c r="N1764" s="1"/>
      <c r="O1764" s="1"/>
      <c r="P1764" s="1"/>
      <c r="Q1764" s="1"/>
      <c r="R1764" s="1"/>
      <c r="S1764" s="1"/>
      <c r="T1764" s="1"/>
      <c r="U1764" s="1"/>
      <c r="V1764" s="1"/>
      <c r="W1764" s="1"/>
      <c r="X1764" s="1"/>
      <c r="Y1764" s="1"/>
      <c r="Z1764" s="1"/>
    </row>
    <row r="1765" spans="1:26" ht="33.75" customHeight="1">
      <c r="A1765" s="1">
        <v>1466</v>
      </c>
      <c r="B1765" s="1" t="s">
        <v>4882</v>
      </c>
      <c r="C1765" s="1" t="s">
        <v>3929</v>
      </c>
      <c r="D1765" s="4">
        <v>39951.92083333333</v>
      </c>
      <c r="E1765" s="1" t="s">
        <v>320</v>
      </c>
      <c r="F1765" s="1"/>
      <c r="G1765" s="5" t="s">
        <v>64</v>
      </c>
      <c r="H1765" s="5" t="s">
        <v>1053</v>
      </c>
      <c r="I1765" s="1" t="s">
        <v>4883</v>
      </c>
      <c r="J1765" s="1"/>
      <c r="K1765" s="1"/>
      <c r="L1765" s="2" t="s">
        <v>4884</v>
      </c>
      <c r="M1765" s="1"/>
      <c r="N1765" s="1"/>
      <c r="O1765" s="1"/>
      <c r="P1765" s="1"/>
      <c r="Q1765" s="1"/>
      <c r="R1765" s="1"/>
      <c r="S1765" s="1"/>
      <c r="T1765" s="1"/>
      <c r="U1765" s="1"/>
      <c r="V1765" s="1"/>
      <c r="W1765" s="1"/>
      <c r="X1765" s="1"/>
      <c r="Y1765" s="1"/>
      <c r="Z1765" s="1"/>
    </row>
    <row r="1766" spans="1:26" ht="33.75" customHeight="1">
      <c r="A1766" s="1">
        <v>1467</v>
      </c>
      <c r="B1766" s="1" t="s">
        <v>4885</v>
      </c>
      <c r="C1766" s="1" t="s">
        <v>3929</v>
      </c>
      <c r="D1766" s="4">
        <v>39951.9375</v>
      </c>
      <c r="E1766" s="1" t="s">
        <v>14</v>
      </c>
      <c r="F1766" s="1" t="s">
        <v>4882</v>
      </c>
      <c r="G1766" s="5" t="s">
        <v>26</v>
      </c>
      <c r="H1766" s="5" t="s">
        <v>133</v>
      </c>
      <c r="I1766" s="1" t="s">
        <v>28</v>
      </c>
      <c r="J1766" s="1" t="s">
        <v>134</v>
      </c>
      <c r="K1766" s="1" t="s">
        <v>26</v>
      </c>
      <c r="L1766" s="2" t="s">
        <v>4886</v>
      </c>
      <c r="M1766" s="1"/>
      <c r="N1766" s="1"/>
      <c r="O1766" s="1"/>
      <c r="P1766" s="1"/>
      <c r="Q1766" s="1"/>
      <c r="R1766" s="1"/>
      <c r="S1766" s="1"/>
      <c r="T1766" s="1"/>
      <c r="U1766" s="1"/>
      <c r="V1766" s="1"/>
      <c r="W1766" s="1"/>
      <c r="X1766" s="1"/>
      <c r="Y1766" s="1"/>
      <c r="Z1766" s="1"/>
    </row>
    <row r="1767" spans="1:26" ht="33.75" customHeight="1">
      <c r="A1767" s="1">
        <v>1468</v>
      </c>
      <c r="B1767" s="1" t="s">
        <v>4887</v>
      </c>
      <c r="C1767" s="1" t="s">
        <v>3929</v>
      </c>
      <c r="D1767" s="4">
        <v>39952.106249999997</v>
      </c>
      <c r="E1767" s="1" t="s">
        <v>320</v>
      </c>
      <c r="F1767" s="1" t="s">
        <v>4885</v>
      </c>
      <c r="G1767" s="5" t="s">
        <v>26</v>
      </c>
      <c r="H1767" s="5" t="s">
        <v>27</v>
      </c>
      <c r="I1767" s="1" t="s">
        <v>28</v>
      </c>
      <c r="J1767" s="1" t="s">
        <v>259</v>
      </c>
      <c r="K1767" s="1"/>
      <c r="L1767" s="2" t="s">
        <v>4888</v>
      </c>
      <c r="M1767" s="1"/>
      <c r="N1767" s="1"/>
      <c r="O1767" s="1"/>
      <c r="P1767" s="1"/>
      <c r="Q1767" s="1"/>
      <c r="R1767" s="1"/>
      <c r="S1767" s="1"/>
      <c r="T1767" s="1"/>
      <c r="U1767" s="1"/>
      <c r="V1767" s="1"/>
      <c r="W1767" s="1"/>
      <c r="X1767" s="1"/>
      <c r="Y1767" s="1"/>
      <c r="Z1767" s="1"/>
    </row>
    <row r="1768" spans="1:26" ht="33.75" customHeight="1">
      <c r="A1768" s="1">
        <v>1469</v>
      </c>
      <c r="B1768" s="1" t="s">
        <v>4889</v>
      </c>
      <c r="C1768" s="1" t="s">
        <v>3929</v>
      </c>
      <c r="D1768" s="4">
        <v>39952.618750000001</v>
      </c>
      <c r="E1768" s="1" t="s">
        <v>320</v>
      </c>
      <c r="F1768" s="1"/>
      <c r="G1768" s="6" t="s">
        <v>78</v>
      </c>
      <c r="H1768" s="5" t="s">
        <v>79</v>
      </c>
      <c r="I1768" s="1" t="s">
        <v>480</v>
      </c>
      <c r="J1768" s="1" t="s">
        <v>481</v>
      </c>
      <c r="K1768" s="1" t="s">
        <v>4890</v>
      </c>
      <c r="L1768" s="2" t="s">
        <v>4891</v>
      </c>
      <c r="M1768" s="1"/>
      <c r="N1768" s="1"/>
      <c r="O1768" s="1"/>
      <c r="P1768" s="1"/>
      <c r="Q1768" s="1"/>
      <c r="R1768" s="1"/>
      <c r="S1768" s="1"/>
      <c r="T1768" s="1"/>
      <c r="U1768" s="1"/>
      <c r="V1768" s="1"/>
      <c r="W1768" s="1"/>
      <c r="X1768" s="1"/>
      <c r="Y1768" s="1"/>
      <c r="Z1768" s="1"/>
    </row>
    <row r="1769" spans="1:26" ht="33.75" customHeight="1">
      <c r="A1769" s="1">
        <v>1470</v>
      </c>
      <c r="B1769" s="1" t="s">
        <v>4892</v>
      </c>
      <c r="C1769" s="1" t="s">
        <v>3929</v>
      </c>
      <c r="D1769" s="4">
        <v>39953.51458333333</v>
      </c>
      <c r="E1769" s="1" t="s">
        <v>14</v>
      </c>
      <c r="F1769" s="1"/>
      <c r="G1769" s="5" t="s">
        <v>64</v>
      </c>
      <c r="H1769" s="5" t="s">
        <v>3663</v>
      </c>
      <c r="I1769" s="1" t="s">
        <v>3664</v>
      </c>
      <c r="J1769" s="1" t="s">
        <v>3651</v>
      </c>
      <c r="K1769" s="1" t="s">
        <v>4893</v>
      </c>
      <c r="L1769" s="2" t="s">
        <v>4894</v>
      </c>
      <c r="M1769" s="1"/>
      <c r="N1769" s="1"/>
      <c r="O1769" s="1"/>
      <c r="P1769" s="1"/>
      <c r="Q1769" s="1"/>
      <c r="R1769" s="1"/>
      <c r="S1769" s="1"/>
      <c r="T1769" s="1"/>
      <c r="U1769" s="1"/>
      <c r="V1769" s="1"/>
      <c r="W1769" s="1"/>
      <c r="X1769" s="1"/>
      <c r="Y1769" s="1"/>
      <c r="Z1769" s="1"/>
    </row>
    <row r="1770" spans="1:26" ht="33.75" customHeight="1">
      <c r="A1770" s="1">
        <v>1471</v>
      </c>
      <c r="B1770" s="1" t="s">
        <v>4895</v>
      </c>
      <c r="C1770" s="1" t="s">
        <v>3929</v>
      </c>
      <c r="D1770" s="4">
        <v>39954.261111111111</v>
      </c>
      <c r="E1770" s="1" t="s">
        <v>320</v>
      </c>
      <c r="F1770" s="1" t="s">
        <v>4892</v>
      </c>
      <c r="G1770" s="5" t="s">
        <v>15</v>
      </c>
      <c r="H1770" s="5" t="s">
        <v>55</v>
      </c>
      <c r="I1770" s="1" t="s">
        <v>2382</v>
      </c>
      <c r="J1770" s="1"/>
      <c r="K1770" s="1"/>
      <c r="L1770" s="2" t="s">
        <v>4896</v>
      </c>
      <c r="M1770" s="1"/>
      <c r="N1770" s="1"/>
      <c r="O1770" s="1"/>
      <c r="P1770" s="1"/>
      <c r="Q1770" s="1"/>
      <c r="R1770" s="1"/>
      <c r="S1770" s="1"/>
      <c r="T1770" s="1"/>
      <c r="U1770" s="1"/>
      <c r="V1770" s="1"/>
      <c r="W1770" s="1"/>
      <c r="X1770" s="1"/>
      <c r="Y1770" s="1"/>
      <c r="Z1770" s="1"/>
    </row>
    <row r="1771" spans="1:26" ht="33.75" customHeight="1">
      <c r="A1771" s="1">
        <v>1472</v>
      </c>
      <c r="B1771" s="1" t="s">
        <v>4897</v>
      </c>
      <c r="C1771" s="1" t="s">
        <v>3929</v>
      </c>
      <c r="D1771" s="4">
        <v>39954.42083333333</v>
      </c>
      <c r="E1771" s="1" t="s">
        <v>14</v>
      </c>
      <c r="F1771" s="1"/>
      <c r="G1771" s="5" t="s">
        <v>64</v>
      </c>
      <c r="H1771" s="5" t="s">
        <v>3663</v>
      </c>
      <c r="I1771" s="1" t="s">
        <v>3664</v>
      </c>
      <c r="J1771" s="1" t="s">
        <v>3651</v>
      </c>
      <c r="K1771" s="1"/>
      <c r="L1771" s="2" t="s">
        <v>4898</v>
      </c>
      <c r="M1771" s="1"/>
      <c r="N1771" s="1"/>
      <c r="O1771" s="1"/>
      <c r="P1771" s="1"/>
      <c r="Q1771" s="1"/>
      <c r="R1771" s="1"/>
      <c r="S1771" s="1"/>
      <c r="T1771" s="1"/>
      <c r="U1771" s="1"/>
      <c r="V1771" s="1"/>
      <c r="W1771" s="1"/>
      <c r="X1771" s="1"/>
      <c r="Y1771" s="1"/>
      <c r="Z1771" s="1"/>
    </row>
    <row r="1772" spans="1:26" ht="33.75" customHeight="1">
      <c r="A1772" s="1">
        <v>1474</v>
      </c>
      <c r="B1772" s="1" t="s">
        <v>4899</v>
      </c>
      <c r="C1772" s="1" t="s">
        <v>3929</v>
      </c>
      <c r="D1772" s="4">
        <v>39954.476388888892</v>
      </c>
      <c r="E1772" s="1" t="s">
        <v>14</v>
      </c>
      <c r="F1772" s="1"/>
      <c r="G1772" s="5" t="s">
        <v>64</v>
      </c>
      <c r="H1772" s="5" t="s">
        <v>3663</v>
      </c>
      <c r="I1772" s="1" t="s">
        <v>3664</v>
      </c>
      <c r="J1772" s="1" t="s">
        <v>3651</v>
      </c>
      <c r="K1772" s="1"/>
      <c r="L1772" s="2" t="s">
        <v>4900</v>
      </c>
      <c r="M1772" s="1"/>
      <c r="N1772" s="1"/>
      <c r="O1772" s="1"/>
      <c r="P1772" s="1"/>
      <c r="Q1772" s="1"/>
      <c r="R1772" s="1"/>
      <c r="S1772" s="1"/>
      <c r="T1772" s="1"/>
      <c r="U1772" s="1"/>
      <c r="V1772" s="1"/>
      <c r="W1772" s="1"/>
      <c r="X1772" s="1"/>
      <c r="Y1772" s="1"/>
      <c r="Z1772" s="1"/>
    </row>
    <row r="1773" spans="1:26" ht="33.75" customHeight="1">
      <c r="A1773" s="1">
        <v>1473</v>
      </c>
      <c r="B1773" s="1" t="s">
        <v>4901</v>
      </c>
      <c r="C1773" s="1" t="s">
        <v>3929</v>
      </c>
      <c r="D1773" s="4">
        <v>39954.661805555559</v>
      </c>
      <c r="E1773" s="1" t="s">
        <v>320</v>
      </c>
      <c r="F1773" s="1" t="s">
        <v>4897</v>
      </c>
      <c r="G1773" s="5" t="s">
        <v>64</v>
      </c>
      <c r="H1773" s="5" t="s">
        <v>3663</v>
      </c>
      <c r="I1773" s="1" t="s">
        <v>3664</v>
      </c>
      <c r="J1773" s="1" t="s">
        <v>3651</v>
      </c>
      <c r="K1773" s="1"/>
      <c r="L1773" s="2" t="s">
        <v>4902</v>
      </c>
      <c r="M1773" s="1"/>
      <c r="N1773" s="1"/>
      <c r="O1773" s="1"/>
      <c r="P1773" s="1"/>
      <c r="Q1773" s="1"/>
      <c r="R1773" s="1"/>
      <c r="S1773" s="1"/>
      <c r="T1773" s="1"/>
      <c r="U1773" s="1"/>
      <c r="V1773" s="1"/>
      <c r="W1773" s="1"/>
      <c r="X1773" s="1"/>
      <c r="Y1773" s="1"/>
      <c r="Z1773" s="1"/>
    </row>
    <row r="1774" spans="1:26" ht="33.75" customHeight="1">
      <c r="A1774" s="1">
        <v>2230</v>
      </c>
      <c r="B1774" s="1" t="s">
        <v>4903</v>
      </c>
      <c r="C1774" s="1" t="s">
        <v>4904</v>
      </c>
      <c r="D1774" s="4">
        <v>39955.761805555558</v>
      </c>
      <c r="E1774" s="1" t="s">
        <v>54</v>
      </c>
      <c r="F1774" s="1"/>
      <c r="G1774" s="5" t="s">
        <v>64</v>
      </c>
      <c r="H1774" s="5" t="s">
        <v>3663</v>
      </c>
      <c r="I1774" s="1" t="s">
        <v>3664</v>
      </c>
      <c r="J1774" s="1" t="s">
        <v>3651</v>
      </c>
      <c r="K1774" s="1" t="s">
        <v>4905</v>
      </c>
      <c r="L1774" s="2" t="s">
        <v>4906</v>
      </c>
      <c r="M1774" s="1"/>
      <c r="N1774" s="1"/>
      <c r="O1774" s="1"/>
      <c r="P1774" s="1"/>
      <c r="Q1774" s="1"/>
      <c r="R1774" s="1"/>
      <c r="S1774" s="1"/>
      <c r="T1774" s="1"/>
      <c r="U1774" s="1"/>
      <c r="V1774" s="1"/>
      <c r="W1774" s="1"/>
      <c r="X1774" s="1"/>
      <c r="Y1774" s="1"/>
      <c r="Z1774" s="1"/>
    </row>
    <row r="1775" spans="1:26" ht="33.75" customHeight="1">
      <c r="A1775" s="1">
        <v>1579</v>
      </c>
      <c r="B1775" s="1" t="s">
        <v>12</v>
      </c>
      <c r="C1775" s="1" t="s">
        <v>4904</v>
      </c>
      <c r="D1775" s="4">
        <v>39956.087476851855</v>
      </c>
      <c r="E1775" s="1" t="s">
        <v>175</v>
      </c>
      <c r="F1775" s="1"/>
      <c r="G1775" s="5" t="s">
        <v>64</v>
      </c>
      <c r="H1775" s="5" t="s">
        <v>65</v>
      </c>
      <c r="I1775" s="1" t="s">
        <v>3844</v>
      </c>
      <c r="J1775" s="1"/>
      <c r="K1775" s="1"/>
      <c r="L1775" s="2" t="s">
        <v>4907</v>
      </c>
      <c r="M1775" s="1"/>
      <c r="N1775" s="1"/>
      <c r="O1775" s="1"/>
      <c r="P1775" s="1"/>
      <c r="Q1775" s="1"/>
      <c r="R1775" s="1"/>
      <c r="S1775" s="1"/>
      <c r="T1775" s="1"/>
      <c r="U1775" s="1"/>
      <c r="V1775" s="1"/>
      <c r="W1775" s="1"/>
      <c r="X1775" s="1"/>
      <c r="Y1775" s="1"/>
      <c r="Z1775" s="1"/>
    </row>
    <row r="1776" spans="1:26" ht="33.75" customHeight="1">
      <c r="A1776" s="1">
        <v>2102</v>
      </c>
      <c r="B1776" s="1" t="s">
        <v>4908</v>
      </c>
      <c r="C1776" s="1" t="s">
        <v>4460</v>
      </c>
      <c r="D1776" s="4">
        <v>39956.445833333331</v>
      </c>
      <c r="E1776" s="1" t="s">
        <v>760</v>
      </c>
      <c r="F1776" s="1"/>
      <c r="G1776" s="5" t="s">
        <v>64</v>
      </c>
      <c r="H1776" s="1"/>
      <c r="I1776" s="1" t="s">
        <v>64</v>
      </c>
      <c r="J1776" s="1"/>
      <c r="K1776" s="1" t="s">
        <v>4909</v>
      </c>
      <c r="L1776" s="2" t="s">
        <v>4910</v>
      </c>
      <c r="M1776" s="1"/>
      <c r="N1776" s="1"/>
      <c r="O1776" s="1"/>
      <c r="P1776" s="1"/>
      <c r="Q1776" s="1"/>
      <c r="R1776" s="1"/>
      <c r="S1776" s="1"/>
      <c r="T1776" s="1"/>
      <c r="U1776" s="1"/>
      <c r="V1776" s="1"/>
      <c r="W1776" s="1"/>
      <c r="X1776" s="1"/>
      <c r="Y1776" s="1"/>
      <c r="Z1776" s="1"/>
    </row>
    <row r="1777" spans="1:26" ht="33.75" customHeight="1">
      <c r="A1777" s="1">
        <v>2231</v>
      </c>
      <c r="B1777" s="1" t="s">
        <v>4911</v>
      </c>
      <c r="C1777" s="1" t="s">
        <v>4904</v>
      </c>
      <c r="D1777" s="4">
        <v>39956.68472222222</v>
      </c>
      <c r="E1777" s="1" t="s">
        <v>772</v>
      </c>
      <c r="F1777" s="1"/>
      <c r="G1777" s="5" t="s">
        <v>15</v>
      </c>
      <c r="H1777" s="5" t="s">
        <v>792</v>
      </c>
      <c r="I1777" s="1" t="s">
        <v>4912</v>
      </c>
      <c r="J1777" s="1"/>
      <c r="K1777" s="1"/>
      <c r="L1777" s="2" t="s">
        <v>4913</v>
      </c>
      <c r="M1777" s="1"/>
      <c r="N1777" s="1"/>
      <c r="O1777" s="1"/>
      <c r="P1777" s="1"/>
      <c r="Q1777" s="1"/>
      <c r="R1777" s="1"/>
      <c r="S1777" s="1"/>
      <c r="T1777" s="1"/>
      <c r="U1777" s="1"/>
      <c r="V1777" s="1"/>
      <c r="W1777" s="1"/>
      <c r="X1777" s="1"/>
      <c r="Y1777" s="1"/>
      <c r="Z1777" s="1"/>
    </row>
    <row r="1778" spans="1:26" ht="33.75" customHeight="1">
      <c r="A1778" s="1">
        <v>2232</v>
      </c>
      <c r="B1778" s="1" t="s">
        <v>4914</v>
      </c>
      <c r="C1778" s="1" t="s">
        <v>4904</v>
      </c>
      <c r="D1778" s="4">
        <v>39956.73333333333</v>
      </c>
      <c r="E1778" s="1" t="s">
        <v>54</v>
      </c>
      <c r="F1778" s="1" t="s">
        <v>4915</v>
      </c>
      <c r="G1778" s="5" t="s">
        <v>64</v>
      </c>
      <c r="H1778" s="1"/>
      <c r="I1778" s="1" t="s">
        <v>64</v>
      </c>
      <c r="J1778" s="1"/>
      <c r="K1778" s="1"/>
      <c r="L1778" s="2" t="s">
        <v>4916</v>
      </c>
      <c r="M1778" s="1"/>
      <c r="N1778" s="1"/>
      <c r="O1778" s="1"/>
      <c r="P1778" s="1"/>
      <c r="Q1778" s="1"/>
      <c r="R1778" s="1"/>
      <c r="S1778" s="1"/>
      <c r="T1778" s="1"/>
      <c r="U1778" s="1"/>
      <c r="V1778" s="1"/>
      <c r="W1778" s="1"/>
      <c r="X1778" s="1"/>
      <c r="Y1778" s="1"/>
      <c r="Z1778" s="1"/>
    </row>
    <row r="1779" spans="1:26" ht="33.75" customHeight="1">
      <c r="A1779" s="1">
        <v>2233</v>
      </c>
      <c r="B1779" s="1" t="s">
        <v>4917</v>
      </c>
      <c r="C1779" s="1" t="s">
        <v>4904</v>
      </c>
      <c r="D1779" s="4">
        <v>39956.745833333334</v>
      </c>
      <c r="E1779" s="1" t="s">
        <v>54</v>
      </c>
      <c r="F1779" s="1"/>
      <c r="G1779" s="5" t="s">
        <v>64</v>
      </c>
      <c r="H1779" s="5" t="s">
        <v>375</v>
      </c>
      <c r="I1779" s="1" t="s">
        <v>900</v>
      </c>
      <c r="J1779" s="1"/>
      <c r="K1779" s="1"/>
      <c r="L1779" s="2" t="s">
        <v>4918</v>
      </c>
      <c r="M1779" s="1"/>
      <c r="N1779" s="1"/>
      <c r="O1779" s="1"/>
      <c r="P1779" s="1"/>
      <c r="Q1779" s="1"/>
      <c r="R1779" s="1"/>
      <c r="S1779" s="1"/>
      <c r="T1779" s="1"/>
      <c r="U1779" s="1"/>
      <c r="V1779" s="1"/>
      <c r="W1779" s="1"/>
      <c r="X1779" s="1"/>
      <c r="Y1779" s="1"/>
      <c r="Z1779" s="1"/>
    </row>
    <row r="1780" spans="1:26" ht="33.75" customHeight="1">
      <c r="A1780" s="1">
        <v>2234</v>
      </c>
      <c r="B1780" s="1" t="s">
        <v>4919</v>
      </c>
      <c r="C1780" s="1" t="s">
        <v>4904</v>
      </c>
      <c r="D1780" s="4">
        <v>39956.792361111111</v>
      </c>
      <c r="E1780" s="1" t="s">
        <v>54</v>
      </c>
      <c r="F1780" s="1"/>
      <c r="G1780" s="5" t="s">
        <v>64</v>
      </c>
      <c r="H1780" s="5" t="s">
        <v>3663</v>
      </c>
      <c r="I1780" s="1" t="s">
        <v>3664</v>
      </c>
      <c r="J1780" s="1" t="s">
        <v>3651</v>
      </c>
      <c r="K1780" s="1" t="s">
        <v>4920</v>
      </c>
      <c r="L1780" s="2" t="s">
        <v>4921</v>
      </c>
      <c r="M1780" s="1"/>
      <c r="N1780" s="1"/>
      <c r="O1780" s="1"/>
      <c r="P1780" s="1"/>
      <c r="Q1780" s="1"/>
      <c r="R1780" s="1"/>
      <c r="S1780" s="1"/>
      <c r="T1780" s="1"/>
      <c r="U1780" s="1"/>
      <c r="V1780" s="1"/>
      <c r="W1780" s="1"/>
      <c r="X1780" s="1"/>
      <c r="Y1780" s="1"/>
      <c r="Z1780" s="1"/>
    </row>
    <row r="1781" spans="1:26" ht="33.75" customHeight="1">
      <c r="A1781" s="1">
        <v>2235</v>
      </c>
      <c r="B1781" s="1" t="s">
        <v>4922</v>
      </c>
      <c r="C1781" s="1" t="s">
        <v>4904</v>
      </c>
      <c r="D1781" s="4">
        <v>39957.578472222223</v>
      </c>
      <c r="E1781" s="1" t="s">
        <v>54</v>
      </c>
      <c r="F1781" s="1"/>
      <c r="G1781" s="5" t="s">
        <v>64</v>
      </c>
      <c r="H1781" s="5" t="s">
        <v>3663</v>
      </c>
      <c r="I1781" s="1" t="s">
        <v>3664</v>
      </c>
      <c r="J1781" s="1" t="s">
        <v>3651</v>
      </c>
      <c r="K1781" s="1" t="s">
        <v>4923</v>
      </c>
      <c r="L1781" s="2" t="s">
        <v>4924</v>
      </c>
      <c r="M1781" s="1"/>
      <c r="N1781" s="1"/>
      <c r="O1781" s="1"/>
      <c r="P1781" s="1"/>
      <c r="Q1781" s="1"/>
      <c r="R1781" s="1"/>
      <c r="S1781" s="1"/>
      <c r="T1781" s="1"/>
      <c r="U1781" s="1"/>
      <c r="V1781" s="1"/>
      <c r="W1781" s="1"/>
      <c r="X1781" s="1"/>
      <c r="Y1781" s="1"/>
      <c r="Z1781" s="1"/>
    </row>
    <row r="1782" spans="1:26" ht="33.75" customHeight="1">
      <c r="A1782" s="1">
        <v>2236</v>
      </c>
      <c r="B1782" s="1" t="s">
        <v>4925</v>
      </c>
      <c r="C1782" s="1" t="s">
        <v>4904</v>
      </c>
      <c r="D1782" s="4">
        <v>39957.579861111109</v>
      </c>
      <c r="E1782" s="1" t="s">
        <v>772</v>
      </c>
      <c r="F1782" s="1"/>
      <c r="G1782" s="5" t="s">
        <v>64</v>
      </c>
      <c r="H1782" s="5" t="s">
        <v>3663</v>
      </c>
      <c r="I1782" s="1" t="s">
        <v>3664</v>
      </c>
      <c r="J1782" s="1" t="s">
        <v>4861</v>
      </c>
      <c r="K1782" s="1" t="s">
        <v>4926</v>
      </c>
      <c r="L1782" s="2" t="s">
        <v>4927</v>
      </c>
      <c r="M1782" s="1"/>
      <c r="N1782" s="1"/>
      <c r="O1782" s="1"/>
      <c r="P1782" s="1"/>
      <c r="Q1782" s="1"/>
      <c r="R1782" s="1"/>
      <c r="S1782" s="1"/>
      <c r="T1782" s="1"/>
      <c r="U1782" s="1"/>
      <c r="V1782" s="1"/>
      <c r="W1782" s="1"/>
      <c r="X1782" s="1"/>
      <c r="Y1782" s="1"/>
      <c r="Z1782" s="1"/>
    </row>
    <row r="1783" spans="1:26" ht="33.75" customHeight="1">
      <c r="A1783" s="1">
        <v>2237</v>
      </c>
      <c r="B1783" s="1" t="s">
        <v>4928</v>
      </c>
      <c r="C1783" s="1" t="s">
        <v>4904</v>
      </c>
      <c r="D1783" s="4">
        <v>39957.591666666667</v>
      </c>
      <c r="E1783" s="1" t="s">
        <v>772</v>
      </c>
      <c r="F1783" s="1"/>
      <c r="G1783" s="5" t="s">
        <v>64</v>
      </c>
      <c r="H1783" s="5" t="s">
        <v>1053</v>
      </c>
      <c r="I1783" s="1" t="s">
        <v>213</v>
      </c>
      <c r="J1783" s="1" t="s">
        <v>3040</v>
      </c>
      <c r="K1783" s="1"/>
      <c r="L1783" s="2" t="s">
        <v>4929</v>
      </c>
      <c r="M1783" s="1"/>
      <c r="N1783" s="1"/>
      <c r="O1783" s="1"/>
      <c r="P1783" s="1"/>
      <c r="Q1783" s="1"/>
      <c r="R1783" s="1"/>
      <c r="S1783" s="1"/>
      <c r="T1783" s="1"/>
      <c r="U1783" s="1"/>
      <c r="V1783" s="1"/>
      <c r="W1783" s="1"/>
      <c r="X1783" s="1"/>
      <c r="Y1783" s="1"/>
      <c r="Z1783" s="1"/>
    </row>
    <row r="1784" spans="1:26" ht="33.75" customHeight="1">
      <c r="A1784" s="1">
        <v>2238</v>
      </c>
      <c r="B1784" s="1" t="s">
        <v>4930</v>
      </c>
      <c r="C1784" s="1" t="s">
        <v>4904</v>
      </c>
      <c r="D1784" s="4">
        <v>39957.618750000001</v>
      </c>
      <c r="E1784" s="1" t="s">
        <v>2893</v>
      </c>
      <c r="F1784" s="1"/>
      <c r="G1784" s="5" t="s">
        <v>64</v>
      </c>
      <c r="H1784" s="5" t="s">
        <v>3663</v>
      </c>
      <c r="I1784" s="1" t="s">
        <v>3664</v>
      </c>
      <c r="J1784" s="1" t="s">
        <v>3651</v>
      </c>
      <c r="K1784" s="1" t="s">
        <v>4931</v>
      </c>
      <c r="L1784" s="2" t="s">
        <v>4932</v>
      </c>
      <c r="M1784" s="1"/>
      <c r="N1784" s="1"/>
      <c r="O1784" s="1"/>
      <c r="P1784" s="1"/>
      <c r="Q1784" s="1"/>
      <c r="R1784" s="1"/>
      <c r="S1784" s="1"/>
      <c r="T1784" s="1"/>
      <c r="U1784" s="1"/>
      <c r="V1784" s="1"/>
      <c r="W1784" s="1"/>
      <c r="X1784" s="1"/>
      <c r="Y1784" s="1"/>
      <c r="Z1784" s="1"/>
    </row>
    <row r="1785" spans="1:26" ht="33.75" customHeight="1">
      <c r="A1785" s="1">
        <v>2239</v>
      </c>
      <c r="B1785" s="1" t="s">
        <v>4933</v>
      </c>
      <c r="C1785" s="1" t="s">
        <v>4904</v>
      </c>
      <c r="D1785" s="4">
        <v>39957.709027777775</v>
      </c>
      <c r="E1785" s="1" t="s">
        <v>54</v>
      </c>
      <c r="F1785" s="1" t="s">
        <v>4930</v>
      </c>
      <c r="G1785" s="5" t="s">
        <v>64</v>
      </c>
      <c r="H1785" s="5" t="s">
        <v>3663</v>
      </c>
      <c r="I1785" s="1" t="s">
        <v>3664</v>
      </c>
      <c r="J1785" s="1" t="s">
        <v>3651</v>
      </c>
      <c r="K1785" s="1"/>
      <c r="L1785" s="2" t="s">
        <v>4934</v>
      </c>
      <c r="M1785" s="1"/>
      <c r="N1785" s="1"/>
      <c r="O1785" s="1"/>
      <c r="P1785" s="1"/>
      <c r="Q1785" s="1"/>
      <c r="R1785" s="1"/>
      <c r="S1785" s="1"/>
      <c r="T1785" s="1"/>
      <c r="U1785" s="1"/>
      <c r="V1785" s="1"/>
      <c r="W1785" s="1"/>
      <c r="X1785" s="1"/>
      <c r="Y1785" s="1"/>
      <c r="Z1785" s="1"/>
    </row>
    <row r="1786" spans="1:26" ht="33.75" customHeight="1">
      <c r="A1786" s="1">
        <v>2240</v>
      </c>
      <c r="B1786" s="1" t="s">
        <v>4935</v>
      </c>
      <c r="C1786" s="1" t="s">
        <v>4904</v>
      </c>
      <c r="D1786" s="4">
        <v>39958.212500000001</v>
      </c>
      <c r="E1786" s="1" t="s">
        <v>2893</v>
      </c>
      <c r="F1786" s="1" t="s">
        <v>4933</v>
      </c>
      <c r="G1786" s="5" t="s">
        <v>64</v>
      </c>
      <c r="H1786" s="5" t="s">
        <v>1053</v>
      </c>
      <c r="I1786" s="1" t="s">
        <v>4936</v>
      </c>
      <c r="J1786" s="1"/>
      <c r="K1786" s="1"/>
      <c r="L1786" s="2" t="s">
        <v>4937</v>
      </c>
      <c r="M1786" s="1"/>
      <c r="N1786" s="1"/>
      <c r="O1786" s="1"/>
      <c r="P1786" s="1"/>
      <c r="Q1786" s="1"/>
      <c r="R1786" s="1"/>
      <c r="S1786" s="1"/>
      <c r="T1786" s="1"/>
      <c r="U1786" s="1"/>
      <c r="V1786" s="1"/>
      <c r="W1786" s="1"/>
      <c r="X1786" s="1"/>
      <c r="Y1786" s="1"/>
      <c r="Z1786" s="1"/>
    </row>
    <row r="1787" spans="1:26" ht="33.75" customHeight="1">
      <c r="A1787" s="1">
        <v>1475</v>
      </c>
      <c r="B1787" s="1" t="s">
        <v>4938</v>
      </c>
      <c r="C1787" s="1" t="s">
        <v>3929</v>
      </c>
      <c r="D1787" s="4">
        <v>39958.243750000001</v>
      </c>
      <c r="E1787" s="1" t="s">
        <v>320</v>
      </c>
      <c r="F1787" s="1"/>
      <c r="G1787" s="5" t="s">
        <v>64</v>
      </c>
      <c r="H1787" s="5" t="s">
        <v>3663</v>
      </c>
      <c r="I1787" s="1" t="s">
        <v>3664</v>
      </c>
      <c r="J1787" s="1" t="s">
        <v>4847</v>
      </c>
      <c r="K1787" s="1" t="s">
        <v>4939</v>
      </c>
      <c r="L1787" s="2" t="s">
        <v>4940</v>
      </c>
      <c r="M1787" s="1"/>
      <c r="N1787" s="1"/>
      <c r="O1787" s="1"/>
      <c r="P1787" s="1"/>
      <c r="Q1787" s="1"/>
      <c r="R1787" s="1"/>
      <c r="S1787" s="1"/>
      <c r="T1787" s="1"/>
      <c r="U1787" s="1"/>
      <c r="V1787" s="1"/>
      <c r="W1787" s="1"/>
      <c r="X1787" s="1"/>
      <c r="Y1787" s="1"/>
      <c r="Z1787" s="1"/>
    </row>
    <row r="1788" spans="1:26" ht="33.75" customHeight="1">
      <c r="A1788" s="1">
        <v>2241</v>
      </c>
      <c r="B1788" s="1" t="s">
        <v>4941</v>
      </c>
      <c r="C1788" s="1" t="s">
        <v>4904</v>
      </c>
      <c r="D1788" s="4">
        <v>39958.256944444445</v>
      </c>
      <c r="E1788" s="1" t="s">
        <v>4942</v>
      </c>
      <c r="F1788" s="1"/>
      <c r="G1788" s="5" t="s">
        <v>33</v>
      </c>
      <c r="H1788" s="5" t="s">
        <v>34</v>
      </c>
      <c r="I1788" s="1" t="s">
        <v>35</v>
      </c>
      <c r="J1788" s="1"/>
      <c r="K1788" s="1" t="s">
        <v>4943</v>
      </c>
      <c r="L1788" s="2" t="s">
        <v>4944</v>
      </c>
      <c r="M1788" s="1"/>
      <c r="N1788" s="1"/>
      <c r="O1788" s="1"/>
      <c r="P1788" s="1"/>
      <c r="Q1788" s="1"/>
      <c r="R1788" s="1"/>
      <c r="S1788" s="1"/>
      <c r="T1788" s="1"/>
      <c r="U1788" s="1"/>
      <c r="V1788" s="1"/>
      <c r="W1788" s="1"/>
      <c r="X1788" s="1"/>
      <c r="Y1788" s="1"/>
      <c r="Z1788" s="1"/>
    </row>
    <row r="1789" spans="1:26" ht="33.75" customHeight="1">
      <c r="A1789" s="1">
        <v>2242</v>
      </c>
      <c r="B1789" s="1" t="s">
        <v>4945</v>
      </c>
      <c r="C1789" s="1" t="s">
        <v>4904</v>
      </c>
      <c r="D1789" s="4">
        <v>39958.924305555556</v>
      </c>
      <c r="E1789" s="1" t="s">
        <v>54</v>
      </c>
      <c r="F1789" s="1"/>
      <c r="G1789" s="5" t="s">
        <v>64</v>
      </c>
      <c r="H1789" s="5" t="s">
        <v>3663</v>
      </c>
      <c r="I1789" s="1" t="s">
        <v>3664</v>
      </c>
      <c r="J1789" s="1" t="s">
        <v>4847</v>
      </c>
      <c r="K1789" s="1"/>
      <c r="L1789" s="2" t="s">
        <v>4946</v>
      </c>
      <c r="M1789" s="1"/>
      <c r="N1789" s="1"/>
      <c r="O1789" s="1"/>
      <c r="P1789" s="1"/>
      <c r="Q1789" s="1"/>
      <c r="R1789" s="1"/>
      <c r="S1789" s="1"/>
      <c r="T1789" s="1"/>
      <c r="U1789" s="1"/>
      <c r="V1789" s="1"/>
      <c r="W1789" s="1"/>
      <c r="X1789" s="1"/>
      <c r="Y1789" s="1"/>
      <c r="Z1789" s="1"/>
    </row>
    <row r="1790" spans="1:26" ht="33.75" customHeight="1">
      <c r="A1790" s="1">
        <v>1352</v>
      </c>
      <c r="B1790" s="1" t="s">
        <v>4947</v>
      </c>
      <c r="C1790" s="1" t="s">
        <v>3255</v>
      </c>
      <c r="D1790" s="4">
        <v>39958.973611111112</v>
      </c>
      <c r="E1790" s="1" t="s">
        <v>4948</v>
      </c>
      <c r="F1790" s="1" t="s">
        <v>4949</v>
      </c>
      <c r="G1790" s="5" t="s">
        <v>15</v>
      </c>
      <c r="H1790" s="5" t="s">
        <v>22</v>
      </c>
      <c r="I1790" s="1" t="s">
        <v>23</v>
      </c>
      <c r="J1790" s="1"/>
      <c r="K1790" s="1" t="s">
        <v>4950</v>
      </c>
      <c r="L1790" s="2" t="s">
        <v>4951</v>
      </c>
      <c r="M1790" s="1"/>
      <c r="N1790" s="1"/>
      <c r="O1790" s="1"/>
      <c r="P1790" s="1"/>
      <c r="Q1790" s="1"/>
      <c r="R1790" s="1"/>
      <c r="S1790" s="1"/>
      <c r="T1790" s="1"/>
      <c r="U1790" s="1"/>
      <c r="V1790" s="1"/>
      <c r="W1790" s="1"/>
      <c r="X1790" s="1"/>
      <c r="Y1790" s="1"/>
      <c r="Z1790" s="1"/>
    </row>
    <row r="1791" spans="1:26" ht="33.75" customHeight="1">
      <c r="A1791" s="1">
        <v>1476</v>
      </c>
      <c r="B1791" s="1" t="s">
        <v>4952</v>
      </c>
      <c r="C1791" s="1" t="s">
        <v>3929</v>
      </c>
      <c r="D1791" s="4">
        <v>39959.49722222222</v>
      </c>
      <c r="E1791" s="1" t="s">
        <v>14</v>
      </c>
      <c r="F1791" s="1" t="s">
        <v>4938</v>
      </c>
      <c r="G1791" s="5" t="s">
        <v>15</v>
      </c>
      <c r="H1791" s="5" t="s">
        <v>55</v>
      </c>
      <c r="I1791" s="1" t="s">
        <v>2382</v>
      </c>
      <c r="J1791" s="1"/>
      <c r="K1791" s="1"/>
      <c r="L1791" s="2" t="s">
        <v>4953</v>
      </c>
      <c r="M1791" s="1"/>
      <c r="N1791" s="1"/>
      <c r="O1791" s="1"/>
      <c r="P1791" s="1"/>
      <c r="Q1791" s="1"/>
      <c r="R1791" s="1"/>
      <c r="S1791" s="1"/>
      <c r="T1791" s="1"/>
      <c r="U1791" s="1"/>
      <c r="V1791" s="1"/>
      <c r="W1791" s="1"/>
      <c r="X1791" s="1"/>
      <c r="Y1791" s="1"/>
      <c r="Z1791" s="1"/>
    </row>
    <row r="1792" spans="1:26" ht="33.75" customHeight="1">
      <c r="A1792" s="1">
        <v>2243</v>
      </c>
      <c r="B1792" s="1" t="s">
        <v>4954</v>
      </c>
      <c r="C1792" s="1" t="s">
        <v>4904</v>
      </c>
      <c r="D1792" s="4">
        <v>39959.545138888891</v>
      </c>
      <c r="E1792" s="1" t="s">
        <v>320</v>
      </c>
      <c r="F1792" s="1" t="s">
        <v>4919</v>
      </c>
      <c r="G1792" s="5" t="s">
        <v>64</v>
      </c>
      <c r="H1792" s="5" t="s">
        <v>3663</v>
      </c>
      <c r="I1792" s="1" t="s">
        <v>3664</v>
      </c>
      <c r="J1792" s="1" t="s">
        <v>3651</v>
      </c>
      <c r="K1792" s="1" t="s">
        <v>4955</v>
      </c>
      <c r="L1792" s="2" t="s">
        <v>4956</v>
      </c>
      <c r="M1792" s="1"/>
      <c r="N1792" s="1"/>
      <c r="O1792" s="1"/>
      <c r="P1792" s="1"/>
      <c r="Q1792" s="1"/>
      <c r="R1792" s="1"/>
      <c r="S1792" s="1"/>
      <c r="T1792" s="1"/>
      <c r="U1792" s="1"/>
      <c r="V1792" s="1"/>
      <c r="W1792" s="1"/>
      <c r="X1792" s="1"/>
      <c r="Y1792" s="1"/>
      <c r="Z1792" s="1"/>
    </row>
    <row r="1793" spans="1:26" ht="33.75" customHeight="1">
      <c r="A1793" s="1">
        <v>2244</v>
      </c>
      <c r="B1793" s="1" t="s">
        <v>4957</v>
      </c>
      <c r="C1793" s="1" t="s">
        <v>4904</v>
      </c>
      <c r="D1793" s="4">
        <v>39960.340277777781</v>
      </c>
      <c r="E1793" s="1" t="s">
        <v>1089</v>
      </c>
      <c r="F1793" s="1"/>
      <c r="G1793" s="5" t="s">
        <v>64</v>
      </c>
      <c r="H1793" s="5" t="s">
        <v>3663</v>
      </c>
      <c r="I1793" s="1" t="s">
        <v>3664</v>
      </c>
      <c r="J1793" s="1" t="s">
        <v>3651</v>
      </c>
      <c r="K1793" s="1"/>
      <c r="L1793" s="2" t="s">
        <v>4958</v>
      </c>
      <c r="M1793" s="1"/>
      <c r="N1793" s="1"/>
      <c r="O1793" s="1"/>
      <c r="P1793" s="1"/>
      <c r="Q1793" s="1"/>
      <c r="R1793" s="1"/>
      <c r="S1793" s="1"/>
      <c r="T1793" s="1"/>
      <c r="U1793" s="1"/>
      <c r="V1793" s="1"/>
      <c r="W1793" s="1"/>
      <c r="X1793" s="1"/>
      <c r="Y1793" s="1"/>
      <c r="Z1793" s="1"/>
    </row>
    <row r="1794" spans="1:26" ht="33.75" customHeight="1">
      <c r="A1794" s="1">
        <v>2245</v>
      </c>
      <c r="B1794" s="1" t="s">
        <v>4959</v>
      </c>
      <c r="C1794" s="1" t="s">
        <v>4904</v>
      </c>
      <c r="D1794" s="4">
        <v>39960.490972222222</v>
      </c>
      <c r="E1794" s="1" t="s">
        <v>54</v>
      </c>
      <c r="F1794" s="1" t="s">
        <v>4957</v>
      </c>
      <c r="G1794" s="5" t="s">
        <v>64</v>
      </c>
      <c r="H1794" s="5" t="s">
        <v>3663</v>
      </c>
      <c r="I1794" s="1" t="s">
        <v>3664</v>
      </c>
      <c r="J1794" s="1" t="s">
        <v>3651</v>
      </c>
      <c r="K1794" s="1"/>
      <c r="L1794" s="2" t="s">
        <v>4960</v>
      </c>
      <c r="M1794" s="1"/>
      <c r="N1794" s="1"/>
      <c r="O1794" s="1"/>
      <c r="P1794" s="1"/>
      <c r="Q1794" s="1"/>
      <c r="R1794" s="1"/>
      <c r="S1794" s="1"/>
      <c r="T1794" s="1"/>
      <c r="U1794" s="1"/>
      <c r="V1794" s="1"/>
      <c r="W1794" s="1"/>
      <c r="X1794" s="1"/>
      <c r="Y1794" s="1"/>
      <c r="Z1794" s="1"/>
    </row>
    <row r="1795" spans="1:26" ht="33.75" customHeight="1">
      <c r="A1795" s="1">
        <v>2246</v>
      </c>
      <c r="B1795" s="1" t="s">
        <v>4961</v>
      </c>
      <c r="C1795" s="1" t="s">
        <v>4904</v>
      </c>
      <c r="D1795" s="4">
        <v>39961.40347222222</v>
      </c>
      <c r="E1795" s="1" t="s">
        <v>772</v>
      </c>
      <c r="F1795" s="1"/>
      <c r="G1795" s="5" t="s">
        <v>15</v>
      </c>
      <c r="H1795" s="5" t="s">
        <v>150</v>
      </c>
      <c r="I1795" s="1" t="s">
        <v>1803</v>
      </c>
      <c r="J1795" s="1"/>
      <c r="K1795" s="1" t="s">
        <v>2841</v>
      </c>
      <c r="L1795" s="2" t="s">
        <v>4962</v>
      </c>
      <c r="M1795" s="1"/>
      <c r="N1795" s="1"/>
      <c r="O1795" s="1"/>
      <c r="P1795" s="1"/>
      <c r="Q1795" s="1"/>
      <c r="R1795" s="1"/>
      <c r="S1795" s="1"/>
      <c r="T1795" s="1"/>
      <c r="U1795" s="1"/>
      <c r="V1795" s="1"/>
      <c r="W1795" s="1"/>
      <c r="X1795" s="1"/>
      <c r="Y1795" s="1"/>
      <c r="Z1795" s="1"/>
    </row>
    <row r="1796" spans="1:26" ht="33.75" customHeight="1">
      <c r="A1796" s="1">
        <v>2247</v>
      </c>
      <c r="B1796" s="1" t="s">
        <v>4963</v>
      </c>
      <c r="C1796" s="1" t="s">
        <v>4904</v>
      </c>
      <c r="D1796" s="4">
        <v>39961.404861111114</v>
      </c>
      <c r="E1796" s="1" t="s">
        <v>772</v>
      </c>
      <c r="F1796" s="1" t="s">
        <v>4961</v>
      </c>
      <c r="G1796" s="5" t="s">
        <v>64</v>
      </c>
      <c r="H1796" s="5" t="s">
        <v>282</v>
      </c>
      <c r="I1796" s="1" t="s">
        <v>283</v>
      </c>
      <c r="J1796" s="1"/>
      <c r="K1796" s="1"/>
      <c r="L1796" s="2" t="s">
        <v>4964</v>
      </c>
      <c r="M1796" s="1"/>
      <c r="N1796" s="1"/>
      <c r="O1796" s="1"/>
      <c r="P1796" s="1"/>
      <c r="Q1796" s="1"/>
      <c r="R1796" s="1"/>
      <c r="S1796" s="1"/>
      <c r="T1796" s="1"/>
      <c r="U1796" s="1"/>
      <c r="V1796" s="1"/>
      <c r="W1796" s="1"/>
      <c r="X1796" s="1"/>
      <c r="Y1796" s="1"/>
      <c r="Z1796" s="1"/>
    </row>
    <row r="1797" spans="1:26" ht="33.75" customHeight="1">
      <c r="A1797" s="1">
        <v>2248</v>
      </c>
      <c r="B1797" s="1" t="s">
        <v>4965</v>
      </c>
      <c r="C1797" s="1" t="s">
        <v>4904</v>
      </c>
      <c r="D1797" s="4">
        <v>39961.40625</v>
      </c>
      <c r="E1797" s="1" t="s">
        <v>772</v>
      </c>
      <c r="F1797" s="1" t="s">
        <v>4961</v>
      </c>
      <c r="G1797" s="5" t="s">
        <v>64</v>
      </c>
      <c r="H1797" s="5" t="s">
        <v>282</v>
      </c>
      <c r="I1797" s="1" t="s">
        <v>283</v>
      </c>
      <c r="J1797" s="1"/>
      <c r="K1797" s="1"/>
      <c r="L1797" s="2" t="s">
        <v>4966</v>
      </c>
      <c r="M1797" s="1"/>
      <c r="N1797" s="1"/>
      <c r="O1797" s="1"/>
      <c r="P1797" s="1"/>
      <c r="Q1797" s="1"/>
      <c r="R1797" s="1"/>
      <c r="S1797" s="1"/>
      <c r="T1797" s="1"/>
      <c r="U1797" s="1"/>
      <c r="V1797" s="1"/>
      <c r="W1797" s="1"/>
      <c r="X1797" s="1"/>
      <c r="Y1797" s="1"/>
      <c r="Z1797" s="1"/>
    </row>
    <row r="1798" spans="1:26" ht="33.75" customHeight="1">
      <c r="A1798" s="1">
        <v>2249</v>
      </c>
      <c r="B1798" s="1" t="s">
        <v>4967</v>
      </c>
      <c r="C1798" s="1" t="s">
        <v>4904</v>
      </c>
      <c r="D1798" s="4">
        <v>39963.45416666667</v>
      </c>
      <c r="E1798" s="1" t="s">
        <v>772</v>
      </c>
      <c r="F1798" s="1"/>
      <c r="G1798" s="5" t="s">
        <v>33</v>
      </c>
      <c r="H1798" s="5" t="s">
        <v>34</v>
      </c>
      <c r="I1798" s="1" t="s">
        <v>1605</v>
      </c>
      <c r="J1798" s="1"/>
      <c r="K1798" s="1" t="s">
        <v>4968</v>
      </c>
      <c r="L1798" s="2" t="s">
        <v>4969</v>
      </c>
      <c r="M1798" s="1"/>
      <c r="N1798" s="1"/>
      <c r="O1798" s="1"/>
      <c r="P1798" s="1"/>
      <c r="Q1798" s="1"/>
      <c r="R1798" s="1"/>
      <c r="S1798" s="1"/>
      <c r="T1798" s="1"/>
      <c r="U1798" s="1"/>
      <c r="V1798" s="1"/>
      <c r="W1798" s="1"/>
      <c r="X1798" s="1"/>
      <c r="Y1798" s="1"/>
      <c r="Z1798" s="1"/>
    </row>
    <row r="1799" spans="1:26" ht="33.75" customHeight="1">
      <c r="A1799" s="1">
        <v>2250</v>
      </c>
      <c r="B1799" s="1" t="s">
        <v>4970</v>
      </c>
      <c r="C1799" s="1" t="s">
        <v>4904</v>
      </c>
      <c r="D1799" s="4">
        <v>39964.470833333333</v>
      </c>
      <c r="E1799" s="1" t="s">
        <v>772</v>
      </c>
      <c r="F1799" s="1"/>
      <c r="G1799" s="5" t="s">
        <v>33</v>
      </c>
      <c r="H1799" s="5" t="s">
        <v>34</v>
      </c>
      <c r="I1799" s="1" t="s">
        <v>1605</v>
      </c>
      <c r="J1799" s="1"/>
      <c r="K1799" s="1" t="s">
        <v>4968</v>
      </c>
      <c r="L1799" s="2" t="s">
        <v>4971</v>
      </c>
      <c r="M1799" s="1"/>
      <c r="N1799" s="1"/>
      <c r="O1799" s="1"/>
      <c r="P1799" s="1"/>
      <c r="Q1799" s="1"/>
      <c r="R1799" s="1"/>
      <c r="S1799" s="1"/>
      <c r="T1799" s="1"/>
      <c r="U1799" s="1"/>
      <c r="V1799" s="1"/>
      <c r="W1799" s="1"/>
      <c r="X1799" s="1"/>
      <c r="Y1799" s="1"/>
      <c r="Z1799" s="1"/>
    </row>
    <row r="1800" spans="1:26" ht="33.75" customHeight="1">
      <c r="A1800" s="1">
        <v>2251</v>
      </c>
      <c r="B1800" s="1" t="s">
        <v>4972</v>
      </c>
      <c r="C1800" s="1" t="s">
        <v>4904</v>
      </c>
      <c r="D1800" s="4">
        <v>39964.480555555558</v>
      </c>
      <c r="E1800" s="1" t="s">
        <v>54</v>
      </c>
      <c r="F1800" s="1"/>
      <c r="G1800" s="5" t="s">
        <v>15</v>
      </c>
      <c r="H1800" s="5" t="s">
        <v>22</v>
      </c>
      <c r="I1800" s="1" t="s">
        <v>23</v>
      </c>
      <c r="J1800" s="1" t="s">
        <v>3651</v>
      </c>
      <c r="K1800" s="1"/>
      <c r="L1800" s="2" t="s">
        <v>4973</v>
      </c>
      <c r="M1800" s="1"/>
      <c r="N1800" s="1"/>
      <c r="O1800" s="1"/>
      <c r="P1800" s="1"/>
      <c r="Q1800" s="1"/>
      <c r="R1800" s="1"/>
      <c r="S1800" s="1"/>
      <c r="T1800" s="1"/>
      <c r="U1800" s="1"/>
      <c r="V1800" s="1"/>
      <c r="W1800" s="1"/>
      <c r="X1800" s="1"/>
      <c r="Y1800" s="1"/>
      <c r="Z1800" s="1"/>
    </row>
    <row r="1801" spans="1:26" ht="33.75" customHeight="1">
      <c r="A1801" s="1">
        <v>2252</v>
      </c>
      <c r="B1801" s="1" t="s">
        <v>4974</v>
      </c>
      <c r="C1801" s="1" t="s">
        <v>4904</v>
      </c>
      <c r="D1801" s="4">
        <v>39964.525694444441</v>
      </c>
      <c r="E1801" s="1" t="s">
        <v>1887</v>
      </c>
      <c r="F1801" s="1"/>
      <c r="G1801" s="5" t="s">
        <v>64</v>
      </c>
      <c r="H1801" s="5" t="s">
        <v>3663</v>
      </c>
      <c r="I1801" s="1" t="s">
        <v>3664</v>
      </c>
      <c r="J1801" s="1" t="s">
        <v>3651</v>
      </c>
      <c r="K1801" s="1"/>
      <c r="L1801" s="2" t="s">
        <v>4975</v>
      </c>
      <c r="M1801" s="1"/>
      <c r="N1801" s="1"/>
      <c r="O1801" s="1"/>
      <c r="P1801" s="1"/>
      <c r="Q1801" s="1"/>
      <c r="R1801" s="1"/>
      <c r="S1801" s="1"/>
      <c r="T1801" s="1"/>
      <c r="U1801" s="1"/>
      <c r="V1801" s="1"/>
      <c r="W1801" s="1"/>
      <c r="X1801" s="1"/>
      <c r="Y1801" s="1"/>
      <c r="Z1801" s="1"/>
    </row>
    <row r="1802" spans="1:26" ht="33.75" customHeight="1">
      <c r="A1802" s="1">
        <v>2253</v>
      </c>
      <c r="B1802" s="1" t="s">
        <v>4976</v>
      </c>
      <c r="C1802" s="1" t="s">
        <v>4904</v>
      </c>
      <c r="D1802" s="4">
        <v>39964.745833333334</v>
      </c>
      <c r="E1802" s="1" t="s">
        <v>54</v>
      </c>
      <c r="F1802" s="1"/>
      <c r="G1802" s="5" t="s">
        <v>64</v>
      </c>
      <c r="H1802" s="5" t="s">
        <v>3663</v>
      </c>
      <c r="I1802" s="1" t="s">
        <v>3664</v>
      </c>
      <c r="J1802" s="1" t="s">
        <v>3651</v>
      </c>
      <c r="K1802" s="1" t="s">
        <v>4977</v>
      </c>
      <c r="L1802" s="2" t="s">
        <v>4978</v>
      </c>
      <c r="M1802" s="1"/>
      <c r="N1802" s="1"/>
      <c r="O1802" s="1"/>
      <c r="P1802" s="1"/>
      <c r="Q1802" s="1"/>
      <c r="R1802" s="1"/>
      <c r="S1802" s="1"/>
      <c r="T1802" s="1"/>
      <c r="U1802" s="1"/>
      <c r="V1802" s="1"/>
      <c r="W1802" s="1"/>
      <c r="X1802" s="1"/>
      <c r="Y1802" s="1"/>
      <c r="Z1802" s="1"/>
    </row>
    <row r="1803" spans="1:26" ht="33.75" customHeight="1">
      <c r="A1803" s="1">
        <v>2254</v>
      </c>
      <c r="B1803" s="1" t="s">
        <v>4979</v>
      </c>
      <c r="C1803" s="1" t="s">
        <v>4904</v>
      </c>
      <c r="D1803" s="4">
        <v>39964.90347222222</v>
      </c>
      <c r="E1803" s="1" t="s">
        <v>1089</v>
      </c>
      <c r="F1803" s="1"/>
      <c r="G1803" s="5" t="s">
        <v>64</v>
      </c>
      <c r="H1803" s="5" t="s">
        <v>263</v>
      </c>
      <c r="I1803" s="1" t="s">
        <v>64</v>
      </c>
      <c r="J1803" s="1" t="s">
        <v>450</v>
      </c>
      <c r="K1803" s="1"/>
      <c r="L1803" s="2" t="s">
        <v>4980</v>
      </c>
      <c r="M1803" s="1"/>
      <c r="N1803" s="1"/>
      <c r="O1803" s="1"/>
      <c r="P1803" s="1"/>
      <c r="Q1803" s="1"/>
      <c r="R1803" s="1"/>
      <c r="S1803" s="1"/>
      <c r="T1803" s="1"/>
      <c r="U1803" s="1"/>
      <c r="V1803" s="1"/>
      <c r="W1803" s="1"/>
      <c r="X1803" s="1"/>
      <c r="Y1803" s="1"/>
      <c r="Z1803" s="1"/>
    </row>
    <row r="1804" spans="1:26" ht="33.75" customHeight="1">
      <c r="A1804" s="1">
        <v>1477</v>
      </c>
      <c r="B1804" s="1" t="s">
        <v>4981</v>
      </c>
      <c r="C1804" s="1" t="s">
        <v>3929</v>
      </c>
      <c r="D1804" s="4">
        <v>39965.427777777775</v>
      </c>
      <c r="E1804" s="1" t="s">
        <v>196</v>
      </c>
      <c r="F1804" s="1"/>
      <c r="G1804" s="5" t="s">
        <v>64</v>
      </c>
      <c r="H1804" s="5" t="s">
        <v>1053</v>
      </c>
      <c r="I1804" s="1" t="s">
        <v>3040</v>
      </c>
      <c r="J1804" s="1" t="s">
        <v>3651</v>
      </c>
      <c r="K1804" s="1" t="s">
        <v>4982</v>
      </c>
      <c r="L1804" s="2" t="s">
        <v>4983</v>
      </c>
      <c r="M1804" s="1"/>
      <c r="N1804" s="1"/>
      <c r="O1804" s="1"/>
      <c r="P1804" s="1"/>
      <c r="Q1804" s="1"/>
      <c r="R1804" s="1"/>
      <c r="S1804" s="1"/>
      <c r="T1804" s="1"/>
      <c r="U1804" s="1"/>
      <c r="V1804" s="1"/>
      <c r="W1804" s="1"/>
      <c r="X1804" s="1"/>
      <c r="Y1804" s="1"/>
      <c r="Z1804" s="1"/>
    </row>
    <row r="1805" spans="1:26" ht="33.75" customHeight="1">
      <c r="A1805" s="1">
        <v>2255</v>
      </c>
      <c r="B1805" s="1" t="s">
        <v>4984</v>
      </c>
      <c r="C1805" s="1" t="s">
        <v>4904</v>
      </c>
      <c r="D1805" s="4">
        <v>39965.498611111114</v>
      </c>
      <c r="E1805" s="1" t="s">
        <v>772</v>
      </c>
      <c r="F1805" s="1"/>
      <c r="G1805" s="6" t="s">
        <v>78</v>
      </c>
      <c r="H1805" s="5" t="s">
        <v>223</v>
      </c>
      <c r="I1805" s="1" t="s">
        <v>64</v>
      </c>
      <c r="J1805" s="1" t="s">
        <v>450</v>
      </c>
      <c r="K1805" s="1"/>
      <c r="L1805" s="2" t="s">
        <v>4985</v>
      </c>
      <c r="M1805" s="1"/>
      <c r="N1805" s="1"/>
      <c r="O1805" s="1"/>
      <c r="P1805" s="1"/>
      <c r="Q1805" s="1"/>
      <c r="R1805" s="1"/>
      <c r="S1805" s="1"/>
      <c r="T1805" s="1"/>
      <c r="U1805" s="1"/>
      <c r="V1805" s="1"/>
      <c r="W1805" s="1"/>
      <c r="X1805" s="1"/>
      <c r="Y1805" s="1"/>
      <c r="Z1805" s="1"/>
    </row>
    <row r="1806" spans="1:26" ht="33.75" customHeight="1">
      <c r="A1806" s="1">
        <v>2256</v>
      </c>
      <c r="B1806" s="1" t="s">
        <v>4986</v>
      </c>
      <c r="C1806" s="1" t="s">
        <v>4904</v>
      </c>
      <c r="D1806" s="4">
        <v>39965.525694444441</v>
      </c>
      <c r="E1806" s="1" t="s">
        <v>54</v>
      </c>
      <c r="F1806" s="1" t="s">
        <v>4984</v>
      </c>
      <c r="G1806" s="5" t="s">
        <v>64</v>
      </c>
      <c r="H1806" s="5" t="s">
        <v>218</v>
      </c>
      <c r="I1806" s="1" t="s">
        <v>4987</v>
      </c>
      <c r="J1806" s="1"/>
      <c r="K1806" s="1"/>
      <c r="L1806" s="2" t="s">
        <v>4988</v>
      </c>
      <c r="M1806" s="1"/>
      <c r="N1806" s="1"/>
      <c r="O1806" s="1"/>
      <c r="P1806" s="1"/>
      <c r="Q1806" s="1"/>
      <c r="R1806" s="1"/>
      <c r="S1806" s="1"/>
      <c r="T1806" s="1"/>
      <c r="U1806" s="1"/>
      <c r="V1806" s="1"/>
      <c r="W1806" s="1"/>
      <c r="X1806" s="1"/>
      <c r="Y1806" s="1"/>
      <c r="Z1806" s="1"/>
    </row>
    <row r="1807" spans="1:26" ht="33.75" customHeight="1">
      <c r="A1807" s="1">
        <v>2257</v>
      </c>
      <c r="B1807" s="1" t="s">
        <v>4989</v>
      </c>
      <c r="C1807" s="1" t="s">
        <v>4904</v>
      </c>
      <c r="D1807" s="4">
        <v>39965.538888888892</v>
      </c>
      <c r="E1807" s="1" t="s">
        <v>54</v>
      </c>
      <c r="F1807" s="1"/>
      <c r="G1807" s="5" t="s">
        <v>64</v>
      </c>
      <c r="H1807" s="5" t="s">
        <v>431</v>
      </c>
      <c r="I1807" s="1" t="s">
        <v>4990</v>
      </c>
      <c r="J1807" s="1"/>
      <c r="K1807" s="1"/>
      <c r="L1807" s="2" t="s">
        <v>4991</v>
      </c>
      <c r="M1807" s="1"/>
      <c r="N1807" s="1"/>
      <c r="O1807" s="1"/>
      <c r="P1807" s="1"/>
      <c r="Q1807" s="1"/>
      <c r="R1807" s="1"/>
      <c r="S1807" s="1"/>
      <c r="T1807" s="1"/>
      <c r="U1807" s="1"/>
      <c r="V1807" s="1"/>
      <c r="W1807" s="1"/>
      <c r="X1807" s="1"/>
      <c r="Y1807" s="1"/>
      <c r="Z1807" s="1"/>
    </row>
    <row r="1808" spans="1:26" ht="33.75" customHeight="1">
      <c r="A1808" s="1">
        <v>2258</v>
      </c>
      <c r="B1808" s="1" t="s">
        <v>4992</v>
      </c>
      <c r="C1808" s="1" t="s">
        <v>4904</v>
      </c>
      <c r="D1808" s="4">
        <v>39965.67291666667</v>
      </c>
      <c r="E1808" s="1" t="s">
        <v>84</v>
      </c>
      <c r="F1808" s="1"/>
      <c r="G1808" s="5" t="s">
        <v>64</v>
      </c>
      <c r="H1808" s="5" t="s">
        <v>3663</v>
      </c>
      <c r="I1808" s="1" t="s">
        <v>3664</v>
      </c>
      <c r="J1808" s="1" t="s">
        <v>4993</v>
      </c>
      <c r="K1808" s="1"/>
      <c r="L1808" s="2" t="s">
        <v>4994</v>
      </c>
      <c r="M1808" s="1"/>
      <c r="N1808" s="1"/>
      <c r="O1808" s="1"/>
      <c r="P1808" s="1"/>
      <c r="Q1808" s="1"/>
      <c r="R1808" s="1"/>
      <c r="S1808" s="1"/>
      <c r="T1808" s="1"/>
      <c r="U1808" s="1"/>
      <c r="V1808" s="1"/>
      <c r="W1808" s="1"/>
      <c r="X1808" s="1"/>
      <c r="Y1808" s="1"/>
      <c r="Z1808" s="1"/>
    </row>
    <row r="1809" spans="1:26" ht="33.75" customHeight="1">
      <c r="A1809" s="1">
        <v>2259</v>
      </c>
      <c r="B1809" s="1" t="s">
        <v>4995</v>
      </c>
      <c r="C1809" s="1" t="s">
        <v>4904</v>
      </c>
      <c r="D1809" s="4">
        <v>39965.681944444441</v>
      </c>
      <c r="E1809" s="1" t="s">
        <v>84</v>
      </c>
      <c r="F1809" s="1"/>
      <c r="G1809" s="5" t="s">
        <v>26</v>
      </c>
      <c r="H1809" s="5" t="s">
        <v>133</v>
      </c>
      <c r="I1809" s="1" t="s">
        <v>28</v>
      </c>
      <c r="J1809" s="1" t="s">
        <v>134</v>
      </c>
      <c r="K1809" s="1" t="s">
        <v>4996</v>
      </c>
      <c r="L1809" s="2" t="s">
        <v>4997</v>
      </c>
      <c r="M1809" s="1"/>
      <c r="N1809" s="1"/>
      <c r="O1809" s="1"/>
      <c r="P1809" s="1"/>
      <c r="Q1809" s="1"/>
      <c r="R1809" s="1"/>
      <c r="S1809" s="1"/>
      <c r="T1809" s="1"/>
      <c r="U1809" s="1"/>
      <c r="V1809" s="1"/>
      <c r="W1809" s="1"/>
      <c r="X1809" s="1"/>
      <c r="Y1809" s="1"/>
      <c r="Z1809" s="1"/>
    </row>
    <row r="1810" spans="1:26" ht="33.75" customHeight="1">
      <c r="A1810" s="1">
        <v>2260</v>
      </c>
      <c r="B1810" s="1" t="s">
        <v>4998</v>
      </c>
      <c r="C1810" s="1" t="s">
        <v>4904</v>
      </c>
      <c r="D1810" s="4">
        <v>39965.724999999999</v>
      </c>
      <c r="E1810" s="1" t="s">
        <v>54</v>
      </c>
      <c r="F1810" s="1" t="s">
        <v>4995</v>
      </c>
      <c r="G1810" s="5" t="s">
        <v>64</v>
      </c>
      <c r="H1810" s="1"/>
      <c r="I1810" s="1" t="s">
        <v>64</v>
      </c>
      <c r="J1810" s="1" t="s">
        <v>800</v>
      </c>
      <c r="K1810" s="1" t="s">
        <v>4999</v>
      </c>
      <c r="L1810" s="2" t="s">
        <v>5000</v>
      </c>
      <c r="M1810" s="1"/>
      <c r="N1810" s="1"/>
      <c r="O1810" s="1"/>
      <c r="P1810" s="1"/>
      <c r="Q1810" s="1"/>
      <c r="R1810" s="1"/>
      <c r="S1810" s="1"/>
      <c r="T1810" s="1"/>
      <c r="U1810" s="1"/>
      <c r="V1810" s="1"/>
      <c r="W1810" s="1"/>
      <c r="X1810" s="1"/>
      <c r="Y1810" s="1"/>
      <c r="Z1810" s="1"/>
    </row>
    <row r="1811" spans="1:26" ht="33.75" customHeight="1">
      <c r="A1811" s="1">
        <v>2261</v>
      </c>
      <c r="B1811" s="1" t="s">
        <v>5001</v>
      </c>
      <c r="C1811" s="1" t="s">
        <v>4904</v>
      </c>
      <c r="D1811" s="4">
        <v>39965.745833333334</v>
      </c>
      <c r="E1811" s="1" t="s">
        <v>54</v>
      </c>
      <c r="F1811" s="1"/>
      <c r="G1811" s="5" t="s">
        <v>15</v>
      </c>
      <c r="H1811" s="5" t="s">
        <v>150</v>
      </c>
      <c r="I1811" s="1" t="s">
        <v>5002</v>
      </c>
      <c r="J1811" s="1"/>
      <c r="K1811" s="1"/>
      <c r="L1811" s="2" t="s">
        <v>5003</v>
      </c>
      <c r="M1811" s="1"/>
      <c r="N1811" s="1"/>
      <c r="O1811" s="1"/>
      <c r="P1811" s="1"/>
      <c r="Q1811" s="1"/>
      <c r="R1811" s="1"/>
      <c r="S1811" s="1"/>
      <c r="T1811" s="1"/>
      <c r="U1811" s="1"/>
      <c r="V1811" s="1"/>
      <c r="W1811" s="1"/>
      <c r="X1811" s="1"/>
      <c r="Y1811" s="1"/>
      <c r="Z1811" s="1"/>
    </row>
    <row r="1812" spans="1:26" ht="33.75" customHeight="1">
      <c r="A1812" s="1">
        <v>2262</v>
      </c>
      <c r="B1812" s="1" t="s">
        <v>5004</v>
      </c>
      <c r="C1812" s="1" t="s">
        <v>4904</v>
      </c>
      <c r="D1812" s="4">
        <v>39966.367361111108</v>
      </c>
      <c r="E1812" s="1" t="s">
        <v>772</v>
      </c>
      <c r="F1812" s="1"/>
      <c r="G1812" s="5" t="s">
        <v>64</v>
      </c>
      <c r="H1812" s="1"/>
      <c r="I1812" s="1" t="s">
        <v>64</v>
      </c>
      <c r="J1812" s="1" t="s">
        <v>800</v>
      </c>
      <c r="K1812" s="1"/>
      <c r="L1812" s="2" t="s">
        <v>5005</v>
      </c>
      <c r="M1812" s="1"/>
      <c r="N1812" s="1"/>
      <c r="O1812" s="1"/>
      <c r="P1812" s="1"/>
      <c r="Q1812" s="1"/>
      <c r="R1812" s="1"/>
      <c r="S1812" s="1"/>
      <c r="T1812" s="1"/>
      <c r="U1812" s="1"/>
      <c r="V1812" s="1"/>
      <c r="W1812" s="1"/>
      <c r="X1812" s="1"/>
      <c r="Y1812" s="1"/>
      <c r="Z1812" s="1"/>
    </row>
    <row r="1813" spans="1:26" ht="33.75" customHeight="1">
      <c r="A1813" s="1">
        <v>2263</v>
      </c>
      <c r="B1813" s="1" t="s">
        <v>5006</v>
      </c>
      <c r="C1813" s="1" t="s">
        <v>4904</v>
      </c>
      <c r="D1813" s="4">
        <v>39966.709722222222</v>
      </c>
      <c r="E1813" s="1" t="s">
        <v>2893</v>
      </c>
      <c r="F1813" s="1"/>
      <c r="G1813" s="5" t="s">
        <v>33</v>
      </c>
      <c r="H1813" s="5" t="s">
        <v>5007</v>
      </c>
      <c r="I1813" s="1" t="s">
        <v>5008</v>
      </c>
      <c r="J1813" s="1"/>
      <c r="K1813" s="1"/>
      <c r="L1813" s="2" t="s">
        <v>5009</v>
      </c>
      <c r="M1813" s="1"/>
      <c r="N1813" s="1"/>
      <c r="O1813" s="1"/>
      <c r="P1813" s="1"/>
      <c r="Q1813" s="1"/>
      <c r="R1813" s="1"/>
      <c r="S1813" s="1"/>
      <c r="T1813" s="1"/>
      <c r="U1813" s="1"/>
      <c r="V1813" s="1"/>
      <c r="W1813" s="1"/>
      <c r="X1813" s="1"/>
      <c r="Y1813" s="1"/>
      <c r="Z1813" s="1"/>
    </row>
    <row r="1814" spans="1:26" ht="33.75" customHeight="1">
      <c r="A1814" s="1">
        <v>2264</v>
      </c>
      <c r="B1814" s="1" t="s">
        <v>5010</v>
      </c>
      <c r="C1814" s="1" t="s">
        <v>4904</v>
      </c>
      <c r="D1814" s="4">
        <v>39966.931250000001</v>
      </c>
      <c r="E1814" s="1" t="s">
        <v>1089</v>
      </c>
      <c r="F1814" s="1"/>
      <c r="G1814" s="5" t="s">
        <v>64</v>
      </c>
      <c r="H1814" s="5" t="s">
        <v>263</v>
      </c>
      <c r="I1814" s="1" t="s">
        <v>64</v>
      </c>
      <c r="J1814" s="1"/>
      <c r="K1814" s="1"/>
      <c r="L1814" s="2" t="s">
        <v>5011</v>
      </c>
      <c r="M1814" s="1"/>
      <c r="N1814" s="1"/>
      <c r="O1814" s="1"/>
      <c r="P1814" s="1"/>
      <c r="Q1814" s="1"/>
      <c r="R1814" s="1"/>
      <c r="S1814" s="1"/>
      <c r="T1814" s="1"/>
      <c r="U1814" s="1"/>
      <c r="V1814" s="1"/>
      <c r="W1814" s="1"/>
      <c r="X1814" s="1"/>
      <c r="Y1814" s="1"/>
      <c r="Z1814" s="1"/>
    </row>
    <row r="1815" spans="1:26" ht="33.75" customHeight="1">
      <c r="A1815" s="1">
        <v>2265</v>
      </c>
      <c r="B1815" s="1" t="s">
        <v>5012</v>
      </c>
      <c r="C1815" s="1" t="s">
        <v>4904</v>
      </c>
      <c r="D1815" s="4">
        <v>39967.300000000003</v>
      </c>
      <c r="E1815" s="1" t="s">
        <v>54</v>
      </c>
      <c r="F1815" s="1" t="s">
        <v>5006</v>
      </c>
      <c r="G1815" s="5" t="s">
        <v>64</v>
      </c>
      <c r="H1815" s="1"/>
      <c r="I1815" s="1" t="s">
        <v>64</v>
      </c>
      <c r="J1815" s="1"/>
      <c r="K1815" s="1"/>
      <c r="L1815" s="2" t="s">
        <v>5013</v>
      </c>
      <c r="M1815" s="1"/>
      <c r="N1815" s="1"/>
      <c r="O1815" s="1"/>
      <c r="P1815" s="1"/>
      <c r="Q1815" s="1"/>
      <c r="R1815" s="1"/>
      <c r="S1815" s="1"/>
      <c r="T1815" s="1"/>
      <c r="U1815" s="1"/>
      <c r="V1815" s="1"/>
      <c r="W1815" s="1"/>
      <c r="X1815" s="1"/>
      <c r="Y1815" s="1"/>
      <c r="Z1815" s="1"/>
    </row>
    <row r="1816" spans="1:26" ht="33.75" customHeight="1">
      <c r="A1816" s="1">
        <v>2266</v>
      </c>
      <c r="B1816" s="1" t="s">
        <v>5014</v>
      </c>
      <c r="C1816" s="1" t="s">
        <v>4904</v>
      </c>
      <c r="D1816" s="4">
        <v>39967.30972222222</v>
      </c>
      <c r="E1816" s="1" t="s">
        <v>54</v>
      </c>
      <c r="F1816" s="1"/>
      <c r="G1816" s="5" t="s">
        <v>64</v>
      </c>
      <c r="H1816" s="1"/>
      <c r="I1816" s="1" t="s">
        <v>64</v>
      </c>
      <c r="J1816" s="1" t="s">
        <v>800</v>
      </c>
      <c r="K1816" s="1"/>
      <c r="L1816" s="2" t="s">
        <v>5015</v>
      </c>
      <c r="M1816" s="1"/>
      <c r="N1816" s="1"/>
      <c r="O1816" s="1"/>
      <c r="P1816" s="1"/>
      <c r="Q1816" s="1"/>
      <c r="R1816" s="1"/>
      <c r="S1816" s="1"/>
      <c r="T1816" s="1"/>
      <c r="U1816" s="1"/>
      <c r="V1816" s="1"/>
      <c r="W1816" s="1"/>
      <c r="X1816" s="1"/>
      <c r="Y1816" s="1"/>
      <c r="Z1816" s="1"/>
    </row>
    <row r="1817" spans="1:26" ht="33.75" customHeight="1">
      <c r="A1817" s="1">
        <v>2267</v>
      </c>
      <c r="B1817" s="1" t="s">
        <v>5016</v>
      </c>
      <c r="C1817" s="1" t="s">
        <v>4904</v>
      </c>
      <c r="D1817" s="4">
        <v>39967.352777777778</v>
      </c>
      <c r="E1817" s="1" t="s">
        <v>54</v>
      </c>
      <c r="F1817" s="1"/>
      <c r="G1817" s="5" t="s">
        <v>64</v>
      </c>
      <c r="H1817" s="1"/>
      <c r="I1817" s="1" t="s">
        <v>64</v>
      </c>
      <c r="J1817" s="1"/>
      <c r="K1817" s="1" t="s">
        <v>5017</v>
      </c>
      <c r="L1817" s="2" t="s">
        <v>5018</v>
      </c>
      <c r="M1817" s="1"/>
      <c r="N1817" s="1"/>
      <c r="O1817" s="1"/>
      <c r="P1817" s="1"/>
      <c r="Q1817" s="1"/>
      <c r="R1817" s="1"/>
      <c r="S1817" s="1"/>
      <c r="T1817" s="1"/>
      <c r="U1817" s="1"/>
      <c r="V1817" s="1"/>
      <c r="W1817" s="1"/>
      <c r="X1817" s="1"/>
      <c r="Y1817" s="1"/>
      <c r="Z1817" s="1"/>
    </row>
    <row r="1818" spans="1:26" ht="33.75" customHeight="1">
      <c r="A1818" s="1">
        <v>2268</v>
      </c>
      <c r="B1818" s="1" t="s">
        <v>5019</v>
      </c>
      <c r="C1818" s="1" t="s">
        <v>4904</v>
      </c>
      <c r="D1818" s="4">
        <v>39967.477777777778</v>
      </c>
      <c r="E1818" s="1" t="s">
        <v>84</v>
      </c>
      <c r="F1818" s="1"/>
      <c r="G1818" s="5" t="s">
        <v>64</v>
      </c>
      <c r="H1818" s="5" t="s">
        <v>3663</v>
      </c>
      <c r="I1818" s="1" t="s">
        <v>3664</v>
      </c>
      <c r="J1818" s="1" t="s">
        <v>4993</v>
      </c>
      <c r="K1818" s="1"/>
      <c r="L1818" s="2" t="s">
        <v>5020</v>
      </c>
      <c r="M1818" s="1"/>
      <c r="N1818" s="1"/>
      <c r="O1818" s="1"/>
      <c r="P1818" s="1"/>
      <c r="Q1818" s="1"/>
      <c r="R1818" s="1"/>
      <c r="S1818" s="1"/>
      <c r="T1818" s="1"/>
      <c r="U1818" s="1"/>
      <c r="V1818" s="1"/>
      <c r="W1818" s="1"/>
      <c r="X1818" s="1"/>
      <c r="Y1818" s="1"/>
      <c r="Z1818" s="1"/>
    </row>
    <row r="1819" spans="1:26" ht="33.75" customHeight="1">
      <c r="A1819" s="1">
        <v>1478</v>
      </c>
      <c r="B1819" s="1" t="s">
        <v>5021</v>
      </c>
      <c r="C1819" s="1" t="s">
        <v>3929</v>
      </c>
      <c r="D1819" s="4">
        <v>39967.519444444442</v>
      </c>
      <c r="E1819" s="1" t="s">
        <v>196</v>
      </c>
      <c r="F1819" s="1"/>
      <c r="G1819" s="5" t="s">
        <v>15</v>
      </c>
      <c r="H1819" s="5" t="s">
        <v>55</v>
      </c>
      <c r="I1819" s="1" t="s">
        <v>213</v>
      </c>
      <c r="J1819" s="1" t="s">
        <v>3143</v>
      </c>
      <c r="K1819" s="1" t="s">
        <v>5022</v>
      </c>
      <c r="L1819" s="2" t="s">
        <v>5023</v>
      </c>
      <c r="M1819" s="1"/>
      <c r="N1819" s="1"/>
      <c r="O1819" s="1"/>
      <c r="P1819" s="1"/>
      <c r="Q1819" s="1"/>
      <c r="R1819" s="1"/>
      <c r="S1819" s="1"/>
      <c r="T1819" s="1"/>
      <c r="U1819" s="1"/>
      <c r="V1819" s="1"/>
      <c r="W1819" s="1"/>
      <c r="X1819" s="1"/>
      <c r="Y1819" s="1"/>
      <c r="Z1819" s="1"/>
    </row>
    <row r="1820" spans="1:26" ht="33.75" customHeight="1">
      <c r="A1820" s="1">
        <v>2269</v>
      </c>
      <c r="B1820" s="1" t="s">
        <v>5024</v>
      </c>
      <c r="C1820" s="1" t="s">
        <v>4904</v>
      </c>
      <c r="D1820" s="4">
        <v>39967.52847222222</v>
      </c>
      <c r="E1820" s="1" t="s">
        <v>760</v>
      </c>
      <c r="F1820" s="1"/>
      <c r="G1820" s="5" t="s">
        <v>64</v>
      </c>
      <c r="H1820" s="5" t="s">
        <v>1053</v>
      </c>
      <c r="I1820" s="1" t="s">
        <v>1803</v>
      </c>
      <c r="J1820" s="1"/>
      <c r="K1820" s="1"/>
      <c r="L1820" s="2" t="s">
        <v>5025</v>
      </c>
      <c r="M1820" s="1"/>
      <c r="N1820" s="1"/>
      <c r="O1820" s="1"/>
      <c r="P1820" s="1"/>
      <c r="Q1820" s="1"/>
      <c r="R1820" s="1"/>
      <c r="S1820" s="1"/>
      <c r="T1820" s="1"/>
      <c r="U1820" s="1"/>
      <c r="V1820" s="1"/>
      <c r="W1820" s="1"/>
      <c r="X1820" s="1"/>
      <c r="Y1820" s="1"/>
      <c r="Z1820" s="1"/>
    </row>
    <row r="1821" spans="1:26" ht="33.75" customHeight="1">
      <c r="A1821" s="1">
        <v>2270</v>
      </c>
      <c r="B1821" s="1" t="s">
        <v>5026</v>
      </c>
      <c r="C1821" s="1" t="s">
        <v>4904</v>
      </c>
      <c r="D1821" s="4">
        <v>39967.599999999999</v>
      </c>
      <c r="E1821" s="1" t="s">
        <v>772</v>
      </c>
      <c r="F1821" s="1"/>
      <c r="G1821" s="5" t="s">
        <v>64</v>
      </c>
      <c r="H1821" s="1"/>
      <c r="I1821" s="1" t="s">
        <v>64</v>
      </c>
      <c r="J1821" s="1"/>
      <c r="K1821" s="1"/>
      <c r="L1821" s="2" t="s">
        <v>5027</v>
      </c>
      <c r="M1821" s="1"/>
      <c r="N1821" s="1"/>
      <c r="O1821" s="1"/>
      <c r="P1821" s="1"/>
      <c r="Q1821" s="1"/>
      <c r="R1821" s="1"/>
      <c r="S1821" s="1"/>
      <c r="T1821" s="1"/>
      <c r="U1821" s="1"/>
      <c r="V1821" s="1"/>
      <c r="W1821" s="1"/>
      <c r="X1821" s="1"/>
      <c r="Y1821" s="1"/>
      <c r="Z1821" s="1"/>
    </row>
    <row r="1822" spans="1:26" ht="33.75" customHeight="1">
      <c r="A1822" s="1">
        <v>2271</v>
      </c>
      <c r="B1822" s="1" t="s">
        <v>5028</v>
      </c>
      <c r="C1822" s="1" t="s">
        <v>4904</v>
      </c>
      <c r="D1822" s="4">
        <v>39968.338194444441</v>
      </c>
      <c r="E1822" s="1" t="s">
        <v>760</v>
      </c>
      <c r="F1822" s="1"/>
      <c r="G1822" s="5" t="s">
        <v>26</v>
      </c>
      <c r="H1822" s="5" t="s">
        <v>133</v>
      </c>
      <c r="I1822" s="1" t="s">
        <v>28</v>
      </c>
      <c r="J1822" s="1" t="s">
        <v>134</v>
      </c>
      <c r="K1822" s="1"/>
      <c r="L1822" s="2" t="s">
        <v>5029</v>
      </c>
      <c r="M1822" s="1"/>
      <c r="N1822" s="1"/>
      <c r="O1822" s="1"/>
      <c r="P1822" s="1"/>
      <c r="Q1822" s="1"/>
      <c r="R1822" s="1"/>
      <c r="S1822" s="1"/>
      <c r="T1822" s="1"/>
      <c r="U1822" s="1"/>
      <c r="V1822" s="1"/>
      <c r="W1822" s="1"/>
      <c r="X1822" s="1"/>
      <c r="Y1822" s="1"/>
      <c r="Z1822" s="1"/>
    </row>
    <row r="1823" spans="1:26" ht="33.75" customHeight="1">
      <c r="A1823" s="1">
        <v>2272</v>
      </c>
      <c r="B1823" s="1" t="s">
        <v>5030</v>
      </c>
      <c r="C1823" s="1" t="s">
        <v>4904</v>
      </c>
      <c r="D1823" s="4">
        <v>39968.42291666667</v>
      </c>
      <c r="E1823" s="1" t="s">
        <v>772</v>
      </c>
      <c r="F1823" s="1"/>
      <c r="G1823" s="5" t="s">
        <v>64</v>
      </c>
      <c r="H1823" s="1"/>
      <c r="I1823" s="1" t="s">
        <v>64</v>
      </c>
      <c r="J1823" s="1"/>
      <c r="K1823" s="1"/>
      <c r="L1823" s="2" t="s">
        <v>5031</v>
      </c>
      <c r="M1823" s="1"/>
      <c r="N1823" s="1"/>
      <c r="O1823" s="1"/>
      <c r="P1823" s="1"/>
      <c r="Q1823" s="1"/>
      <c r="R1823" s="1"/>
      <c r="S1823" s="1"/>
      <c r="T1823" s="1"/>
      <c r="U1823" s="1"/>
      <c r="V1823" s="1"/>
      <c r="W1823" s="1"/>
      <c r="X1823" s="1"/>
      <c r="Y1823" s="1"/>
      <c r="Z1823" s="1"/>
    </row>
    <row r="1824" spans="1:26" ht="33.75" customHeight="1">
      <c r="A1824" s="1">
        <v>2273</v>
      </c>
      <c r="B1824" s="1" t="s">
        <v>5032</v>
      </c>
      <c r="C1824" s="1" t="s">
        <v>4904</v>
      </c>
      <c r="D1824" s="4">
        <v>39968.445833333331</v>
      </c>
      <c r="E1824" s="1" t="s">
        <v>1887</v>
      </c>
      <c r="F1824" s="1"/>
      <c r="G1824" s="5" t="s">
        <v>64</v>
      </c>
      <c r="H1824" s="1"/>
      <c r="I1824" s="1" t="s">
        <v>64</v>
      </c>
      <c r="J1824" s="1" t="s">
        <v>5033</v>
      </c>
      <c r="K1824" s="1"/>
      <c r="L1824" s="2" t="s">
        <v>5034</v>
      </c>
      <c r="M1824" s="1"/>
      <c r="N1824" s="1"/>
      <c r="O1824" s="1"/>
      <c r="P1824" s="1"/>
      <c r="Q1824" s="1"/>
      <c r="R1824" s="1"/>
      <c r="S1824" s="1"/>
      <c r="T1824" s="1"/>
      <c r="U1824" s="1"/>
      <c r="V1824" s="1"/>
      <c r="W1824" s="1"/>
      <c r="X1824" s="1"/>
      <c r="Y1824" s="1"/>
      <c r="Z1824" s="1"/>
    </row>
    <row r="1825" spans="1:26" ht="33.75" customHeight="1">
      <c r="A1825" s="1">
        <v>2274</v>
      </c>
      <c r="B1825" s="1" t="s">
        <v>5035</v>
      </c>
      <c r="C1825" s="1" t="s">
        <v>4904</v>
      </c>
      <c r="D1825" s="4">
        <v>39968.53125</v>
      </c>
      <c r="E1825" s="1" t="s">
        <v>772</v>
      </c>
      <c r="F1825" s="1"/>
      <c r="G1825" s="5" t="s">
        <v>64</v>
      </c>
      <c r="H1825" s="5" t="s">
        <v>375</v>
      </c>
      <c r="I1825" s="1" t="s">
        <v>2018</v>
      </c>
      <c r="J1825" s="1"/>
      <c r="K1825" s="1"/>
      <c r="L1825" s="2" t="s">
        <v>5036</v>
      </c>
      <c r="M1825" s="1"/>
      <c r="N1825" s="1"/>
      <c r="O1825" s="1"/>
      <c r="P1825" s="1"/>
      <c r="Q1825" s="1"/>
      <c r="R1825" s="1"/>
      <c r="S1825" s="1"/>
      <c r="T1825" s="1"/>
      <c r="U1825" s="1"/>
      <c r="V1825" s="1"/>
      <c r="W1825" s="1"/>
      <c r="X1825" s="1"/>
      <c r="Y1825" s="1"/>
      <c r="Z1825" s="1"/>
    </row>
    <row r="1826" spans="1:26" ht="33.75" customHeight="1">
      <c r="A1826" s="1">
        <v>2275</v>
      </c>
      <c r="B1826" s="1" t="s">
        <v>5037</v>
      </c>
      <c r="C1826" s="1" t="s">
        <v>4904</v>
      </c>
      <c r="D1826" s="4">
        <v>39969.282638888886</v>
      </c>
      <c r="E1826" s="1" t="s">
        <v>381</v>
      </c>
      <c r="F1826" s="1"/>
      <c r="G1826" s="5" t="s">
        <v>64</v>
      </c>
      <c r="H1826" s="5" t="s">
        <v>3663</v>
      </c>
      <c r="I1826" s="1" t="s">
        <v>3664</v>
      </c>
      <c r="J1826" s="1" t="s">
        <v>4847</v>
      </c>
      <c r="K1826" s="1" t="s">
        <v>5038</v>
      </c>
      <c r="L1826" s="2" t="s">
        <v>5039</v>
      </c>
      <c r="M1826" s="1"/>
      <c r="N1826" s="1"/>
      <c r="O1826" s="1"/>
      <c r="P1826" s="1"/>
      <c r="Q1826" s="1"/>
      <c r="R1826" s="1"/>
      <c r="S1826" s="1"/>
      <c r="T1826" s="1"/>
      <c r="U1826" s="1"/>
      <c r="V1826" s="1"/>
      <c r="W1826" s="1"/>
      <c r="X1826" s="1"/>
      <c r="Y1826" s="1"/>
      <c r="Z1826" s="1"/>
    </row>
    <row r="1827" spans="1:26" ht="33.75" customHeight="1">
      <c r="A1827" s="1">
        <v>2276</v>
      </c>
      <c r="B1827" s="1" t="s">
        <v>5040</v>
      </c>
      <c r="C1827" s="1" t="s">
        <v>4904</v>
      </c>
      <c r="D1827" s="4">
        <v>39969.354861111111</v>
      </c>
      <c r="E1827" s="1" t="s">
        <v>2893</v>
      </c>
      <c r="F1827" s="1" t="s">
        <v>5037</v>
      </c>
      <c r="G1827" s="5" t="s">
        <v>26</v>
      </c>
      <c r="H1827" s="5" t="s">
        <v>27</v>
      </c>
      <c r="I1827" s="1" t="s">
        <v>28</v>
      </c>
      <c r="J1827" s="1" t="s">
        <v>259</v>
      </c>
      <c r="K1827" s="1" t="s">
        <v>5041</v>
      </c>
      <c r="L1827" s="2" t="s">
        <v>5042</v>
      </c>
      <c r="M1827" s="1"/>
      <c r="N1827" s="1"/>
      <c r="O1827" s="1"/>
      <c r="P1827" s="1"/>
      <c r="Q1827" s="1"/>
      <c r="R1827" s="1"/>
      <c r="S1827" s="1"/>
      <c r="T1827" s="1"/>
      <c r="U1827" s="1"/>
      <c r="V1827" s="1"/>
      <c r="W1827" s="1"/>
      <c r="X1827" s="1"/>
      <c r="Y1827" s="1"/>
      <c r="Z1827" s="1"/>
    </row>
    <row r="1828" spans="1:26" ht="33.75" customHeight="1">
      <c r="A1828" s="1">
        <v>2277</v>
      </c>
      <c r="B1828" s="1" t="s">
        <v>5043</v>
      </c>
      <c r="C1828" s="1" t="s">
        <v>4904</v>
      </c>
      <c r="D1828" s="4">
        <v>39969.581250000003</v>
      </c>
      <c r="E1828" s="1" t="s">
        <v>772</v>
      </c>
      <c r="F1828" s="1"/>
      <c r="G1828" s="5" t="s">
        <v>64</v>
      </c>
      <c r="H1828" s="5" t="s">
        <v>375</v>
      </c>
      <c r="I1828" s="1" t="s">
        <v>2018</v>
      </c>
      <c r="J1828" s="1"/>
      <c r="K1828" s="1"/>
      <c r="L1828" s="2" t="s">
        <v>5044</v>
      </c>
      <c r="M1828" s="1"/>
      <c r="N1828" s="1"/>
      <c r="O1828" s="1"/>
      <c r="P1828" s="1"/>
      <c r="Q1828" s="1"/>
      <c r="R1828" s="1"/>
      <c r="S1828" s="1"/>
      <c r="T1828" s="1"/>
      <c r="U1828" s="1"/>
      <c r="V1828" s="1"/>
      <c r="W1828" s="1"/>
      <c r="X1828" s="1"/>
      <c r="Y1828" s="1"/>
      <c r="Z1828" s="1"/>
    </row>
    <row r="1829" spans="1:26" ht="33.75" customHeight="1">
      <c r="A1829" s="1">
        <v>2278</v>
      </c>
      <c r="B1829" s="1" t="s">
        <v>5045</v>
      </c>
      <c r="C1829" s="1" t="s">
        <v>4904</v>
      </c>
      <c r="D1829" s="4">
        <v>39970.163888888892</v>
      </c>
      <c r="E1829" s="1" t="s">
        <v>1089</v>
      </c>
      <c r="F1829" s="1"/>
      <c r="G1829" s="5" t="s">
        <v>64</v>
      </c>
      <c r="H1829" s="5" t="s">
        <v>375</v>
      </c>
      <c r="I1829" s="1" t="s">
        <v>900</v>
      </c>
      <c r="J1829" s="1"/>
      <c r="K1829" s="1"/>
      <c r="L1829" s="2" t="s">
        <v>5046</v>
      </c>
      <c r="M1829" s="1"/>
      <c r="N1829" s="1"/>
      <c r="O1829" s="1"/>
      <c r="P1829" s="1"/>
      <c r="Q1829" s="1"/>
      <c r="R1829" s="1"/>
      <c r="S1829" s="1"/>
      <c r="T1829" s="1"/>
      <c r="U1829" s="1"/>
      <c r="V1829" s="1"/>
      <c r="W1829" s="1"/>
      <c r="X1829" s="1"/>
      <c r="Y1829" s="1"/>
      <c r="Z1829" s="1"/>
    </row>
    <row r="1830" spans="1:26" ht="33.75" customHeight="1">
      <c r="A1830" s="1">
        <v>2279</v>
      </c>
      <c r="B1830" s="1" t="s">
        <v>5047</v>
      </c>
      <c r="C1830" s="1" t="s">
        <v>4904</v>
      </c>
      <c r="D1830" s="4">
        <v>39970.296527777777</v>
      </c>
      <c r="E1830" s="1" t="s">
        <v>1089</v>
      </c>
      <c r="F1830" s="1"/>
      <c r="G1830" s="5" t="s">
        <v>64</v>
      </c>
      <c r="H1830" s="5" t="s">
        <v>375</v>
      </c>
      <c r="I1830" s="1" t="s">
        <v>900</v>
      </c>
      <c r="J1830" s="1"/>
      <c r="K1830" s="1" t="s">
        <v>5048</v>
      </c>
      <c r="L1830" s="2" t="s">
        <v>5049</v>
      </c>
      <c r="M1830" s="1"/>
      <c r="N1830" s="1"/>
      <c r="O1830" s="1"/>
      <c r="P1830" s="1"/>
      <c r="Q1830" s="1"/>
      <c r="R1830" s="1"/>
      <c r="S1830" s="1"/>
      <c r="T1830" s="1"/>
      <c r="U1830" s="1"/>
      <c r="V1830" s="1"/>
      <c r="W1830" s="1"/>
      <c r="X1830" s="1"/>
      <c r="Y1830" s="1"/>
      <c r="Z1830" s="1"/>
    </row>
    <row r="1831" spans="1:26" ht="33.75" customHeight="1">
      <c r="A1831" s="1">
        <v>2180</v>
      </c>
      <c r="B1831" s="1" t="s">
        <v>5050</v>
      </c>
      <c r="C1831" s="1" t="s">
        <v>4904</v>
      </c>
      <c r="D1831" s="4">
        <v>39970.32708333333</v>
      </c>
      <c r="E1831" s="1" t="s">
        <v>54</v>
      </c>
      <c r="F1831" s="1" t="s">
        <v>5047</v>
      </c>
      <c r="G1831" s="5" t="s">
        <v>64</v>
      </c>
      <c r="H1831" s="1"/>
      <c r="I1831" s="1" t="s">
        <v>64</v>
      </c>
      <c r="J1831" s="1" t="s">
        <v>5033</v>
      </c>
      <c r="K1831" s="1"/>
      <c r="L1831" s="2" t="s">
        <v>5051</v>
      </c>
      <c r="M1831" s="1"/>
      <c r="N1831" s="1"/>
      <c r="O1831" s="1"/>
      <c r="P1831" s="1"/>
      <c r="Q1831" s="1"/>
      <c r="R1831" s="1"/>
      <c r="S1831" s="1"/>
      <c r="T1831" s="1"/>
      <c r="U1831" s="1"/>
      <c r="V1831" s="1"/>
      <c r="W1831" s="1"/>
      <c r="X1831" s="1"/>
      <c r="Y1831" s="1"/>
      <c r="Z1831" s="1"/>
    </row>
    <row r="1832" spans="1:26" ht="33.75" customHeight="1">
      <c r="A1832" s="1">
        <v>2181</v>
      </c>
      <c r="B1832" s="1" t="s">
        <v>5052</v>
      </c>
      <c r="C1832" s="1" t="s">
        <v>4904</v>
      </c>
      <c r="D1832" s="4">
        <v>39970.565972222219</v>
      </c>
      <c r="E1832" s="1" t="s">
        <v>772</v>
      </c>
      <c r="F1832" s="1"/>
      <c r="G1832" s="5" t="s">
        <v>64</v>
      </c>
      <c r="H1832" s="1"/>
      <c r="I1832" s="1" t="s">
        <v>64</v>
      </c>
      <c r="J1832" s="1"/>
      <c r="K1832" s="1"/>
      <c r="L1832" s="2" t="s">
        <v>5053</v>
      </c>
      <c r="M1832" s="1"/>
      <c r="N1832" s="1"/>
      <c r="O1832" s="1"/>
      <c r="P1832" s="1"/>
      <c r="Q1832" s="1"/>
      <c r="R1832" s="1"/>
      <c r="S1832" s="1"/>
      <c r="T1832" s="1"/>
      <c r="U1832" s="1"/>
      <c r="V1832" s="1"/>
      <c r="W1832" s="1"/>
      <c r="X1832" s="1"/>
      <c r="Y1832" s="1"/>
      <c r="Z1832" s="1"/>
    </row>
    <row r="1833" spans="1:26" ht="33.75" customHeight="1">
      <c r="A1833" s="1">
        <v>2182</v>
      </c>
      <c r="B1833" s="1" t="s">
        <v>5054</v>
      </c>
      <c r="C1833" s="1" t="s">
        <v>4904</v>
      </c>
      <c r="D1833" s="4">
        <v>39971.011805555558</v>
      </c>
      <c r="E1833" s="1" t="s">
        <v>1887</v>
      </c>
      <c r="F1833" s="1"/>
      <c r="G1833" s="5" t="s">
        <v>26</v>
      </c>
      <c r="H1833" s="5" t="s">
        <v>133</v>
      </c>
      <c r="I1833" s="1" t="s">
        <v>28</v>
      </c>
      <c r="J1833" s="1" t="s">
        <v>134</v>
      </c>
      <c r="K1833" s="1"/>
      <c r="L1833" s="2" t="s">
        <v>5055</v>
      </c>
      <c r="M1833" s="1"/>
      <c r="N1833" s="1"/>
      <c r="O1833" s="1"/>
      <c r="P1833" s="1"/>
      <c r="Q1833" s="1"/>
      <c r="R1833" s="1"/>
      <c r="S1833" s="1"/>
      <c r="T1833" s="1"/>
      <c r="U1833" s="1"/>
      <c r="V1833" s="1"/>
      <c r="W1833" s="1"/>
      <c r="X1833" s="1"/>
      <c r="Y1833" s="1"/>
      <c r="Z1833" s="1"/>
    </row>
    <row r="1834" spans="1:26" ht="33.75" customHeight="1">
      <c r="A1834" s="1">
        <v>2183</v>
      </c>
      <c r="B1834" s="1" t="s">
        <v>5056</v>
      </c>
      <c r="C1834" s="1" t="s">
        <v>4904</v>
      </c>
      <c r="D1834" s="4">
        <v>39971.215277777781</v>
      </c>
      <c r="E1834" s="1" t="s">
        <v>1089</v>
      </c>
      <c r="F1834" s="1" t="s">
        <v>5054</v>
      </c>
      <c r="G1834" s="5" t="s">
        <v>26</v>
      </c>
      <c r="H1834" s="5" t="s">
        <v>27</v>
      </c>
      <c r="I1834" s="1" t="s">
        <v>28</v>
      </c>
      <c r="J1834" s="1" t="s">
        <v>259</v>
      </c>
      <c r="K1834" s="1" t="s">
        <v>5057</v>
      </c>
      <c r="L1834" s="2" t="s">
        <v>5058</v>
      </c>
      <c r="M1834" s="1"/>
      <c r="N1834" s="1"/>
      <c r="O1834" s="1"/>
      <c r="P1834" s="1"/>
      <c r="Q1834" s="1"/>
      <c r="R1834" s="1"/>
      <c r="S1834" s="1"/>
      <c r="T1834" s="1"/>
      <c r="U1834" s="1"/>
      <c r="V1834" s="1"/>
      <c r="W1834" s="1"/>
      <c r="X1834" s="1"/>
      <c r="Y1834" s="1"/>
      <c r="Z1834" s="1"/>
    </row>
    <row r="1835" spans="1:26" ht="33.75" customHeight="1">
      <c r="A1835" s="1">
        <v>2184</v>
      </c>
      <c r="B1835" s="1" t="s">
        <v>5059</v>
      </c>
      <c r="C1835" s="1" t="s">
        <v>4904</v>
      </c>
      <c r="D1835" s="4">
        <v>39971.429166666669</v>
      </c>
      <c r="E1835" s="1" t="s">
        <v>772</v>
      </c>
      <c r="F1835" s="1"/>
      <c r="G1835" s="5" t="s">
        <v>64</v>
      </c>
      <c r="H1835" s="5" t="s">
        <v>375</v>
      </c>
      <c r="I1835" s="1" t="s">
        <v>2018</v>
      </c>
      <c r="J1835" s="1"/>
      <c r="K1835" s="1"/>
      <c r="L1835" s="2" t="s">
        <v>5060</v>
      </c>
      <c r="M1835" s="1"/>
      <c r="N1835" s="1"/>
      <c r="O1835" s="1"/>
      <c r="P1835" s="1"/>
      <c r="Q1835" s="1"/>
      <c r="R1835" s="1"/>
      <c r="S1835" s="1"/>
      <c r="T1835" s="1"/>
      <c r="U1835" s="1"/>
      <c r="V1835" s="1"/>
      <c r="W1835" s="1"/>
      <c r="X1835" s="1"/>
      <c r="Y1835" s="1"/>
      <c r="Z1835" s="1"/>
    </row>
    <row r="1836" spans="1:26" ht="33.75" customHeight="1">
      <c r="A1836" s="1">
        <v>2185</v>
      </c>
      <c r="B1836" s="1" t="s">
        <v>5061</v>
      </c>
      <c r="C1836" s="1" t="s">
        <v>4904</v>
      </c>
      <c r="D1836" s="4">
        <v>39971.543055555558</v>
      </c>
      <c r="E1836" s="1" t="s">
        <v>1887</v>
      </c>
      <c r="F1836" s="1" t="s">
        <v>5056</v>
      </c>
      <c r="G1836" s="5" t="s">
        <v>33</v>
      </c>
      <c r="H1836" s="5" t="s">
        <v>5007</v>
      </c>
      <c r="I1836" s="1" t="s">
        <v>5008</v>
      </c>
      <c r="J1836" s="1"/>
      <c r="K1836" s="1"/>
      <c r="L1836" s="2" t="s">
        <v>5062</v>
      </c>
      <c r="M1836" s="1"/>
      <c r="N1836" s="1"/>
      <c r="O1836" s="1"/>
      <c r="P1836" s="1"/>
      <c r="Q1836" s="1"/>
      <c r="R1836" s="1"/>
      <c r="S1836" s="1"/>
      <c r="T1836" s="1"/>
      <c r="U1836" s="1"/>
      <c r="V1836" s="1"/>
      <c r="W1836" s="1"/>
      <c r="X1836" s="1"/>
      <c r="Y1836" s="1"/>
      <c r="Z1836" s="1"/>
    </row>
    <row r="1837" spans="1:26" ht="33.75" customHeight="1">
      <c r="A1837" s="1">
        <v>2186</v>
      </c>
      <c r="B1837" s="1" t="s">
        <v>5063</v>
      </c>
      <c r="C1837" s="1" t="s">
        <v>4904</v>
      </c>
      <c r="D1837" s="4">
        <v>39971.589583333334</v>
      </c>
      <c r="E1837" s="1" t="s">
        <v>54</v>
      </c>
      <c r="F1837" s="1"/>
      <c r="G1837" s="5" t="s">
        <v>64</v>
      </c>
      <c r="H1837" s="1"/>
      <c r="I1837" s="1" t="s">
        <v>64</v>
      </c>
      <c r="J1837" s="1" t="s">
        <v>5033</v>
      </c>
      <c r="K1837" s="1"/>
      <c r="L1837" s="2" t="s">
        <v>5064</v>
      </c>
      <c r="M1837" s="1"/>
      <c r="N1837" s="1"/>
      <c r="O1837" s="1"/>
      <c r="P1837" s="1"/>
      <c r="Q1837" s="1"/>
      <c r="R1837" s="1"/>
      <c r="S1837" s="1"/>
      <c r="T1837" s="1"/>
      <c r="U1837" s="1"/>
      <c r="V1837" s="1"/>
      <c r="W1837" s="1"/>
      <c r="X1837" s="1"/>
      <c r="Y1837" s="1"/>
      <c r="Z1837" s="1"/>
    </row>
    <row r="1838" spans="1:26" ht="33.75" customHeight="1">
      <c r="A1838" s="1">
        <v>2187</v>
      </c>
      <c r="B1838" s="1" t="s">
        <v>5065</v>
      </c>
      <c r="C1838" s="1" t="s">
        <v>4904</v>
      </c>
      <c r="D1838" s="4">
        <v>39971.785416666666</v>
      </c>
      <c r="E1838" s="1" t="s">
        <v>54</v>
      </c>
      <c r="F1838" s="1"/>
      <c r="G1838" s="5" t="s">
        <v>64</v>
      </c>
      <c r="H1838" s="1"/>
      <c r="I1838" s="1" t="s">
        <v>64</v>
      </c>
      <c r="J1838" s="1" t="s">
        <v>5033</v>
      </c>
      <c r="K1838" s="1"/>
      <c r="L1838" s="2" t="s">
        <v>5066</v>
      </c>
      <c r="M1838" s="1"/>
      <c r="N1838" s="1"/>
      <c r="O1838" s="1"/>
      <c r="P1838" s="1"/>
      <c r="Q1838" s="1"/>
      <c r="R1838" s="1"/>
      <c r="S1838" s="1"/>
      <c r="T1838" s="1"/>
      <c r="U1838" s="1"/>
      <c r="V1838" s="1"/>
      <c r="W1838" s="1"/>
      <c r="X1838" s="1"/>
      <c r="Y1838" s="1"/>
      <c r="Z1838" s="1"/>
    </row>
    <row r="1839" spans="1:26" ht="33.75" customHeight="1">
      <c r="A1839" s="1">
        <v>2188</v>
      </c>
      <c r="B1839" s="1" t="s">
        <v>5067</v>
      </c>
      <c r="C1839" s="1" t="s">
        <v>4904</v>
      </c>
      <c r="D1839" s="4">
        <v>39971.925000000003</v>
      </c>
      <c r="E1839" s="1" t="s">
        <v>1089</v>
      </c>
      <c r="F1839" s="1"/>
      <c r="G1839" s="5" t="s">
        <v>64</v>
      </c>
      <c r="H1839" s="5" t="s">
        <v>431</v>
      </c>
      <c r="I1839" s="1" t="s">
        <v>5068</v>
      </c>
      <c r="J1839" s="1"/>
      <c r="K1839" s="1"/>
      <c r="L1839" s="2" t="s">
        <v>5069</v>
      </c>
      <c r="M1839" s="1"/>
      <c r="N1839" s="1"/>
      <c r="O1839" s="1"/>
      <c r="P1839" s="1"/>
      <c r="Q1839" s="1"/>
      <c r="R1839" s="1"/>
      <c r="S1839" s="1"/>
      <c r="T1839" s="1"/>
      <c r="U1839" s="1"/>
      <c r="V1839" s="1"/>
      <c r="W1839" s="1"/>
      <c r="X1839" s="1"/>
      <c r="Y1839" s="1"/>
      <c r="Z1839" s="1"/>
    </row>
    <row r="1840" spans="1:26" ht="33.75" customHeight="1">
      <c r="A1840" s="1">
        <v>2189</v>
      </c>
      <c r="B1840" s="1" t="s">
        <v>5070</v>
      </c>
      <c r="C1840" s="1" t="s">
        <v>4904</v>
      </c>
      <c r="D1840" s="4">
        <v>39971.998611111114</v>
      </c>
      <c r="E1840" s="1" t="s">
        <v>54</v>
      </c>
      <c r="F1840" s="1" t="s">
        <v>5067</v>
      </c>
      <c r="G1840" s="1" t="s">
        <v>64</v>
      </c>
      <c r="H1840" s="5" t="s">
        <v>431</v>
      </c>
      <c r="I1840" s="1" t="s">
        <v>5071</v>
      </c>
      <c r="J1840" s="1"/>
      <c r="K1840" s="1"/>
      <c r="L1840" s="2" t="s">
        <v>5072</v>
      </c>
      <c r="M1840" s="1"/>
      <c r="N1840" s="1"/>
      <c r="O1840" s="1"/>
      <c r="P1840" s="1"/>
      <c r="Q1840" s="1"/>
      <c r="R1840" s="1"/>
      <c r="S1840" s="1"/>
      <c r="T1840" s="1"/>
      <c r="U1840" s="1"/>
      <c r="V1840" s="1"/>
      <c r="W1840" s="1"/>
      <c r="X1840" s="1"/>
      <c r="Y1840" s="1"/>
      <c r="Z1840" s="1"/>
    </row>
    <row r="1841" spans="1:26" ht="33.75" customHeight="1">
      <c r="A1841" s="1">
        <v>2190</v>
      </c>
      <c r="B1841" s="1" t="s">
        <v>5073</v>
      </c>
      <c r="C1841" s="1" t="s">
        <v>4904</v>
      </c>
      <c r="D1841" s="4">
        <v>39972.063194444447</v>
      </c>
      <c r="E1841" s="1" t="s">
        <v>1089</v>
      </c>
      <c r="F1841" s="1"/>
      <c r="G1841" s="5" t="s">
        <v>64</v>
      </c>
      <c r="H1841" s="5" t="s">
        <v>431</v>
      </c>
      <c r="I1841" s="1" t="s">
        <v>5074</v>
      </c>
      <c r="J1841" s="1"/>
      <c r="K1841" s="1" t="s">
        <v>5075</v>
      </c>
      <c r="L1841" s="2" t="s">
        <v>5076</v>
      </c>
      <c r="M1841" s="1"/>
      <c r="N1841" s="1"/>
      <c r="O1841" s="1"/>
      <c r="P1841" s="1"/>
      <c r="Q1841" s="1"/>
      <c r="R1841" s="1"/>
      <c r="S1841" s="1"/>
      <c r="T1841" s="1"/>
      <c r="U1841" s="1"/>
      <c r="V1841" s="1"/>
      <c r="W1841" s="1"/>
      <c r="X1841" s="1"/>
      <c r="Y1841" s="1"/>
      <c r="Z1841" s="1"/>
    </row>
    <row r="1842" spans="1:26" ht="33.75" customHeight="1">
      <c r="A1842" s="1">
        <v>2191</v>
      </c>
      <c r="B1842" s="1" t="s">
        <v>5077</v>
      </c>
      <c r="C1842" s="1" t="s">
        <v>4904</v>
      </c>
      <c r="D1842" s="4">
        <v>39972.379861111112</v>
      </c>
      <c r="E1842" s="1" t="s">
        <v>54</v>
      </c>
      <c r="F1842" s="1"/>
      <c r="G1842" s="5" t="s">
        <v>33</v>
      </c>
      <c r="H1842" s="5" t="s">
        <v>5007</v>
      </c>
      <c r="I1842" s="1" t="s">
        <v>64</v>
      </c>
      <c r="J1842" s="1" t="s">
        <v>5033</v>
      </c>
      <c r="K1842" s="1"/>
      <c r="L1842" s="2" t="s">
        <v>5078</v>
      </c>
      <c r="M1842" s="1"/>
      <c r="N1842" s="1"/>
      <c r="O1842" s="1"/>
      <c r="P1842" s="1"/>
      <c r="Q1842" s="1"/>
      <c r="R1842" s="1"/>
      <c r="S1842" s="1"/>
      <c r="T1842" s="1"/>
      <c r="U1842" s="1"/>
      <c r="V1842" s="1"/>
      <c r="W1842" s="1"/>
      <c r="X1842" s="1"/>
      <c r="Y1842" s="1"/>
      <c r="Z1842" s="1"/>
    </row>
    <row r="1843" spans="1:26" ht="33.75" customHeight="1">
      <c r="A1843" s="1">
        <v>2192</v>
      </c>
      <c r="B1843" s="1" t="s">
        <v>5079</v>
      </c>
      <c r="C1843" s="1" t="s">
        <v>4904</v>
      </c>
      <c r="D1843" s="4">
        <v>39972.959027777775</v>
      </c>
      <c r="E1843" s="1" t="s">
        <v>1887</v>
      </c>
      <c r="F1843" s="1"/>
      <c r="G1843" s="5" t="s">
        <v>33</v>
      </c>
      <c r="H1843" s="5" t="s">
        <v>5007</v>
      </c>
      <c r="I1843" s="1" t="s">
        <v>5008</v>
      </c>
      <c r="J1843" s="1"/>
      <c r="K1843" s="1"/>
      <c r="L1843" s="2" t="s">
        <v>5080</v>
      </c>
      <c r="M1843" s="1"/>
      <c r="N1843" s="1"/>
      <c r="O1843" s="1"/>
      <c r="P1843" s="1"/>
      <c r="Q1843" s="1"/>
      <c r="R1843" s="1"/>
      <c r="S1843" s="1"/>
      <c r="T1843" s="1"/>
      <c r="U1843" s="1"/>
      <c r="V1843" s="1"/>
      <c r="W1843" s="1"/>
      <c r="X1843" s="1"/>
      <c r="Y1843" s="1"/>
      <c r="Z1843" s="1"/>
    </row>
    <row r="1844" spans="1:26" ht="33.75" customHeight="1">
      <c r="A1844" s="1">
        <v>2193</v>
      </c>
      <c r="B1844" s="1" t="s">
        <v>5081</v>
      </c>
      <c r="C1844" s="1" t="s">
        <v>4904</v>
      </c>
      <c r="D1844" s="4">
        <v>39973.206944444442</v>
      </c>
      <c r="E1844" s="1" t="s">
        <v>1089</v>
      </c>
      <c r="F1844" s="1"/>
      <c r="G1844" s="1" t="s">
        <v>64</v>
      </c>
      <c r="H1844" s="5" t="s">
        <v>218</v>
      </c>
      <c r="I1844" s="1" t="s">
        <v>5082</v>
      </c>
      <c r="J1844" s="1"/>
      <c r="K1844" s="1"/>
      <c r="L1844" s="2" t="s">
        <v>5083</v>
      </c>
      <c r="M1844" s="1"/>
      <c r="N1844" s="1"/>
      <c r="O1844" s="1"/>
      <c r="P1844" s="1"/>
      <c r="Q1844" s="1"/>
      <c r="R1844" s="1"/>
      <c r="S1844" s="1"/>
      <c r="T1844" s="1"/>
      <c r="U1844" s="1"/>
      <c r="V1844" s="1"/>
      <c r="W1844" s="1"/>
      <c r="X1844" s="1"/>
      <c r="Y1844" s="1"/>
      <c r="Z1844" s="1"/>
    </row>
    <row r="1845" spans="1:26" ht="33.75" customHeight="1">
      <c r="A1845" s="1">
        <v>2194</v>
      </c>
      <c r="B1845" s="1" t="s">
        <v>5084</v>
      </c>
      <c r="C1845" s="1" t="s">
        <v>4904</v>
      </c>
      <c r="D1845" s="4">
        <v>39973.299305555556</v>
      </c>
      <c r="E1845" s="1" t="s">
        <v>54</v>
      </c>
      <c r="F1845" s="1" t="s">
        <v>5081</v>
      </c>
      <c r="G1845" s="5" t="s">
        <v>26</v>
      </c>
      <c r="H1845" s="5" t="s">
        <v>27</v>
      </c>
      <c r="I1845" s="1" t="s">
        <v>28</v>
      </c>
      <c r="J1845" s="1" t="s">
        <v>259</v>
      </c>
      <c r="K1845" s="1"/>
      <c r="L1845" s="2" t="s">
        <v>5085</v>
      </c>
      <c r="M1845" s="1"/>
      <c r="N1845" s="1"/>
      <c r="O1845" s="1"/>
      <c r="P1845" s="1"/>
      <c r="Q1845" s="1"/>
      <c r="R1845" s="1"/>
      <c r="S1845" s="1"/>
      <c r="T1845" s="1"/>
      <c r="U1845" s="1"/>
      <c r="V1845" s="1"/>
      <c r="W1845" s="1"/>
      <c r="X1845" s="1"/>
      <c r="Y1845" s="1"/>
      <c r="Z1845" s="1"/>
    </row>
    <row r="1846" spans="1:26" ht="33.75" customHeight="1">
      <c r="A1846" s="1">
        <v>2195</v>
      </c>
      <c r="B1846" s="1" t="s">
        <v>5086</v>
      </c>
      <c r="C1846" s="1" t="s">
        <v>4904</v>
      </c>
      <c r="D1846" s="4">
        <v>39973.472916666666</v>
      </c>
      <c r="E1846" s="1" t="s">
        <v>1887</v>
      </c>
      <c r="F1846" s="1"/>
      <c r="G1846" s="5" t="s">
        <v>64</v>
      </c>
      <c r="H1846" s="5" t="s">
        <v>375</v>
      </c>
      <c r="I1846" s="1" t="s">
        <v>900</v>
      </c>
      <c r="J1846" s="1"/>
      <c r="K1846" s="1"/>
      <c r="L1846" s="2" t="s">
        <v>5087</v>
      </c>
      <c r="M1846" s="1"/>
      <c r="N1846" s="1"/>
      <c r="O1846" s="1"/>
      <c r="P1846" s="1"/>
      <c r="Q1846" s="1"/>
      <c r="R1846" s="1"/>
      <c r="S1846" s="1"/>
      <c r="T1846" s="1"/>
      <c r="U1846" s="1"/>
      <c r="V1846" s="1"/>
      <c r="W1846" s="1"/>
      <c r="X1846" s="1"/>
      <c r="Y1846" s="1"/>
      <c r="Z1846" s="1"/>
    </row>
    <row r="1847" spans="1:26" ht="33.75" customHeight="1">
      <c r="A1847" s="1">
        <v>2196</v>
      </c>
      <c r="B1847" s="1" t="s">
        <v>5088</v>
      </c>
      <c r="C1847" s="1" t="s">
        <v>4904</v>
      </c>
      <c r="D1847" s="4">
        <v>39974.323611111111</v>
      </c>
      <c r="E1847" s="1" t="s">
        <v>54</v>
      </c>
      <c r="F1847" s="1"/>
      <c r="G1847" s="5" t="s">
        <v>64</v>
      </c>
      <c r="H1847" s="5" t="s">
        <v>375</v>
      </c>
      <c r="I1847" s="1" t="s">
        <v>900</v>
      </c>
      <c r="J1847" s="1"/>
      <c r="K1847" s="1" t="s">
        <v>5089</v>
      </c>
      <c r="L1847" s="2" t="s">
        <v>5090</v>
      </c>
      <c r="M1847" s="1"/>
      <c r="N1847" s="1"/>
      <c r="O1847" s="1"/>
      <c r="P1847" s="1"/>
      <c r="Q1847" s="1"/>
      <c r="R1847" s="1"/>
      <c r="S1847" s="1"/>
      <c r="T1847" s="1"/>
      <c r="U1847" s="1"/>
      <c r="V1847" s="1"/>
      <c r="W1847" s="1"/>
      <c r="X1847" s="1"/>
      <c r="Y1847" s="1"/>
      <c r="Z1847" s="1"/>
    </row>
    <row r="1848" spans="1:26" ht="33.75" customHeight="1">
      <c r="A1848" s="1">
        <v>2197</v>
      </c>
      <c r="B1848" s="1" t="s">
        <v>5091</v>
      </c>
      <c r="C1848" s="1" t="s">
        <v>4904</v>
      </c>
      <c r="D1848" s="4">
        <v>39974.512499999997</v>
      </c>
      <c r="E1848" s="1" t="s">
        <v>54</v>
      </c>
      <c r="F1848" s="1"/>
      <c r="G1848" s="5" t="s">
        <v>64</v>
      </c>
      <c r="H1848" s="5" t="s">
        <v>375</v>
      </c>
      <c r="I1848" s="1" t="s">
        <v>315</v>
      </c>
      <c r="J1848" s="1" t="s">
        <v>5092</v>
      </c>
      <c r="K1848" s="1"/>
      <c r="L1848" s="2" t="s">
        <v>5093</v>
      </c>
      <c r="M1848" s="1"/>
      <c r="N1848" s="1"/>
      <c r="O1848" s="1"/>
      <c r="P1848" s="1"/>
      <c r="Q1848" s="1"/>
      <c r="R1848" s="1"/>
      <c r="S1848" s="1"/>
      <c r="T1848" s="1"/>
      <c r="U1848" s="1"/>
      <c r="V1848" s="1"/>
      <c r="W1848" s="1"/>
      <c r="X1848" s="1"/>
      <c r="Y1848" s="1"/>
      <c r="Z1848" s="1"/>
    </row>
    <row r="1849" spans="1:26" ht="33.75" customHeight="1">
      <c r="A1849" s="1">
        <v>1479</v>
      </c>
      <c r="B1849" s="1" t="s">
        <v>5094</v>
      </c>
      <c r="C1849" s="1" t="s">
        <v>3929</v>
      </c>
      <c r="D1849" s="4">
        <v>39974.776388888888</v>
      </c>
      <c r="E1849" s="1" t="s">
        <v>320</v>
      </c>
      <c r="F1849" s="1"/>
      <c r="G1849" s="5" t="s">
        <v>64</v>
      </c>
      <c r="H1849" s="5" t="s">
        <v>3663</v>
      </c>
      <c r="I1849" s="1" t="s">
        <v>3664</v>
      </c>
      <c r="J1849" s="1" t="s">
        <v>4847</v>
      </c>
      <c r="K1849" s="1"/>
      <c r="L1849" s="2" t="s">
        <v>5095</v>
      </c>
      <c r="M1849" s="1"/>
      <c r="N1849" s="1"/>
      <c r="O1849" s="1"/>
      <c r="P1849" s="1"/>
      <c r="Q1849" s="1"/>
      <c r="R1849" s="1"/>
      <c r="S1849" s="1"/>
      <c r="T1849" s="1"/>
      <c r="U1849" s="1"/>
      <c r="V1849" s="1"/>
      <c r="W1849" s="1"/>
      <c r="X1849" s="1"/>
      <c r="Y1849" s="1"/>
      <c r="Z1849" s="1"/>
    </row>
    <row r="1850" spans="1:26" ht="33.75" customHeight="1">
      <c r="A1850" s="1">
        <v>1480</v>
      </c>
      <c r="B1850" s="1" t="s">
        <v>5096</v>
      </c>
      <c r="C1850" s="1" t="s">
        <v>3929</v>
      </c>
      <c r="D1850" s="4">
        <v>39974.788888888892</v>
      </c>
      <c r="E1850" s="1" t="s">
        <v>320</v>
      </c>
      <c r="F1850" s="1"/>
      <c r="G1850" s="5" t="s">
        <v>26</v>
      </c>
      <c r="H1850" s="5" t="s">
        <v>133</v>
      </c>
      <c r="I1850" s="1" t="s">
        <v>28</v>
      </c>
      <c r="J1850" s="1" t="s">
        <v>134</v>
      </c>
      <c r="K1850" s="1" t="s">
        <v>5097</v>
      </c>
      <c r="L1850" s="2" t="s">
        <v>5098</v>
      </c>
      <c r="M1850" s="1"/>
      <c r="N1850" s="1"/>
      <c r="O1850" s="1"/>
      <c r="P1850" s="1"/>
      <c r="Q1850" s="1"/>
      <c r="R1850" s="1"/>
      <c r="S1850" s="1"/>
      <c r="T1850" s="1"/>
      <c r="U1850" s="1"/>
      <c r="V1850" s="1"/>
      <c r="W1850" s="1"/>
      <c r="X1850" s="1"/>
      <c r="Y1850" s="1"/>
      <c r="Z1850" s="1"/>
    </row>
    <row r="1851" spans="1:26" ht="33.75" customHeight="1">
      <c r="A1851" s="1">
        <v>2198</v>
      </c>
      <c r="B1851" s="1" t="s">
        <v>5099</v>
      </c>
      <c r="C1851" s="1" t="s">
        <v>4904</v>
      </c>
      <c r="D1851" s="4">
        <v>39974.95208333333</v>
      </c>
      <c r="E1851" s="1" t="s">
        <v>1887</v>
      </c>
      <c r="F1851" s="1"/>
      <c r="G1851" s="5" t="s">
        <v>26</v>
      </c>
      <c r="H1851" s="5" t="s">
        <v>133</v>
      </c>
      <c r="I1851" s="1" t="s">
        <v>28</v>
      </c>
      <c r="J1851" s="1" t="s">
        <v>134</v>
      </c>
      <c r="K1851" s="1" t="s">
        <v>5100</v>
      </c>
      <c r="L1851" s="2" t="s">
        <v>5101</v>
      </c>
      <c r="M1851" s="1"/>
      <c r="N1851" s="1"/>
      <c r="O1851" s="1"/>
      <c r="P1851" s="1"/>
      <c r="Q1851" s="1"/>
      <c r="R1851" s="1"/>
      <c r="S1851" s="1"/>
      <c r="T1851" s="1"/>
      <c r="U1851" s="1"/>
      <c r="V1851" s="1"/>
      <c r="W1851" s="1"/>
      <c r="X1851" s="1"/>
      <c r="Y1851" s="1"/>
      <c r="Z1851" s="1"/>
    </row>
    <row r="1852" spans="1:26" ht="33.75" customHeight="1">
      <c r="A1852" s="1">
        <v>2199</v>
      </c>
      <c r="B1852" s="1" t="s">
        <v>5102</v>
      </c>
      <c r="C1852" s="1" t="s">
        <v>4904</v>
      </c>
      <c r="D1852" s="4">
        <v>39975.362500000003</v>
      </c>
      <c r="E1852" s="1" t="s">
        <v>772</v>
      </c>
      <c r="F1852" s="1"/>
      <c r="G1852" s="6" t="s">
        <v>78</v>
      </c>
      <c r="H1852" s="5" t="s">
        <v>197</v>
      </c>
      <c r="I1852" s="1" t="s">
        <v>213</v>
      </c>
      <c r="J1852" s="1" t="s">
        <v>214</v>
      </c>
      <c r="K1852" s="1"/>
      <c r="L1852" s="2" t="s">
        <v>5103</v>
      </c>
      <c r="M1852" s="1"/>
      <c r="N1852" s="1"/>
      <c r="O1852" s="1"/>
      <c r="P1852" s="1"/>
      <c r="Q1852" s="1"/>
      <c r="R1852" s="1"/>
      <c r="S1852" s="1"/>
      <c r="T1852" s="1"/>
      <c r="U1852" s="1"/>
      <c r="V1852" s="1"/>
      <c r="W1852" s="1"/>
      <c r="X1852" s="1"/>
      <c r="Y1852" s="1"/>
      <c r="Z1852" s="1"/>
    </row>
    <row r="1853" spans="1:26" ht="33.75" customHeight="1">
      <c r="A1853" s="1">
        <v>2200</v>
      </c>
      <c r="B1853" s="1" t="s">
        <v>5104</v>
      </c>
      <c r="C1853" s="1" t="s">
        <v>4904</v>
      </c>
      <c r="D1853" s="4">
        <v>39975.459027777775</v>
      </c>
      <c r="E1853" s="1" t="s">
        <v>54</v>
      </c>
      <c r="F1853" s="1" t="s">
        <v>5099</v>
      </c>
      <c r="G1853" s="5" t="s">
        <v>64</v>
      </c>
      <c r="H1853" s="5" t="s">
        <v>375</v>
      </c>
      <c r="I1853" s="1" t="s">
        <v>5105</v>
      </c>
      <c r="J1853" s="1"/>
      <c r="K1853" s="1"/>
      <c r="L1853" s="2" t="s">
        <v>5106</v>
      </c>
      <c r="M1853" s="1"/>
      <c r="N1853" s="1"/>
      <c r="O1853" s="1"/>
      <c r="P1853" s="1"/>
      <c r="Q1853" s="1"/>
      <c r="R1853" s="1"/>
      <c r="S1853" s="1"/>
      <c r="T1853" s="1"/>
      <c r="U1853" s="1"/>
      <c r="V1853" s="1"/>
      <c r="W1853" s="1"/>
      <c r="X1853" s="1"/>
      <c r="Y1853" s="1"/>
      <c r="Z1853" s="1"/>
    </row>
    <row r="1854" spans="1:26" ht="33.75" customHeight="1">
      <c r="A1854" s="1">
        <v>2201</v>
      </c>
      <c r="B1854" s="1" t="s">
        <v>5107</v>
      </c>
      <c r="C1854" s="1" t="s">
        <v>4904</v>
      </c>
      <c r="D1854" s="4">
        <v>39975.478472222225</v>
      </c>
      <c r="E1854" s="1" t="s">
        <v>1887</v>
      </c>
      <c r="F1854" s="1"/>
      <c r="G1854" s="5" t="s">
        <v>33</v>
      </c>
      <c r="H1854" s="5" t="s">
        <v>5007</v>
      </c>
      <c r="I1854" s="1" t="s">
        <v>5008</v>
      </c>
      <c r="J1854" s="1"/>
      <c r="K1854" s="1"/>
      <c r="L1854" s="2" t="s">
        <v>5108</v>
      </c>
      <c r="M1854" s="1"/>
      <c r="N1854" s="1"/>
      <c r="O1854" s="1"/>
      <c r="P1854" s="1"/>
      <c r="Q1854" s="1"/>
      <c r="R1854" s="1"/>
      <c r="S1854" s="1"/>
      <c r="T1854" s="1"/>
      <c r="U1854" s="1"/>
      <c r="V1854" s="1"/>
      <c r="W1854" s="1"/>
      <c r="X1854" s="1"/>
      <c r="Y1854" s="1"/>
      <c r="Z1854" s="1"/>
    </row>
    <row r="1855" spans="1:26" ht="33.75" customHeight="1">
      <c r="A1855" s="1">
        <v>2202</v>
      </c>
      <c r="B1855" s="1" t="s">
        <v>5109</v>
      </c>
      <c r="C1855" s="1" t="s">
        <v>4904</v>
      </c>
      <c r="D1855" s="4">
        <v>39975.527777777781</v>
      </c>
      <c r="E1855" s="1" t="s">
        <v>2893</v>
      </c>
      <c r="F1855" s="1"/>
      <c r="G1855" s="5" t="s">
        <v>64</v>
      </c>
      <c r="H1855" s="5" t="s">
        <v>375</v>
      </c>
      <c r="I1855" s="1" t="s">
        <v>56</v>
      </c>
      <c r="J1855" s="1"/>
      <c r="K1855" s="1"/>
      <c r="L1855" s="2" t="s">
        <v>5110</v>
      </c>
      <c r="M1855" s="1"/>
      <c r="N1855" s="1"/>
      <c r="O1855" s="1"/>
      <c r="P1855" s="1"/>
      <c r="Q1855" s="1"/>
      <c r="R1855" s="1"/>
      <c r="S1855" s="1"/>
      <c r="T1855" s="1"/>
      <c r="U1855" s="1"/>
      <c r="V1855" s="1"/>
      <c r="W1855" s="1"/>
      <c r="X1855" s="1"/>
      <c r="Y1855" s="1"/>
      <c r="Z1855" s="1"/>
    </row>
    <row r="1856" spans="1:26" ht="33.75" customHeight="1">
      <c r="A1856" s="1">
        <v>2203</v>
      </c>
      <c r="B1856" s="1" t="s">
        <v>5111</v>
      </c>
      <c r="C1856" s="1" t="s">
        <v>4904</v>
      </c>
      <c r="D1856" s="4">
        <v>39975.661805555559</v>
      </c>
      <c r="E1856" s="1" t="s">
        <v>54</v>
      </c>
      <c r="F1856" s="1"/>
      <c r="G1856" s="5" t="s">
        <v>64</v>
      </c>
      <c r="H1856" s="5" t="s">
        <v>375</v>
      </c>
      <c r="I1856" s="1" t="s">
        <v>900</v>
      </c>
      <c r="J1856" s="1"/>
      <c r="K1856" s="1"/>
      <c r="L1856" s="2" t="s">
        <v>5112</v>
      </c>
      <c r="M1856" s="1"/>
      <c r="N1856" s="1"/>
      <c r="O1856" s="1"/>
      <c r="P1856" s="1"/>
      <c r="Q1856" s="1"/>
      <c r="R1856" s="1"/>
      <c r="S1856" s="1"/>
      <c r="T1856" s="1"/>
      <c r="U1856" s="1"/>
      <c r="V1856" s="1"/>
      <c r="W1856" s="1"/>
      <c r="X1856" s="1"/>
      <c r="Y1856" s="1"/>
      <c r="Z1856" s="1"/>
    </row>
    <row r="1857" spans="1:26" ht="33.75" customHeight="1">
      <c r="A1857" s="1">
        <v>2204</v>
      </c>
      <c r="B1857" s="1" t="s">
        <v>5113</v>
      </c>
      <c r="C1857" s="1" t="s">
        <v>4904</v>
      </c>
      <c r="D1857" s="4">
        <v>39975.844444444447</v>
      </c>
      <c r="E1857" s="1" t="s">
        <v>1089</v>
      </c>
      <c r="F1857" s="1"/>
      <c r="G1857" s="5" t="s">
        <v>26</v>
      </c>
      <c r="H1857" s="5" t="s">
        <v>133</v>
      </c>
      <c r="I1857" s="1" t="s">
        <v>28</v>
      </c>
      <c r="J1857" s="1" t="s">
        <v>134</v>
      </c>
      <c r="K1857" s="1"/>
      <c r="L1857" s="2" t="s">
        <v>5114</v>
      </c>
      <c r="M1857" s="1"/>
      <c r="N1857" s="1"/>
      <c r="O1857" s="1"/>
      <c r="P1857" s="1"/>
      <c r="Q1857" s="1"/>
      <c r="R1857" s="1"/>
      <c r="S1857" s="1"/>
      <c r="T1857" s="1"/>
      <c r="U1857" s="1"/>
      <c r="V1857" s="1"/>
      <c r="W1857" s="1"/>
      <c r="X1857" s="1"/>
      <c r="Y1857" s="1"/>
      <c r="Z1857" s="1"/>
    </row>
    <row r="1858" spans="1:26" ht="33.75" customHeight="1">
      <c r="A1858" s="1">
        <v>2205</v>
      </c>
      <c r="B1858" s="1" t="s">
        <v>5115</v>
      </c>
      <c r="C1858" s="1" t="s">
        <v>4904</v>
      </c>
      <c r="D1858" s="4">
        <v>39975.87222222222</v>
      </c>
      <c r="E1858" s="1" t="s">
        <v>54</v>
      </c>
      <c r="F1858" s="1"/>
      <c r="G1858" s="5" t="s">
        <v>33</v>
      </c>
      <c r="H1858" s="5" t="s">
        <v>5007</v>
      </c>
      <c r="I1858" s="1" t="s">
        <v>1230</v>
      </c>
      <c r="J1858" s="1"/>
      <c r="K1858" s="1" t="s">
        <v>5116</v>
      </c>
      <c r="L1858" s="2" t="s">
        <v>5117</v>
      </c>
      <c r="M1858" s="1"/>
      <c r="N1858" s="1"/>
      <c r="O1858" s="1"/>
      <c r="P1858" s="1"/>
      <c r="Q1858" s="1"/>
      <c r="R1858" s="1"/>
      <c r="S1858" s="1"/>
      <c r="T1858" s="1"/>
      <c r="U1858" s="1"/>
      <c r="V1858" s="1"/>
      <c r="W1858" s="1"/>
      <c r="X1858" s="1"/>
      <c r="Y1858" s="1"/>
      <c r="Z1858" s="1"/>
    </row>
    <row r="1859" spans="1:26" ht="33.75" customHeight="1">
      <c r="A1859" s="1">
        <v>2206</v>
      </c>
      <c r="B1859" s="1" t="s">
        <v>5118</v>
      </c>
      <c r="C1859" s="1" t="s">
        <v>4904</v>
      </c>
      <c r="D1859" s="4">
        <v>39975.875</v>
      </c>
      <c r="E1859" s="1" t="s">
        <v>1089</v>
      </c>
      <c r="F1859" s="1"/>
      <c r="G1859" s="5" t="s">
        <v>15</v>
      </c>
      <c r="H1859" s="5" t="s">
        <v>150</v>
      </c>
      <c r="I1859" s="1" t="s">
        <v>1803</v>
      </c>
      <c r="J1859" s="1"/>
      <c r="K1859" s="1"/>
      <c r="L1859" s="2" t="s">
        <v>5119</v>
      </c>
      <c r="M1859" s="1"/>
      <c r="N1859" s="1"/>
      <c r="O1859" s="1"/>
      <c r="P1859" s="1"/>
      <c r="Q1859" s="1"/>
      <c r="R1859" s="1"/>
      <c r="S1859" s="1"/>
      <c r="T1859" s="1"/>
      <c r="U1859" s="1"/>
      <c r="V1859" s="1"/>
      <c r="W1859" s="1"/>
      <c r="X1859" s="1"/>
      <c r="Y1859" s="1"/>
      <c r="Z1859" s="1"/>
    </row>
    <row r="1860" spans="1:26" ht="33.75" customHeight="1">
      <c r="A1860" s="1">
        <v>2207</v>
      </c>
      <c r="B1860" s="1" t="s">
        <v>5120</v>
      </c>
      <c r="C1860" s="1" t="s">
        <v>4904</v>
      </c>
      <c r="D1860" s="4">
        <v>39975.884027777778</v>
      </c>
      <c r="E1860" s="1" t="s">
        <v>54</v>
      </c>
      <c r="F1860" s="1"/>
      <c r="G1860" s="5" t="s">
        <v>15</v>
      </c>
      <c r="H1860" s="5" t="s">
        <v>150</v>
      </c>
      <c r="I1860" s="1" t="s">
        <v>5121</v>
      </c>
      <c r="J1860" s="1"/>
      <c r="K1860" s="1" t="s">
        <v>5122</v>
      </c>
      <c r="L1860" s="2" t="s">
        <v>5123</v>
      </c>
      <c r="M1860" s="1"/>
      <c r="N1860" s="1"/>
      <c r="O1860" s="1"/>
      <c r="P1860" s="1"/>
      <c r="Q1860" s="1"/>
      <c r="R1860" s="1"/>
      <c r="S1860" s="1"/>
      <c r="T1860" s="1"/>
      <c r="U1860" s="1"/>
      <c r="V1860" s="1"/>
      <c r="W1860" s="1"/>
      <c r="X1860" s="1"/>
      <c r="Y1860" s="1"/>
      <c r="Z1860" s="1"/>
    </row>
    <row r="1861" spans="1:26" ht="33.75" customHeight="1">
      <c r="A1861" s="1">
        <v>1481</v>
      </c>
      <c r="B1861" s="1" t="s">
        <v>5124</v>
      </c>
      <c r="C1861" s="1" t="s">
        <v>3929</v>
      </c>
      <c r="D1861" s="4">
        <v>39975.888194444444</v>
      </c>
      <c r="E1861" s="1" t="s">
        <v>320</v>
      </c>
      <c r="F1861" s="1"/>
      <c r="G1861" s="5" t="s">
        <v>64</v>
      </c>
      <c r="H1861" s="5" t="s">
        <v>3663</v>
      </c>
      <c r="I1861" s="1" t="s">
        <v>3664</v>
      </c>
      <c r="J1861" s="1" t="s">
        <v>4847</v>
      </c>
      <c r="K1861" s="1"/>
      <c r="L1861" s="2" t="s">
        <v>5125</v>
      </c>
      <c r="M1861" s="1"/>
      <c r="N1861" s="1"/>
      <c r="O1861" s="1"/>
      <c r="P1861" s="1"/>
      <c r="Q1861" s="1"/>
      <c r="R1861" s="1"/>
      <c r="S1861" s="1"/>
      <c r="T1861" s="1"/>
      <c r="U1861" s="1"/>
      <c r="V1861" s="1"/>
      <c r="W1861" s="1"/>
      <c r="X1861" s="1"/>
      <c r="Y1861" s="1"/>
      <c r="Z1861" s="1"/>
    </row>
    <row r="1862" spans="1:26" ht="33.75" customHeight="1">
      <c r="A1862" s="1">
        <v>2208</v>
      </c>
      <c r="B1862" s="1" t="s">
        <v>5126</v>
      </c>
      <c r="C1862" s="1" t="s">
        <v>4904</v>
      </c>
      <c r="D1862" s="4">
        <v>39975.888194444444</v>
      </c>
      <c r="E1862" s="1" t="s">
        <v>1089</v>
      </c>
      <c r="F1862" s="1"/>
      <c r="G1862" s="5" t="s">
        <v>26</v>
      </c>
      <c r="H1862" s="5" t="s">
        <v>133</v>
      </c>
      <c r="I1862" s="1" t="s">
        <v>28</v>
      </c>
      <c r="J1862" s="1" t="s">
        <v>134</v>
      </c>
      <c r="K1862" s="1"/>
      <c r="L1862" s="2" t="s">
        <v>5127</v>
      </c>
      <c r="M1862" s="1"/>
      <c r="N1862" s="1"/>
      <c r="O1862" s="1"/>
      <c r="P1862" s="1"/>
      <c r="Q1862" s="1"/>
      <c r="R1862" s="1"/>
      <c r="S1862" s="1"/>
      <c r="T1862" s="1"/>
      <c r="U1862" s="1"/>
      <c r="V1862" s="1"/>
      <c r="W1862" s="1"/>
      <c r="X1862" s="1"/>
      <c r="Y1862" s="1"/>
      <c r="Z1862" s="1"/>
    </row>
    <row r="1863" spans="1:26" ht="33.75" customHeight="1">
      <c r="A1863" s="1">
        <v>2209</v>
      </c>
      <c r="B1863" s="1" t="s">
        <v>5128</v>
      </c>
      <c r="C1863" s="1" t="s">
        <v>4904</v>
      </c>
      <c r="D1863" s="4">
        <v>39975.893750000003</v>
      </c>
      <c r="E1863" s="1" t="s">
        <v>54</v>
      </c>
      <c r="F1863" s="1"/>
      <c r="G1863" s="5" t="s">
        <v>64</v>
      </c>
      <c r="H1863" s="5" t="s">
        <v>375</v>
      </c>
      <c r="I1863" s="1" t="s">
        <v>5129</v>
      </c>
      <c r="J1863" s="1"/>
      <c r="K1863" s="1"/>
      <c r="L1863" s="2" t="s">
        <v>5130</v>
      </c>
      <c r="M1863" s="1"/>
      <c r="N1863" s="1"/>
      <c r="O1863" s="1"/>
      <c r="P1863" s="1"/>
      <c r="Q1863" s="1"/>
      <c r="R1863" s="1"/>
      <c r="S1863" s="1"/>
      <c r="T1863" s="1"/>
      <c r="U1863" s="1"/>
      <c r="V1863" s="1"/>
      <c r="W1863" s="1"/>
      <c r="X1863" s="1"/>
      <c r="Y1863" s="1"/>
      <c r="Z1863" s="1"/>
    </row>
    <row r="1864" spans="1:26" ht="33.75" customHeight="1">
      <c r="A1864" s="1">
        <v>1482</v>
      </c>
      <c r="B1864" s="1" t="s">
        <v>5131</v>
      </c>
      <c r="C1864" s="1" t="s">
        <v>3929</v>
      </c>
      <c r="D1864" s="4">
        <v>39975.949305555558</v>
      </c>
      <c r="E1864" s="1" t="s">
        <v>320</v>
      </c>
      <c r="F1864" s="1"/>
      <c r="G1864" s="5" t="s">
        <v>64</v>
      </c>
      <c r="H1864" s="5" t="s">
        <v>3663</v>
      </c>
      <c r="I1864" s="1" t="s">
        <v>3664</v>
      </c>
      <c r="J1864" s="1" t="s">
        <v>4847</v>
      </c>
      <c r="K1864" s="1"/>
      <c r="L1864" s="2" t="s">
        <v>5132</v>
      </c>
      <c r="M1864" s="1"/>
      <c r="N1864" s="1"/>
      <c r="O1864" s="1"/>
      <c r="P1864" s="1"/>
      <c r="Q1864" s="1"/>
      <c r="R1864" s="1"/>
      <c r="S1864" s="1"/>
      <c r="T1864" s="1"/>
      <c r="U1864" s="1"/>
      <c r="V1864" s="1"/>
      <c r="W1864" s="1"/>
      <c r="X1864" s="1"/>
      <c r="Y1864" s="1"/>
      <c r="Z1864" s="1"/>
    </row>
    <row r="1865" spans="1:26" ht="33.75" customHeight="1">
      <c r="A1865" s="1">
        <v>1483</v>
      </c>
      <c r="B1865" s="1" t="s">
        <v>5133</v>
      </c>
      <c r="C1865" s="1" t="s">
        <v>3929</v>
      </c>
      <c r="D1865" s="4">
        <v>39975.999305555553</v>
      </c>
      <c r="E1865" s="1" t="s">
        <v>14</v>
      </c>
      <c r="F1865" s="1" t="s">
        <v>5131</v>
      </c>
      <c r="G1865" s="5" t="s">
        <v>26</v>
      </c>
      <c r="H1865" s="5" t="s">
        <v>133</v>
      </c>
      <c r="I1865" s="1" t="s">
        <v>2382</v>
      </c>
      <c r="J1865" s="1"/>
      <c r="K1865" s="1"/>
      <c r="L1865" s="2" t="s">
        <v>5134</v>
      </c>
      <c r="M1865" s="1"/>
      <c r="N1865" s="1"/>
      <c r="O1865" s="1"/>
      <c r="P1865" s="1"/>
      <c r="Q1865" s="1"/>
      <c r="R1865" s="1"/>
      <c r="S1865" s="1"/>
      <c r="T1865" s="1"/>
      <c r="U1865" s="1"/>
      <c r="V1865" s="1"/>
      <c r="W1865" s="1"/>
      <c r="X1865" s="1"/>
      <c r="Y1865" s="1"/>
      <c r="Z1865" s="1"/>
    </row>
    <row r="1866" spans="1:26" ht="33.75" customHeight="1">
      <c r="A1866" s="1">
        <v>2210</v>
      </c>
      <c r="B1866" s="1" t="s">
        <v>5135</v>
      </c>
      <c r="C1866" s="1" t="s">
        <v>4904</v>
      </c>
      <c r="D1866" s="4">
        <v>39976.177777777775</v>
      </c>
      <c r="E1866" s="1" t="s">
        <v>1887</v>
      </c>
      <c r="F1866" s="1"/>
      <c r="G1866" s="5" t="s">
        <v>64</v>
      </c>
      <c r="H1866" s="5" t="s">
        <v>375</v>
      </c>
      <c r="I1866" s="1" t="s">
        <v>900</v>
      </c>
      <c r="J1866" s="1"/>
      <c r="K1866" s="1"/>
      <c r="L1866" s="2" t="s">
        <v>5136</v>
      </c>
      <c r="M1866" s="1"/>
      <c r="N1866" s="1"/>
      <c r="O1866" s="1"/>
      <c r="P1866" s="1"/>
      <c r="Q1866" s="1"/>
      <c r="R1866" s="1"/>
      <c r="S1866" s="1"/>
      <c r="T1866" s="1"/>
      <c r="U1866" s="1"/>
      <c r="V1866" s="1"/>
      <c r="W1866" s="1"/>
      <c r="X1866" s="1"/>
      <c r="Y1866" s="1"/>
      <c r="Z1866" s="1"/>
    </row>
    <row r="1867" spans="1:26" ht="33.75" customHeight="1">
      <c r="A1867" s="1">
        <v>2211</v>
      </c>
      <c r="B1867" s="1" t="s">
        <v>5137</v>
      </c>
      <c r="C1867" s="1" t="s">
        <v>4904</v>
      </c>
      <c r="D1867" s="4">
        <v>39976.209722222222</v>
      </c>
      <c r="E1867" s="1" t="s">
        <v>1887</v>
      </c>
      <c r="F1867" s="1" t="s">
        <v>5135</v>
      </c>
      <c r="G1867" s="5" t="s">
        <v>64</v>
      </c>
      <c r="H1867" s="5" t="s">
        <v>179</v>
      </c>
      <c r="I1867" s="1" t="s">
        <v>179</v>
      </c>
      <c r="J1867" s="1"/>
      <c r="K1867" s="1"/>
      <c r="L1867" s="2" t="s">
        <v>5138</v>
      </c>
      <c r="M1867" s="1"/>
      <c r="N1867" s="1"/>
      <c r="O1867" s="1"/>
      <c r="P1867" s="1"/>
      <c r="Q1867" s="1"/>
      <c r="R1867" s="1"/>
      <c r="S1867" s="1"/>
      <c r="T1867" s="1"/>
      <c r="U1867" s="1"/>
      <c r="V1867" s="1"/>
      <c r="W1867" s="1"/>
      <c r="X1867" s="1"/>
      <c r="Y1867" s="1"/>
      <c r="Z1867" s="1"/>
    </row>
    <row r="1868" spans="1:26" ht="33.75" customHeight="1">
      <c r="A1868" s="1">
        <v>2212</v>
      </c>
      <c r="B1868" s="1" t="s">
        <v>5139</v>
      </c>
      <c r="C1868" s="1" t="s">
        <v>4904</v>
      </c>
      <c r="D1868" s="4">
        <v>39976.288888888892</v>
      </c>
      <c r="E1868" s="1" t="s">
        <v>1089</v>
      </c>
      <c r="F1868" s="1"/>
      <c r="G1868" s="5" t="s">
        <v>33</v>
      </c>
      <c r="H1868" s="5" t="s">
        <v>34</v>
      </c>
      <c r="I1868" s="1" t="s">
        <v>1605</v>
      </c>
      <c r="J1868" s="1"/>
      <c r="K1868" s="1" t="s">
        <v>5140</v>
      </c>
      <c r="L1868" s="2" t="s">
        <v>5141</v>
      </c>
      <c r="M1868" s="1"/>
      <c r="N1868" s="1"/>
      <c r="O1868" s="1"/>
      <c r="P1868" s="1"/>
      <c r="Q1868" s="1"/>
      <c r="R1868" s="1"/>
      <c r="S1868" s="1"/>
      <c r="T1868" s="1"/>
      <c r="U1868" s="1"/>
      <c r="V1868" s="1"/>
      <c r="W1868" s="1"/>
      <c r="X1868" s="1"/>
      <c r="Y1868" s="1"/>
      <c r="Z1868" s="1"/>
    </row>
    <row r="1869" spans="1:26" ht="33.75" customHeight="1">
      <c r="A1869" s="1">
        <v>1484</v>
      </c>
      <c r="B1869" s="1" t="s">
        <v>5142</v>
      </c>
      <c r="C1869" s="1" t="s">
        <v>3929</v>
      </c>
      <c r="D1869" s="4">
        <v>39976.296527777777</v>
      </c>
      <c r="E1869" s="1" t="s">
        <v>54</v>
      </c>
      <c r="F1869" s="1" t="s">
        <v>5131</v>
      </c>
      <c r="G1869" s="5" t="s">
        <v>64</v>
      </c>
      <c r="H1869" s="5" t="s">
        <v>3663</v>
      </c>
      <c r="I1869" s="1" t="s">
        <v>2382</v>
      </c>
      <c r="J1869" s="1"/>
      <c r="K1869" s="1"/>
      <c r="L1869" s="2" t="s">
        <v>5143</v>
      </c>
      <c r="M1869" s="1"/>
      <c r="N1869" s="1"/>
      <c r="O1869" s="1"/>
      <c r="P1869" s="1"/>
      <c r="Q1869" s="1"/>
      <c r="R1869" s="1"/>
      <c r="S1869" s="1"/>
      <c r="T1869" s="1"/>
      <c r="U1869" s="1"/>
      <c r="V1869" s="1"/>
      <c r="W1869" s="1"/>
      <c r="X1869" s="1"/>
      <c r="Y1869" s="1"/>
      <c r="Z1869" s="1"/>
    </row>
    <row r="1870" spans="1:26" ht="33.75" customHeight="1">
      <c r="A1870" s="1">
        <v>2213</v>
      </c>
      <c r="B1870" s="1" t="s">
        <v>5144</v>
      </c>
      <c r="C1870" s="1" t="s">
        <v>4904</v>
      </c>
      <c r="D1870" s="4">
        <v>39976.365972222222</v>
      </c>
      <c r="E1870" s="1" t="s">
        <v>54</v>
      </c>
      <c r="F1870" s="1"/>
      <c r="G1870" s="5" t="s">
        <v>64</v>
      </c>
      <c r="H1870" s="5" t="s">
        <v>375</v>
      </c>
      <c r="I1870" s="1" t="s">
        <v>900</v>
      </c>
      <c r="J1870" s="1"/>
      <c r="K1870" s="1"/>
      <c r="L1870" s="2" t="s">
        <v>5145</v>
      </c>
      <c r="M1870" s="1"/>
      <c r="N1870" s="1"/>
      <c r="O1870" s="1"/>
      <c r="P1870" s="1"/>
      <c r="Q1870" s="1"/>
      <c r="R1870" s="1"/>
      <c r="S1870" s="1"/>
      <c r="T1870" s="1"/>
      <c r="U1870" s="1"/>
      <c r="V1870" s="1"/>
      <c r="W1870" s="1"/>
      <c r="X1870" s="1"/>
      <c r="Y1870" s="1"/>
      <c r="Z1870" s="1"/>
    </row>
    <row r="1871" spans="1:26" ht="33.75" customHeight="1">
      <c r="A1871" s="1">
        <v>2214</v>
      </c>
      <c r="B1871" s="1" t="s">
        <v>5146</v>
      </c>
      <c r="C1871" s="1" t="s">
        <v>4904</v>
      </c>
      <c r="D1871" s="4">
        <v>39976.440972222219</v>
      </c>
      <c r="E1871" s="1" t="s">
        <v>772</v>
      </c>
      <c r="F1871" s="1"/>
      <c r="G1871" s="5" t="s">
        <v>64</v>
      </c>
      <c r="H1871" s="5" t="s">
        <v>5147</v>
      </c>
      <c r="I1871" s="1" t="s">
        <v>5148</v>
      </c>
      <c r="J1871" s="1"/>
      <c r="K1871" s="1"/>
      <c r="L1871" s="2" t="s">
        <v>5149</v>
      </c>
      <c r="M1871" s="1"/>
      <c r="N1871" s="1"/>
      <c r="O1871" s="1"/>
      <c r="P1871" s="1"/>
      <c r="Q1871" s="1"/>
      <c r="R1871" s="1"/>
      <c r="S1871" s="1"/>
      <c r="T1871" s="1"/>
      <c r="U1871" s="1"/>
      <c r="V1871" s="1"/>
      <c r="W1871" s="1"/>
      <c r="X1871" s="1"/>
      <c r="Y1871" s="1"/>
      <c r="Z1871" s="1"/>
    </row>
    <row r="1872" spans="1:26" ht="33.75" customHeight="1">
      <c r="A1872" s="1">
        <v>2215</v>
      </c>
      <c r="B1872" s="1" t="s">
        <v>5150</v>
      </c>
      <c r="C1872" s="1" t="s">
        <v>4904</v>
      </c>
      <c r="D1872" s="4">
        <v>39976.62777777778</v>
      </c>
      <c r="E1872" s="1" t="s">
        <v>1089</v>
      </c>
      <c r="F1872" s="1" t="s">
        <v>5146</v>
      </c>
      <c r="G1872" s="5" t="s">
        <v>64</v>
      </c>
      <c r="H1872" s="5" t="s">
        <v>375</v>
      </c>
      <c r="I1872" s="1" t="s">
        <v>259</v>
      </c>
      <c r="J1872" s="1"/>
      <c r="K1872" s="1"/>
      <c r="L1872" s="2" t="s">
        <v>5151</v>
      </c>
      <c r="M1872" s="1"/>
      <c r="N1872" s="1"/>
      <c r="O1872" s="1"/>
      <c r="P1872" s="1"/>
      <c r="Q1872" s="1"/>
      <c r="R1872" s="1"/>
      <c r="S1872" s="1"/>
      <c r="T1872" s="1"/>
      <c r="U1872" s="1"/>
      <c r="V1872" s="1"/>
      <c r="W1872" s="1"/>
      <c r="X1872" s="1"/>
      <c r="Y1872" s="1"/>
      <c r="Z1872" s="1"/>
    </row>
    <row r="1873" spans="1:26" ht="33.75" customHeight="1">
      <c r="A1873" s="1">
        <v>2216</v>
      </c>
      <c r="B1873" s="1" t="s">
        <v>5152</v>
      </c>
      <c r="C1873" s="1" t="s">
        <v>4904</v>
      </c>
      <c r="D1873" s="4">
        <v>39976.651388888888</v>
      </c>
      <c r="E1873" s="1" t="s">
        <v>54</v>
      </c>
      <c r="F1873" s="1"/>
      <c r="G1873" s="5" t="s">
        <v>15</v>
      </c>
      <c r="H1873" s="5" t="s">
        <v>150</v>
      </c>
      <c r="I1873" s="1" t="s">
        <v>5153</v>
      </c>
      <c r="J1873" s="1"/>
      <c r="K1873" s="1" t="s">
        <v>5154</v>
      </c>
      <c r="L1873" s="2" t="s">
        <v>5155</v>
      </c>
      <c r="M1873" s="1"/>
      <c r="N1873" s="1"/>
      <c r="O1873" s="1"/>
      <c r="P1873" s="1"/>
      <c r="Q1873" s="1"/>
      <c r="R1873" s="1"/>
      <c r="S1873" s="1"/>
      <c r="T1873" s="1"/>
      <c r="U1873" s="1"/>
      <c r="V1873" s="1"/>
      <c r="W1873" s="1"/>
      <c r="X1873" s="1"/>
      <c r="Y1873" s="1"/>
      <c r="Z1873" s="1"/>
    </row>
    <row r="1874" spans="1:26" ht="33.75" customHeight="1">
      <c r="A1874" s="1">
        <v>2217</v>
      </c>
      <c r="B1874" s="1" t="s">
        <v>5156</v>
      </c>
      <c r="C1874" s="1" t="s">
        <v>4904</v>
      </c>
      <c r="D1874" s="4">
        <v>39976.720833333333</v>
      </c>
      <c r="E1874" s="1" t="s">
        <v>54</v>
      </c>
      <c r="F1874" s="1"/>
      <c r="G1874" s="5" t="s">
        <v>64</v>
      </c>
      <c r="H1874" s="5" t="s">
        <v>431</v>
      </c>
      <c r="I1874" s="1" t="s">
        <v>5074</v>
      </c>
      <c r="J1874" s="1"/>
      <c r="K1874" s="1"/>
      <c r="L1874" s="2" t="s">
        <v>5157</v>
      </c>
      <c r="M1874" s="1"/>
      <c r="N1874" s="1"/>
      <c r="O1874" s="1"/>
      <c r="P1874" s="1"/>
      <c r="Q1874" s="1"/>
      <c r="R1874" s="1"/>
      <c r="S1874" s="1"/>
      <c r="T1874" s="1"/>
      <c r="U1874" s="1"/>
      <c r="V1874" s="1"/>
      <c r="W1874" s="1"/>
      <c r="X1874" s="1"/>
      <c r="Y1874" s="1"/>
      <c r="Z1874" s="1"/>
    </row>
    <row r="1875" spans="1:26" ht="33.75" customHeight="1">
      <c r="A1875" s="1">
        <v>2218</v>
      </c>
      <c r="B1875" s="1" t="s">
        <v>5158</v>
      </c>
      <c r="C1875" s="1" t="s">
        <v>4904</v>
      </c>
      <c r="D1875" s="4">
        <v>39976.734027777777</v>
      </c>
      <c r="E1875" s="1" t="s">
        <v>54</v>
      </c>
      <c r="F1875" s="1"/>
      <c r="G1875" s="5" t="s">
        <v>64</v>
      </c>
      <c r="H1875" s="5" t="s">
        <v>431</v>
      </c>
      <c r="I1875" s="1" t="s">
        <v>5159</v>
      </c>
      <c r="J1875" s="1"/>
      <c r="K1875" s="1"/>
      <c r="L1875" s="2" t="s">
        <v>5160</v>
      </c>
      <c r="M1875" s="1"/>
      <c r="N1875" s="1"/>
      <c r="O1875" s="1"/>
      <c r="P1875" s="1"/>
      <c r="Q1875" s="1"/>
      <c r="R1875" s="1"/>
      <c r="S1875" s="1"/>
      <c r="T1875" s="1"/>
      <c r="U1875" s="1"/>
      <c r="V1875" s="1"/>
      <c r="W1875" s="1"/>
      <c r="X1875" s="1"/>
      <c r="Y1875" s="1"/>
      <c r="Z1875" s="1"/>
    </row>
    <row r="1876" spans="1:26" ht="33.75" customHeight="1">
      <c r="A1876" s="1">
        <v>2219</v>
      </c>
      <c r="B1876" s="1" t="s">
        <v>5161</v>
      </c>
      <c r="C1876" s="1" t="s">
        <v>4904</v>
      </c>
      <c r="D1876" s="4">
        <v>39976.839583333334</v>
      </c>
      <c r="E1876" s="1" t="s">
        <v>772</v>
      </c>
      <c r="F1876" s="1" t="s">
        <v>5162</v>
      </c>
      <c r="G1876" s="5" t="s">
        <v>64</v>
      </c>
      <c r="H1876" s="5" t="s">
        <v>5147</v>
      </c>
      <c r="I1876" s="1" t="s">
        <v>213</v>
      </c>
      <c r="J1876" s="1" t="s">
        <v>2493</v>
      </c>
      <c r="K1876" s="1"/>
      <c r="L1876" s="2" t="s">
        <v>5163</v>
      </c>
      <c r="M1876" s="1"/>
      <c r="N1876" s="1"/>
      <c r="O1876" s="1"/>
      <c r="P1876" s="1"/>
      <c r="Q1876" s="1"/>
      <c r="R1876" s="1"/>
      <c r="S1876" s="1"/>
      <c r="T1876" s="1"/>
      <c r="U1876" s="1"/>
      <c r="V1876" s="1"/>
      <c r="W1876" s="1"/>
      <c r="X1876" s="1"/>
      <c r="Y1876" s="1"/>
      <c r="Z1876" s="1"/>
    </row>
    <row r="1877" spans="1:26" ht="33.75" customHeight="1">
      <c r="A1877" s="1">
        <v>2220</v>
      </c>
      <c r="B1877" s="1" t="s">
        <v>5164</v>
      </c>
      <c r="C1877" s="1" t="s">
        <v>4904</v>
      </c>
      <c r="D1877" s="4">
        <v>39976.866666666669</v>
      </c>
      <c r="E1877" s="1" t="s">
        <v>772</v>
      </c>
      <c r="F1877" s="1"/>
      <c r="G1877" s="5" t="s">
        <v>26</v>
      </c>
      <c r="H1877" s="5" t="s">
        <v>133</v>
      </c>
      <c r="I1877" s="1" t="s">
        <v>28</v>
      </c>
      <c r="J1877" s="1" t="s">
        <v>134</v>
      </c>
      <c r="K1877" s="1" t="s">
        <v>5165</v>
      </c>
      <c r="L1877" s="2" t="s">
        <v>5166</v>
      </c>
      <c r="M1877" s="1"/>
      <c r="N1877" s="1"/>
      <c r="O1877" s="1"/>
      <c r="P1877" s="1"/>
      <c r="Q1877" s="1"/>
      <c r="R1877" s="1"/>
      <c r="S1877" s="1"/>
      <c r="T1877" s="1"/>
      <c r="U1877" s="1"/>
      <c r="V1877" s="1"/>
      <c r="W1877" s="1"/>
      <c r="X1877" s="1"/>
      <c r="Y1877" s="1"/>
      <c r="Z1877" s="1"/>
    </row>
    <row r="1878" spans="1:26" ht="33.75" customHeight="1">
      <c r="A1878" s="1">
        <v>1485</v>
      </c>
      <c r="B1878" s="1" t="s">
        <v>5167</v>
      </c>
      <c r="C1878" s="1" t="s">
        <v>3929</v>
      </c>
      <c r="D1878" s="4">
        <v>39976.875</v>
      </c>
      <c r="E1878" s="1" t="s">
        <v>320</v>
      </c>
      <c r="F1878" s="1"/>
      <c r="G1878" s="5" t="s">
        <v>64</v>
      </c>
      <c r="H1878" s="5" t="s">
        <v>3663</v>
      </c>
      <c r="I1878" s="1" t="s">
        <v>3664</v>
      </c>
      <c r="J1878" s="1" t="s">
        <v>4847</v>
      </c>
      <c r="K1878" s="1"/>
      <c r="L1878" s="2" t="s">
        <v>5168</v>
      </c>
      <c r="M1878" s="1"/>
      <c r="N1878" s="1"/>
      <c r="O1878" s="1"/>
      <c r="P1878" s="1"/>
      <c r="Q1878" s="1"/>
      <c r="R1878" s="1"/>
      <c r="S1878" s="1"/>
      <c r="T1878" s="1"/>
      <c r="U1878" s="1"/>
      <c r="V1878" s="1"/>
      <c r="W1878" s="1"/>
      <c r="X1878" s="1"/>
      <c r="Y1878" s="1"/>
      <c r="Z1878" s="1"/>
    </row>
    <row r="1879" spans="1:26" ht="33.75" customHeight="1">
      <c r="A1879" s="1">
        <v>2221</v>
      </c>
      <c r="B1879" s="1" t="s">
        <v>5169</v>
      </c>
      <c r="C1879" s="1" t="s">
        <v>4904</v>
      </c>
      <c r="D1879" s="4">
        <v>39977.116666666669</v>
      </c>
      <c r="E1879" s="1" t="s">
        <v>1887</v>
      </c>
      <c r="F1879" s="1"/>
      <c r="G1879" s="5" t="s">
        <v>64</v>
      </c>
      <c r="H1879" s="5" t="s">
        <v>375</v>
      </c>
      <c r="I1879" s="1" t="s">
        <v>900</v>
      </c>
      <c r="J1879" s="1"/>
      <c r="K1879" s="1" t="s">
        <v>5170</v>
      </c>
      <c r="L1879" s="2" t="s">
        <v>5171</v>
      </c>
      <c r="M1879" s="1"/>
      <c r="N1879" s="1"/>
      <c r="O1879" s="1"/>
      <c r="P1879" s="1"/>
      <c r="Q1879" s="1"/>
      <c r="R1879" s="1"/>
      <c r="S1879" s="1"/>
      <c r="T1879" s="1"/>
      <c r="U1879" s="1"/>
      <c r="V1879" s="1"/>
      <c r="W1879" s="1"/>
      <c r="X1879" s="1"/>
      <c r="Y1879" s="1"/>
      <c r="Z1879" s="1"/>
    </row>
    <row r="1880" spans="1:26" ht="33.75" customHeight="1">
      <c r="A1880" s="1">
        <v>2222</v>
      </c>
      <c r="B1880" s="1" t="s">
        <v>5172</v>
      </c>
      <c r="C1880" s="1" t="s">
        <v>4904</v>
      </c>
      <c r="D1880" s="4">
        <v>39977.179166666669</v>
      </c>
      <c r="E1880" s="1" t="s">
        <v>1089</v>
      </c>
      <c r="F1880" s="1"/>
      <c r="G1880" s="5" t="s">
        <v>64</v>
      </c>
      <c r="H1880" s="5" t="s">
        <v>375</v>
      </c>
      <c r="I1880" s="1" t="s">
        <v>900</v>
      </c>
      <c r="J1880" s="1"/>
      <c r="K1880" s="1"/>
      <c r="L1880" s="2" t="s">
        <v>5173</v>
      </c>
      <c r="M1880" s="1"/>
      <c r="N1880" s="1"/>
      <c r="O1880" s="1"/>
      <c r="P1880" s="1"/>
      <c r="Q1880" s="1"/>
      <c r="R1880" s="1"/>
      <c r="S1880" s="1"/>
      <c r="T1880" s="1"/>
      <c r="U1880" s="1"/>
      <c r="V1880" s="1"/>
      <c r="W1880" s="1"/>
      <c r="X1880" s="1"/>
      <c r="Y1880" s="1"/>
      <c r="Z1880" s="1"/>
    </row>
    <row r="1881" spans="1:26" ht="33.75" customHeight="1">
      <c r="A1881" s="1">
        <v>2223</v>
      </c>
      <c r="B1881" s="1" t="s">
        <v>5174</v>
      </c>
      <c r="C1881" s="1" t="s">
        <v>4904</v>
      </c>
      <c r="D1881" s="4">
        <v>39977.335416666669</v>
      </c>
      <c r="E1881" s="1" t="s">
        <v>54</v>
      </c>
      <c r="F1881" s="1"/>
      <c r="G1881" s="5" t="s">
        <v>64</v>
      </c>
      <c r="H1881" s="5" t="s">
        <v>375</v>
      </c>
      <c r="I1881" s="1" t="s">
        <v>900</v>
      </c>
      <c r="J1881" s="1"/>
      <c r="K1881" s="1"/>
      <c r="L1881" s="2" t="s">
        <v>5175</v>
      </c>
      <c r="M1881" s="1"/>
      <c r="N1881" s="1"/>
      <c r="O1881" s="1"/>
      <c r="P1881" s="1"/>
      <c r="Q1881" s="1"/>
      <c r="R1881" s="1"/>
      <c r="S1881" s="1"/>
      <c r="T1881" s="1"/>
      <c r="U1881" s="1"/>
      <c r="V1881" s="1"/>
      <c r="W1881" s="1"/>
      <c r="X1881" s="1"/>
      <c r="Y1881" s="1"/>
      <c r="Z1881" s="1"/>
    </row>
    <row r="1882" spans="1:26" ht="33.75" customHeight="1">
      <c r="A1882" s="1">
        <v>2224</v>
      </c>
      <c r="B1882" s="1" t="s">
        <v>5176</v>
      </c>
      <c r="C1882" s="1" t="s">
        <v>4904</v>
      </c>
      <c r="D1882" s="4">
        <v>39977.347916666666</v>
      </c>
      <c r="E1882" s="1" t="s">
        <v>54</v>
      </c>
      <c r="F1882" s="1"/>
      <c r="G1882" s="1" t="s">
        <v>64</v>
      </c>
      <c r="H1882" s="5" t="s">
        <v>431</v>
      </c>
      <c r="I1882" s="1" t="s">
        <v>5177</v>
      </c>
      <c r="J1882" s="1"/>
      <c r="K1882" s="1"/>
      <c r="L1882" s="2" t="s">
        <v>5178</v>
      </c>
      <c r="M1882" s="1"/>
      <c r="N1882" s="1"/>
      <c r="O1882" s="1"/>
      <c r="P1882" s="1"/>
      <c r="Q1882" s="1"/>
      <c r="R1882" s="1"/>
      <c r="S1882" s="1"/>
      <c r="T1882" s="1"/>
      <c r="U1882" s="1"/>
      <c r="V1882" s="1"/>
      <c r="W1882" s="1"/>
      <c r="X1882" s="1"/>
      <c r="Y1882" s="1"/>
      <c r="Z1882" s="1"/>
    </row>
    <row r="1883" spans="1:26" ht="33.75" customHeight="1">
      <c r="A1883" s="1">
        <v>2225</v>
      </c>
      <c r="B1883" s="1" t="s">
        <v>5179</v>
      </c>
      <c r="C1883" s="1" t="s">
        <v>4904</v>
      </c>
      <c r="D1883" s="4">
        <v>39977.356944444444</v>
      </c>
      <c r="E1883" s="1" t="s">
        <v>1089</v>
      </c>
      <c r="F1883" s="1"/>
      <c r="G1883" s="5" t="s">
        <v>64</v>
      </c>
      <c r="H1883" s="1"/>
      <c r="I1883" s="1" t="s">
        <v>64</v>
      </c>
      <c r="J1883" s="1" t="s">
        <v>5180</v>
      </c>
      <c r="K1883" s="1" t="s">
        <v>5181</v>
      </c>
      <c r="L1883" s="2" t="s">
        <v>5182</v>
      </c>
      <c r="M1883" s="1"/>
      <c r="N1883" s="1"/>
      <c r="O1883" s="1"/>
      <c r="P1883" s="1"/>
      <c r="Q1883" s="1"/>
      <c r="R1883" s="1"/>
      <c r="S1883" s="1"/>
      <c r="T1883" s="1"/>
      <c r="U1883" s="1"/>
      <c r="V1883" s="1"/>
      <c r="W1883" s="1"/>
      <c r="X1883" s="1"/>
      <c r="Y1883" s="1"/>
      <c r="Z1883" s="1"/>
    </row>
    <row r="1884" spans="1:26" ht="33.75" customHeight="1">
      <c r="A1884" s="1">
        <v>2226</v>
      </c>
      <c r="B1884" s="1" t="s">
        <v>5183</v>
      </c>
      <c r="C1884" s="1" t="s">
        <v>4904</v>
      </c>
      <c r="D1884" s="4">
        <v>39977.395833333336</v>
      </c>
      <c r="E1884" s="1" t="s">
        <v>54</v>
      </c>
      <c r="F1884" s="1"/>
      <c r="G1884" s="5" t="s">
        <v>64</v>
      </c>
      <c r="H1884" s="5" t="s">
        <v>375</v>
      </c>
      <c r="I1884" s="1" t="s">
        <v>5184</v>
      </c>
      <c r="J1884" s="1"/>
      <c r="K1884" s="1" t="s">
        <v>5185</v>
      </c>
      <c r="L1884" s="2" t="s">
        <v>5186</v>
      </c>
      <c r="M1884" s="1"/>
      <c r="N1884" s="1"/>
      <c r="O1884" s="1"/>
      <c r="P1884" s="1"/>
      <c r="Q1884" s="1"/>
      <c r="R1884" s="1"/>
      <c r="S1884" s="1"/>
      <c r="T1884" s="1"/>
      <c r="U1884" s="1"/>
      <c r="V1884" s="1"/>
      <c r="W1884" s="1"/>
      <c r="X1884" s="1"/>
      <c r="Y1884" s="1"/>
      <c r="Z1884" s="1"/>
    </row>
    <row r="1885" spans="1:26" ht="33.75" customHeight="1">
      <c r="A1885" s="1">
        <v>2227</v>
      </c>
      <c r="B1885" s="1" t="s">
        <v>5187</v>
      </c>
      <c r="C1885" s="1" t="s">
        <v>4904</v>
      </c>
      <c r="D1885" s="4">
        <v>39977.40625</v>
      </c>
      <c r="E1885" s="1" t="s">
        <v>54</v>
      </c>
      <c r="F1885" s="1" t="s">
        <v>5183</v>
      </c>
      <c r="G1885" s="5" t="s">
        <v>64</v>
      </c>
      <c r="H1885" s="5" t="s">
        <v>375</v>
      </c>
      <c r="I1885" s="1" t="s">
        <v>5184</v>
      </c>
      <c r="J1885" s="1"/>
      <c r="K1885" s="1"/>
      <c r="L1885" s="2" t="s">
        <v>5188</v>
      </c>
      <c r="M1885" s="1"/>
      <c r="N1885" s="1"/>
      <c r="O1885" s="1"/>
      <c r="P1885" s="1"/>
      <c r="Q1885" s="1"/>
      <c r="R1885" s="1"/>
      <c r="S1885" s="1"/>
      <c r="T1885" s="1"/>
      <c r="U1885" s="1"/>
      <c r="V1885" s="1"/>
      <c r="W1885" s="1"/>
      <c r="X1885" s="1"/>
      <c r="Y1885" s="1"/>
      <c r="Z1885" s="1"/>
    </row>
    <row r="1886" spans="1:26" ht="33.75" customHeight="1">
      <c r="A1886" s="1">
        <v>2228</v>
      </c>
      <c r="B1886" s="1" t="s">
        <v>5189</v>
      </c>
      <c r="C1886" s="1" t="s">
        <v>4904</v>
      </c>
      <c r="D1886" s="4">
        <v>39977.423611111109</v>
      </c>
      <c r="E1886" s="1" t="s">
        <v>54</v>
      </c>
      <c r="F1886" s="1" t="s">
        <v>5183</v>
      </c>
      <c r="G1886" s="5" t="s">
        <v>64</v>
      </c>
      <c r="H1886" s="5" t="s">
        <v>375</v>
      </c>
      <c r="I1886" s="1" t="s">
        <v>900</v>
      </c>
      <c r="J1886" s="1"/>
      <c r="K1886" s="1"/>
      <c r="L1886" s="2" t="s">
        <v>5190</v>
      </c>
      <c r="M1886" s="1"/>
      <c r="N1886" s="1"/>
      <c r="O1886" s="1"/>
      <c r="P1886" s="1"/>
      <c r="Q1886" s="1"/>
      <c r="R1886" s="1"/>
      <c r="S1886" s="1"/>
      <c r="T1886" s="1"/>
      <c r="U1886" s="1"/>
      <c r="V1886" s="1"/>
      <c r="W1886" s="1"/>
      <c r="X1886" s="1"/>
      <c r="Y1886" s="1"/>
      <c r="Z1886" s="1"/>
    </row>
    <row r="1887" spans="1:26" ht="33.75" customHeight="1">
      <c r="A1887" s="1">
        <v>2229</v>
      </c>
      <c r="B1887" s="1" t="s">
        <v>5191</v>
      </c>
      <c r="C1887" s="1" t="s">
        <v>4904</v>
      </c>
      <c r="D1887" s="4">
        <v>39977.434027777781</v>
      </c>
      <c r="E1887" s="1" t="s">
        <v>54</v>
      </c>
      <c r="F1887" s="1"/>
      <c r="G1887" s="5" t="s">
        <v>64</v>
      </c>
      <c r="H1887" s="5" t="s">
        <v>375</v>
      </c>
      <c r="I1887" s="1" t="s">
        <v>900</v>
      </c>
      <c r="J1887" s="1"/>
      <c r="K1887" s="1"/>
      <c r="L1887" s="2" t="s">
        <v>5192</v>
      </c>
      <c r="M1887" s="1"/>
      <c r="N1887" s="1"/>
      <c r="O1887" s="1"/>
      <c r="P1887" s="1"/>
      <c r="Q1887" s="1"/>
      <c r="R1887" s="1"/>
      <c r="S1887" s="1"/>
      <c r="T1887" s="1"/>
      <c r="U1887" s="1"/>
      <c r="V1887" s="1"/>
      <c r="W1887" s="1"/>
      <c r="X1887" s="1"/>
      <c r="Y1887" s="1"/>
      <c r="Z1887" s="1"/>
    </row>
    <row r="1888" spans="1:26" ht="33.75" customHeight="1">
      <c r="A1888" s="1">
        <v>2170</v>
      </c>
      <c r="B1888" s="1" t="s">
        <v>5193</v>
      </c>
      <c r="C1888" s="1" t="s">
        <v>4904</v>
      </c>
      <c r="D1888" s="4">
        <v>39977.443055555559</v>
      </c>
      <c r="E1888" s="1" t="s">
        <v>54</v>
      </c>
      <c r="F1888" s="1"/>
      <c r="G1888" s="5" t="s">
        <v>26</v>
      </c>
      <c r="H1888" s="5" t="s">
        <v>133</v>
      </c>
      <c r="I1888" s="1" t="s">
        <v>28</v>
      </c>
      <c r="J1888" s="1" t="s">
        <v>134</v>
      </c>
      <c r="K1888" s="1" t="s">
        <v>5194</v>
      </c>
      <c r="L1888" s="2" t="s">
        <v>5195</v>
      </c>
      <c r="M1888" s="1"/>
      <c r="N1888" s="1"/>
      <c r="O1888" s="1"/>
      <c r="P1888" s="1"/>
      <c r="Q1888" s="1"/>
      <c r="R1888" s="1"/>
      <c r="S1888" s="1"/>
      <c r="T1888" s="1"/>
      <c r="U1888" s="1"/>
      <c r="V1888" s="1"/>
      <c r="W1888" s="1"/>
      <c r="X1888" s="1"/>
      <c r="Y1888" s="1"/>
      <c r="Z1888" s="1"/>
    </row>
    <row r="1889" spans="1:26" ht="33.75" customHeight="1">
      <c r="A1889" s="1">
        <v>2171</v>
      </c>
      <c r="B1889" s="1" t="s">
        <v>5196</v>
      </c>
      <c r="C1889" s="1" t="s">
        <v>4904</v>
      </c>
      <c r="D1889" s="4">
        <v>39977.448611111111</v>
      </c>
      <c r="E1889" s="1" t="s">
        <v>54</v>
      </c>
      <c r="F1889" s="1"/>
      <c r="G1889" s="5" t="s">
        <v>64</v>
      </c>
      <c r="H1889" s="5" t="s">
        <v>431</v>
      </c>
      <c r="I1889" s="1" t="s">
        <v>5074</v>
      </c>
      <c r="J1889" s="1"/>
      <c r="K1889" s="1"/>
      <c r="L1889" s="2" t="s">
        <v>5197</v>
      </c>
      <c r="M1889" s="1"/>
      <c r="N1889" s="1"/>
      <c r="O1889" s="1"/>
      <c r="P1889" s="1"/>
      <c r="Q1889" s="1"/>
      <c r="R1889" s="1"/>
      <c r="S1889" s="1"/>
      <c r="T1889" s="1"/>
      <c r="U1889" s="1"/>
      <c r="V1889" s="1"/>
      <c r="W1889" s="1"/>
      <c r="X1889" s="1"/>
      <c r="Y1889" s="1"/>
      <c r="Z1889" s="1"/>
    </row>
    <row r="1890" spans="1:26" ht="33.75" customHeight="1">
      <c r="A1890" s="1">
        <v>1486</v>
      </c>
      <c r="B1890" s="1" t="s">
        <v>5198</v>
      </c>
      <c r="C1890" s="1" t="s">
        <v>3929</v>
      </c>
      <c r="D1890" s="4">
        <v>39977.515277777777</v>
      </c>
      <c r="E1890" s="1" t="s">
        <v>14</v>
      </c>
      <c r="F1890" s="1"/>
      <c r="G1890" s="5" t="s">
        <v>15</v>
      </c>
      <c r="H1890" s="5" t="s">
        <v>140</v>
      </c>
      <c r="I1890" s="1" t="s">
        <v>5199</v>
      </c>
      <c r="J1890" s="1"/>
      <c r="K1890" s="1" t="s">
        <v>5200</v>
      </c>
      <c r="L1890" s="2" t="s">
        <v>5201</v>
      </c>
      <c r="M1890" s="1"/>
      <c r="N1890" s="1"/>
      <c r="O1890" s="1"/>
      <c r="P1890" s="1"/>
      <c r="Q1890" s="1"/>
      <c r="R1890" s="1"/>
      <c r="S1890" s="1"/>
      <c r="T1890" s="1"/>
      <c r="U1890" s="1"/>
      <c r="V1890" s="1"/>
      <c r="W1890" s="1"/>
      <c r="X1890" s="1"/>
      <c r="Y1890" s="1"/>
      <c r="Z1890" s="1"/>
    </row>
    <row r="1891" spans="1:26" ht="33.75" customHeight="1">
      <c r="A1891" s="1">
        <v>2172</v>
      </c>
      <c r="B1891" s="1" t="s">
        <v>5202</v>
      </c>
      <c r="C1891" s="1" t="s">
        <v>4904</v>
      </c>
      <c r="D1891" s="4">
        <v>39977.527083333334</v>
      </c>
      <c r="E1891" s="1" t="s">
        <v>54</v>
      </c>
      <c r="F1891" s="1"/>
      <c r="G1891" s="5" t="s">
        <v>64</v>
      </c>
      <c r="H1891" s="5" t="s">
        <v>431</v>
      </c>
      <c r="I1891" s="1" t="s">
        <v>5203</v>
      </c>
      <c r="J1891" s="1"/>
      <c r="K1891" s="1" t="s">
        <v>5204</v>
      </c>
      <c r="L1891" s="2" t="s">
        <v>5205</v>
      </c>
      <c r="M1891" s="1"/>
      <c r="N1891" s="1"/>
      <c r="O1891" s="1"/>
      <c r="P1891" s="1"/>
      <c r="Q1891" s="1"/>
      <c r="R1891" s="1"/>
      <c r="S1891" s="1"/>
      <c r="T1891" s="1"/>
      <c r="U1891" s="1"/>
      <c r="V1891" s="1"/>
      <c r="W1891" s="1"/>
      <c r="X1891" s="1"/>
      <c r="Y1891" s="1"/>
      <c r="Z1891" s="1"/>
    </row>
    <row r="1892" spans="1:26" ht="33.75" customHeight="1">
      <c r="A1892" s="1">
        <v>2173</v>
      </c>
      <c r="B1892" s="1" t="s">
        <v>5206</v>
      </c>
      <c r="C1892" s="1" t="s">
        <v>4904</v>
      </c>
      <c r="D1892" s="4">
        <v>39977.706250000003</v>
      </c>
      <c r="E1892" s="1" t="s">
        <v>772</v>
      </c>
      <c r="F1892" s="1"/>
      <c r="G1892" s="5" t="s">
        <v>26</v>
      </c>
      <c r="H1892" s="5" t="s">
        <v>133</v>
      </c>
      <c r="I1892" s="1" t="s">
        <v>28</v>
      </c>
      <c r="J1892" s="1" t="s">
        <v>134</v>
      </c>
      <c r="K1892" s="1"/>
      <c r="L1892" s="2" t="s">
        <v>5207</v>
      </c>
      <c r="M1892" s="1"/>
      <c r="N1892" s="1"/>
      <c r="O1892" s="1"/>
      <c r="P1892" s="1"/>
      <c r="Q1892" s="1"/>
      <c r="R1892" s="1"/>
      <c r="S1892" s="1"/>
      <c r="T1892" s="1"/>
      <c r="U1892" s="1"/>
      <c r="V1892" s="1"/>
      <c r="W1892" s="1"/>
      <c r="X1892" s="1"/>
      <c r="Y1892" s="1"/>
      <c r="Z1892" s="1"/>
    </row>
    <row r="1893" spans="1:26" ht="33.75" customHeight="1">
      <c r="A1893" s="1">
        <v>2174</v>
      </c>
      <c r="B1893" s="1" t="s">
        <v>5208</v>
      </c>
      <c r="C1893" s="1" t="s">
        <v>4904</v>
      </c>
      <c r="D1893" s="4">
        <v>39977.84097222222</v>
      </c>
      <c r="E1893" s="1" t="s">
        <v>54</v>
      </c>
      <c r="F1893" s="1"/>
      <c r="G1893" s="5" t="s">
        <v>64</v>
      </c>
      <c r="H1893" s="5" t="s">
        <v>179</v>
      </c>
      <c r="I1893" s="1" t="s">
        <v>5209</v>
      </c>
      <c r="J1893" s="1"/>
      <c r="K1893" s="1"/>
      <c r="L1893" s="2" t="s">
        <v>5210</v>
      </c>
      <c r="M1893" s="1"/>
      <c r="N1893" s="1"/>
      <c r="O1893" s="1"/>
      <c r="P1893" s="1"/>
      <c r="Q1893" s="1"/>
      <c r="R1893" s="1"/>
      <c r="S1893" s="1"/>
      <c r="T1893" s="1"/>
      <c r="U1893" s="1"/>
      <c r="V1893" s="1"/>
      <c r="W1893" s="1"/>
      <c r="X1893" s="1"/>
      <c r="Y1893" s="1"/>
      <c r="Z1893" s="1"/>
    </row>
    <row r="1894" spans="1:26" ht="33.75" customHeight="1">
      <c r="A1894" s="1">
        <v>2175</v>
      </c>
      <c r="B1894" s="1" t="s">
        <v>5211</v>
      </c>
      <c r="C1894" s="1" t="s">
        <v>4904</v>
      </c>
      <c r="D1894" s="4">
        <v>39978.029861111114</v>
      </c>
      <c r="E1894" s="1" t="s">
        <v>1089</v>
      </c>
      <c r="F1894" s="1"/>
      <c r="G1894" s="5" t="s">
        <v>26</v>
      </c>
      <c r="H1894" s="5" t="s">
        <v>133</v>
      </c>
      <c r="I1894" s="1" t="s">
        <v>1268</v>
      </c>
      <c r="J1894" s="1"/>
      <c r="K1894" s="1"/>
      <c r="L1894" s="2" t="s">
        <v>5212</v>
      </c>
      <c r="M1894" s="1"/>
      <c r="N1894" s="1"/>
      <c r="O1894" s="1"/>
      <c r="P1894" s="1"/>
      <c r="Q1894" s="1"/>
      <c r="R1894" s="1"/>
      <c r="S1894" s="1"/>
      <c r="T1894" s="1"/>
      <c r="U1894" s="1"/>
      <c r="V1894" s="1"/>
      <c r="W1894" s="1"/>
      <c r="X1894" s="1"/>
      <c r="Y1894" s="1"/>
      <c r="Z1894" s="1"/>
    </row>
    <row r="1895" spans="1:26" ht="33.75" customHeight="1">
      <c r="A1895" s="1">
        <v>2176</v>
      </c>
      <c r="B1895" s="1" t="s">
        <v>5213</v>
      </c>
      <c r="C1895" s="1" t="s">
        <v>4904</v>
      </c>
      <c r="D1895" s="4">
        <v>39978.043055555558</v>
      </c>
      <c r="E1895" s="1" t="s">
        <v>54</v>
      </c>
      <c r="F1895" s="1" t="s">
        <v>5211</v>
      </c>
      <c r="G1895" s="5" t="s">
        <v>26</v>
      </c>
      <c r="H1895" s="5" t="s">
        <v>27</v>
      </c>
      <c r="I1895" s="1" t="s">
        <v>28</v>
      </c>
      <c r="J1895" s="1" t="s">
        <v>259</v>
      </c>
      <c r="K1895" s="1"/>
      <c r="L1895" s="2" t="s">
        <v>5214</v>
      </c>
      <c r="M1895" s="1"/>
      <c r="N1895" s="1"/>
      <c r="O1895" s="1"/>
      <c r="P1895" s="1"/>
      <c r="Q1895" s="1"/>
      <c r="R1895" s="1"/>
      <c r="S1895" s="1"/>
      <c r="T1895" s="1"/>
      <c r="U1895" s="1"/>
      <c r="V1895" s="1"/>
      <c r="W1895" s="1"/>
      <c r="X1895" s="1"/>
      <c r="Y1895" s="1"/>
      <c r="Z1895" s="1"/>
    </row>
    <row r="1896" spans="1:26" ht="33.75" customHeight="1">
      <c r="A1896" s="1">
        <v>2178</v>
      </c>
      <c r="B1896" s="1" t="s">
        <v>5215</v>
      </c>
      <c r="C1896" s="1" t="s">
        <v>4904</v>
      </c>
      <c r="D1896" s="4">
        <v>39978.058333333334</v>
      </c>
      <c r="E1896" s="1" t="s">
        <v>54</v>
      </c>
      <c r="F1896" s="1"/>
      <c r="G1896" s="5" t="s">
        <v>64</v>
      </c>
      <c r="H1896" s="5" t="s">
        <v>65</v>
      </c>
      <c r="I1896" s="1" t="s">
        <v>886</v>
      </c>
      <c r="J1896" s="1"/>
      <c r="K1896" s="1"/>
      <c r="L1896" s="2" t="s">
        <v>5216</v>
      </c>
      <c r="M1896" s="1"/>
      <c r="N1896" s="1"/>
      <c r="O1896" s="1"/>
      <c r="P1896" s="1"/>
      <c r="Q1896" s="1"/>
      <c r="R1896" s="1"/>
      <c r="S1896" s="1"/>
      <c r="T1896" s="1"/>
      <c r="U1896" s="1"/>
      <c r="V1896" s="1"/>
      <c r="W1896" s="1"/>
      <c r="X1896" s="1"/>
      <c r="Y1896" s="1"/>
      <c r="Z1896" s="1"/>
    </row>
    <row r="1897" spans="1:26" ht="33.75" customHeight="1">
      <c r="A1897" s="1">
        <v>1582</v>
      </c>
      <c r="B1897" s="1" t="s">
        <v>12</v>
      </c>
      <c r="C1897" s="1" t="s">
        <v>5217</v>
      </c>
      <c r="D1897" s="4">
        <v>39978.390648148146</v>
      </c>
      <c r="E1897" s="1" t="s">
        <v>175</v>
      </c>
      <c r="F1897" s="1"/>
      <c r="G1897" s="5" t="s">
        <v>64</v>
      </c>
      <c r="H1897" s="5" t="s">
        <v>65</v>
      </c>
      <c r="I1897" s="1" t="s">
        <v>886</v>
      </c>
      <c r="J1897" s="1"/>
      <c r="K1897" s="1"/>
      <c r="L1897" s="2" t="s">
        <v>5218</v>
      </c>
      <c r="M1897" s="1"/>
      <c r="N1897" s="1"/>
      <c r="O1897" s="1"/>
      <c r="P1897" s="1"/>
      <c r="Q1897" s="1"/>
      <c r="R1897" s="1"/>
      <c r="S1897" s="1"/>
      <c r="T1897" s="1"/>
      <c r="U1897" s="1"/>
      <c r="V1897" s="1"/>
      <c r="W1897" s="1"/>
      <c r="X1897" s="1"/>
      <c r="Y1897" s="1"/>
      <c r="Z1897" s="1"/>
    </row>
    <row r="1898" spans="1:26" ht="33.75" customHeight="1">
      <c r="A1898" s="1">
        <v>2334</v>
      </c>
      <c r="B1898" s="1" t="s">
        <v>5219</v>
      </c>
      <c r="C1898" s="1" t="s">
        <v>5217</v>
      </c>
      <c r="D1898" s="4">
        <v>39978.465277777781</v>
      </c>
      <c r="E1898" s="1" t="s">
        <v>772</v>
      </c>
      <c r="F1898" s="1"/>
      <c r="G1898" s="5" t="s">
        <v>64</v>
      </c>
      <c r="H1898" s="1"/>
      <c r="I1898" s="1" t="s">
        <v>64</v>
      </c>
      <c r="J1898" s="1"/>
      <c r="K1898" s="1"/>
      <c r="L1898" s="2" t="s">
        <v>5220</v>
      </c>
      <c r="M1898" s="1"/>
      <c r="N1898" s="1"/>
      <c r="O1898" s="1"/>
      <c r="P1898" s="1"/>
      <c r="Q1898" s="1"/>
      <c r="R1898" s="1"/>
      <c r="S1898" s="1"/>
      <c r="T1898" s="1"/>
      <c r="U1898" s="1"/>
      <c r="V1898" s="1"/>
      <c r="W1898" s="1"/>
      <c r="X1898" s="1"/>
      <c r="Y1898" s="1"/>
      <c r="Z1898" s="1"/>
    </row>
    <row r="1899" spans="1:26" ht="33.75" customHeight="1">
      <c r="A1899" s="1">
        <v>2335</v>
      </c>
      <c r="B1899" s="1" t="s">
        <v>5221</v>
      </c>
      <c r="C1899" s="1" t="s">
        <v>5217</v>
      </c>
      <c r="D1899" s="4">
        <v>39978.521527777775</v>
      </c>
      <c r="E1899" s="1" t="s">
        <v>772</v>
      </c>
      <c r="F1899" s="1" t="s">
        <v>5213</v>
      </c>
      <c r="G1899" s="1" t="s">
        <v>64</v>
      </c>
      <c r="H1899" s="5" t="s">
        <v>431</v>
      </c>
      <c r="I1899" s="1" t="s">
        <v>5222</v>
      </c>
      <c r="J1899" s="1"/>
      <c r="K1899" s="1"/>
      <c r="L1899" s="2" t="s">
        <v>5223</v>
      </c>
      <c r="M1899" s="1"/>
      <c r="N1899" s="1"/>
      <c r="O1899" s="1"/>
      <c r="P1899" s="1"/>
      <c r="Q1899" s="1"/>
      <c r="R1899" s="1"/>
      <c r="S1899" s="1"/>
      <c r="T1899" s="1"/>
      <c r="U1899" s="1"/>
      <c r="V1899" s="1"/>
      <c r="W1899" s="1"/>
      <c r="X1899" s="1"/>
      <c r="Y1899" s="1"/>
      <c r="Z1899" s="1"/>
    </row>
    <row r="1900" spans="1:26" ht="33.75" customHeight="1">
      <c r="A1900" s="1">
        <v>2336</v>
      </c>
      <c r="B1900" s="1" t="s">
        <v>5224</v>
      </c>
      <c r="C1900" s="1" t="s">
        <v>5217</v>
      </c>
      <c r="D1900" s="4">
        <v>39978.634722222225</v>
      </c>
      <c r="E1900" s="1" t="s">
        <v>54</v>
      </c>
      <c r="F1900" s="1" t="s">
        <v>5225</v>
      </c>
      <c r="G1900" s="5" t="s">
        <v>64</v>
      </c>
      <c r="H1900" s="5" t="s">
        <v>179</v>
      </c>
      <c r="I1900" s="1" t="s">
        <v>179</v>
      </c>
      <c r="J1900" s="1"/>
      <c r="K1900" s="1"/>
      <c r="L1900" s="2" t="s">
        <v>5226</v>
      </c>
      <c r="M1900" s="1"/>
      <c r="N1900" s="1"/>
      <c r="O1900" s="1"/>
      <c r="P1900" s="1"/>
      <c r="Q1900" s="1"/>
      <c r="R1900" s="1"/>
      <c r="S1900" s="1"/>
      <c r="T1900" s="1"/>
      <c r="U1900" s="1"/>
      <c r="V1900" s="1"/>
      <c r="W1900" s="1"/>
      <c r="X1900" s="1"/>
      <c r="Y1900" s="1"/>
      <c r="Z1900" s="1"/>
    </row>
    <row r="1901" spans="1:26" ht="33.75" customHeight="1">
      <c r="A1901" s="1">
        <v>2337</v>
      </c>
      <c r="B1901" s="1" t="s">
        <v>5227</v>
      </c>
      <c r="C1901" s="1" t="s">
        <v>5217</v>
      </c>
      <c r="D1901" s="4">
        <v>39978.675000000003</v>
      </c>
      <c r="E1901" s="1" t="s">
        <v>772</v>
      </c>
      <c r="F1901" s="1" t="s">
        <v>5224</v>
      </c>
      <c r="G1901" s="5" t="s">
        <v>26</v>
      </c>
      <c r="H1901" s="5" t="s">
        <v>133</v>
      </c>
      <c r="I1901" s="1" t="s">
        <v>28</v>
      </c>
      <c r="J1901" s="1" t="s">
        <v>134</v>
      </c>
      <c r="K1901" s="1"/>
      <c r="L1901" s="2" t="s">
        <v>5228</v>
      </c>
      <c r="M1901" s="1"/>
      <c r="N1901" s="1"/>
      <c r="O1901" s="1"/>
      <c r="P1901" s="1"/>
      <c r="Q1901" s="1"/>
      <c r="R1901" s="1"/>
      <c r="S1901" s="1"/>
      <c r="T1901" s="1"/>
      <c r="U1901" s="1"/>
      <c r="V1901" s="1"/>
      <c r="W1901" s="1"/>
      <c r="X1901" s="1"/>
      <c r="Y1901" s="1"/>
      <c r="Z1901" s="1"/>
    </row>
    <row r="1902" spans="1:26" ht="33.75" customHeight="1">
      <c r="A1902" s="1">
        <v>2338</v>
      </c>
      <c r="B1902" s="1" t="s">
        <v>5229</v>
      </c>
      <c r="C1902" s="1" t="s">
        <v>5217</v>
      </c>
      <c r="D1902" s="4">
        <v>39978.699305555558</v>
      </c>
      <c r="E1902" s="1" t="s">
        <v>54</v>
      </c>
      <c r="F1902" s="1" t="s">
        <v>5227</v>
      </c>
      <c r="G1902" s="5" t="s">
        <v>26</v>
      </c>
      <c r="H1902" s="5" t="s">
        <v>27</v>
      </c>
      <c r="I1902" s="1" t="s">
        <v>28</v>
      </c>
      <c r="J1902" s="1" t="s">
        <v>259</v>
      </c>
      <c r="K1902" s="1"/>
      <c r="L1902" s="2" t="s">
        <v>5230</v>
      </c>
      <c r="M1902" s="1"/>
      <c r="N1902" s="1"/>
      <c r="O1902" s="1"/>
      <c r="P1902" s="1"/>
      <c r="Q1902" s="1"/>
      <c r="R1902" s="1"/>
      <c r="S1902" s="1"/>
      <c r="T1902" s="1"/>
      <c r="U1902" s="1"/>
      <c r="V1902" s="1"/>
      <c r="W1902" s="1"/>
      <c r="X1902" s="1"/>
      <c r="Y1902" s="1"/>
      <c r="Z1902" s="1"/>
    </row>
    <row r="1903" spans="1:26" ht="33.75" customHeight="1">
      <c r="A1903" s="1">
        <v>2339</v>
      </c>
      <c r="B1903" s="1" t="s">
        <v>5231</v>
      </c>
      <c r="C1903" s="1" t="s">
        <v>5217</v>
      </c>
      <c r="D1903" s="4">
        <v>39978.737500000003</v>
      </c>
      <c r="E1903" s="1" t="s">
        <v>772</v>
      </c>
      <c r="F1903" s="1"/>
      <c r="G1903" s="5" t="s">
        <v>64</v>
      </c>
      <c r="H1903" s="5" t="s">
        <v>684</v>
      </c>
      <c r="I1903" s="1" t="s">
        <v>2018</v>
      </c>
      <c r="J1903" s="1"/>
      <c r="K1903" s="1"/>
      <c r="L1903" s="2" t="s">
        <v>5232</v>
      </c>
      <c r="M1903" s="1"/>
      <c r="N1903" s="1"/>
      <c r="O1903" s="1"/>
      <c r="P1903" s="1"/>
      <c r="Q1903" s="1"/>
      <c r="R1903" s="1"/>
      <c r="S1903" s="1"/>
      <c r="T1903" s="1"/>
      <c r="U1903" s="1"/>
      <c r="V1903" s="1"/>
      <c r="W1903" s="1"/>
      <c r="X1903" s="1"/>
      <c r="Y1903" s="1"/>
      <c r="Z1903" s="1"/>
    </row>
    <row r="1904" spans="1:26" ht="33.75" customHeight="1">
      <c r="A1904" s="1">
        <v>2340</v>
      </c>
      <c r="B1904" s="1" t="s">
        <v>5233</v>
      </c>
      <c r="C1904" s="1" t="s">
        <v>5217</v>
      </c>
      <c r="D1904" s="4">
        <v>39978.800000000003</v>
      </c>
      <c r="E1904" s="1" t="s">
        <v>1089</v>
      </c>
      <c r="F1904" s="1" t="s">
        <v>5234</v>
      </c>
      <c r="G1904" s="5" t="s">
        <v>39</v>
      </c>
      <c r="H1904" s="5" t="s">
        <v>40</v>
      </c>
      <c r="I1904" s="1" t="s">
        <v>1285</v>
      </c>
      <c r="J1904" s="1"/>
      <c r="K1904" s="1" t="s">
        <v>5235</v>
      </c>
      <c r="L1904" s="2" t="s">
        <v>5236</v>
      </c>
      <c r="M1904" s="1"/>
      <c r="N1904" s="1"/>
      <c r="O1904" s="1"/>
      <c r="P1904" s="1"/>
      <c r="Q1904" s="1"/>
      <c r="R1904" s="1"/>
      <c r="S1904" s="1"/>
      <c r="T1904" s="1"/>
      <c r="U1904" s="1"/>
      <c r="V1904" s="1"/>
      <c r="W1904" s="1"/>
      <c r="X1904" s="1"/>
      <c r="Y1904" s="1"/>
      <c r="Z1904" s="1"/>
    </row>
    <row r="1905" spans="1:26" ht="33.75" customHeight="1">
      <c r="A1905" s="1">
        <v>2341</v>
      </c>
      <c r="B1905" s="1" t="s">
        <v>5237</v>
      </c>
      <c r="C1905" s="1" t="s">
        <v>5217</v>
      </c>
      <c r="D1905" s="4">
        <v>39978.895833333336</v>
      </c>
      <c r="E1905" s="1" t="s">
        <v>54</v>
      </c>
      <c r="F1905" s="1" t="s">
        <v>5238</v>
      </c>
      <c r="G1905" s="5" t="s">
        <v>64</v>
      </c>
      <c r="H1905" s="5" t="s">
        <v>375</v>
      </c>
      <c r="I1905" s="1" t="s">
        <v>5239</v>
      </c>
      <c r="J1905" s="1"/>
      <c r="K1905" s="1" t="s">
        <v>5240</v>
      </c>
      <c r="L1905" s="2" t="s">
        <v>5241</v>
      </c>
      <c r="M1905" s="1"/>
      <c r="N1905" s="1"/>
      <c r="O1905" s="1"/>
      <c r="P1905" s="1"/>
      <c r="Q1905" s="1"/>
      <c r="R1905" s="1"/>
      <c r="S1905" s="1"/>
      <c r="T1905" s="1"/>
      <c r="U1905" s="1"/>
      <c r="V1905" s="1"/>
      <c r="W1905" s="1"/>
      <c r="X1905" s="1"/>
      <c r="Y1905" s="1"/>
      <c r="Z1905" s="1"/>
    </row>
    <row r="1906" spans="1:26" ht="33.75" customHeight="1">
      <c r="A1906" s="1">
        <v>2342</v>
      </c>
      <c r="B1906" s="1" t="s">
        <v>5242</v>
      </c>
      <c r="C1906" s="1" t="s">
        <v>5217</v>
      </c>
      <c r="D1906" s="4">
        <v>39979.507638888892</v>
      </c>
      <c r="E1906" s="1" t="s">
        <v>772</v>
      </c>
      <c r="F1906" s="1"/>
      <c r="G1906" s="5" t="s">
        <v>64</v>
      </c>
      <c r="H1906" s="5" t="s">
        <v>263</v>
      </c>
      <c r="I1906" s="1" t="s">
        <v>5243</v>
      </c>
      <c r="J1906" s="1"/>
      <c r="K1906" s="1" t="s">
        <v>5244</v>
      </c>
      <c r="L1906" s="2" t="s">
        <v>5245</v>
      </c>
      <c r="M1906" s="1"/>
      <c r="N1906" s="1"/>
      <c r="O1906" s="1"/>
      <c r="P1906" s="1"/>
      <c r="Q1906" s="1"/>
      <c r="R1906" s="1"/>
      <c r="S1906" s="1"/>
      <c r="T1906" s="1"/>
      <c r="U1906" s="1"/>
      <c r="V1906" s="1"/>
      <c r="W1906" s="1"/>
      <c r="X1906" s="1"/>
      <c r="Y1906" s="1"/>
      <c r="Z1906" s="1"/>
    </row>
    <row r="1907" spans="1:26" ht="33.75" customHeight="1">
      <c r="A1907" s="1">
        <v>2343</v>
      </c>
      <c r="B1907" s="1" t="s">
        <v>5246</v>
      </c>
      <c r="C1907" s="1" t="s">
        <v>5217</v>
      </c>
      <c r="D1907" s="4">
        <v>39979.509027777778</v>
      </c>
      <c r="E1907" s="1" t="s">
        <v>772</v>
      </c>
      <c r="F1907" s="1" t="s">
        <v>5242</v>
      </c>
      <c r="G1907" s="5" t="s">
        <v>64</v>
      </c>
      <c r="H1907" s="5" t="s">
        <v>282</v>
      </c>
      <c r="I1907" s="1" t="s">
        <v>283</v>
      </c>
      <c r="J1907" s="1"/>
      <c r="K1907" s="1" t="s">
        <v>5247</v>
      </c>
      <c r="L1907" s="2" t="s">
        <v>5248</v>
      </c>
      <c r="M1907" s="1"/>
      <c r="N1907" s="1"/>
      <c r="O1907" s="1"/>
      <c r="P1907" s="1"/>
      <c r="Q1907" s="1"/>
      <c r="R1907" s="1"/>
      <c r="S1907" s="1"/>
      <c r="T1907" s="1"/>
      <c r="U1907" s="1"/>
      <c r="V1907" s="1"/>
      <c r="W1907" s="1"/>
      <c r="X1907" s="1"/>
      <c r="Y1907" s="1"/>
      <c r="Z1907" s="1"/>
    </row>
    <row r="1908" spans="1:26" ht="33.75" customHeight="1">
      <c r="A1908" s="1">
        <v>2344</v>
      </c>
      <c r="B1908" s="1" t="s">
        <v>5249</v>
      </c>
      <c r="C1908" s="1" t="s">
        <v>5217</v>
      </c>
      <c r="D1908" s="4">
        <v>39979.509722222225</v>
      </c>
      <c r="E1908" s="1" t="s">
        <v>772</v>
      </c>
      <c r="F1908" s="1" t="s">
        <v>5242</v>
      </c>
      <c r="G1908" s="5" t="s">
        <v>64</v>
      </c>
      <c r="H1908" s="5" t="s">
        <v>282</v>
      </c>
      <c r="I1908" s="1" t="s">
        <v>283</v>
      </c>
      <c r="J1908" s="1"/>
      <c r="K1908" s="1" t="s">
        <v>5250</v>
      </c>
      <c r="L1908" s="2" t="s">
        <v>5251</v>
      </c>
      <c r="M1908" s="1"/>
      <c r="N1908" s="1"/>
      <c r="O1908" s="1"/>
      <c r="P1908" s="1"/>
      <c r="Q1908" s="1"/>
      <c r="R1908" s="1"/>
      <c r="S1908" s="1"/>
      <c r="T1908" s="1"/>
      <c r="U1908" s="1"/>
      <c r="V1908" s="1"/>
      <c r="W1908" s="1"/>
      <c r="X1908" s="1"/>
      <c r="Y1908" s="1"/>
      <c r="Z1908" s="1"/>
    </row>
    <row r="1909" spans="1:26" ht="33.75" customHeight="1">
      <c r="A1909" s="1">
        <v>2345</v>
      </c>
      <c r="B1909" s="1" t="s">
        <v>5252</v>
      </c>
      <c r="C1909" s="1" t="s">
        <v>5217</v>
      </c>
      <c r="D1909" s="4">
        <v>39979.522916666669</v>
      </c>
      <c r="E1909" s="1" t="s">
        <v>1887</v>
      </c>
      <c r="F1909" s="1"/>
      <c r="G1909" s="5" t="s">
        <v>64</v>
      </c>
      <c r="H1909" s="5" t="s">
        <v>375</v>
      </c>
      <c r="I1909" s="1" t="s">
        <v>900</v>
      </c>
      <c r="J1909" s="1"/>
      <c r="K1909" s="1"/>
      <c r="L1909" s="2" t="s">
        <v>5253</v>
      </c>
      <c r="M1909" s="1"/>
      <c r="N1909" s="1"/>
      <c r="O1909" s="1"/>
      <c r="P1909" s="1"/>
      <c r="Q1909" s="1"/>
      <c r="R1909" s="1"/>
      <c r="S1909" s="1"/>
      <c r="T1909" s="1"/>
      <c r="U1909" s="1"/>
      <c r="V1909" s="1"/>
      <c r="W1909" s="1"/>
      <c r="X1909" s="1"/>
      <c r="Y1909" s="1"/>
      <c r="Z1909" s="1"/>
    </row>
    <row r="1910" spans="1:26" ht="33.75" customHeight="1">
      <c r="A1910" s="1">
        <v>2346</v>
      </c>
      <c r="B1910" s="1" t="s">
        <v>5254</v>
      </c>
      <c r="C1910" s="1" t="s">
        <v>5217</v>
      </c>
      <c r="D1910" s="4">
        <v>39979.89166666667</v>
      </c>
      <c r="E1910" s="1" t="s">
        <v>5255</v>
      </c>
      <c r="F1910" s="1"/>
      <c r="G1910" s="5" t="s">
        <v>26</v>
      </c>
      <c r="H1910" s="5" t="s">
        <v>133</v>
      </c>
      <c r="I1910" s="1" t="s">
        <v>5256</v>
      </c>
      <c r="J1910" s="1"/>
      <c r="K1910" s="1"/>
      <c r="L1910" s="2" t="s">
        <v>5257</v>
      </c>
      <c r="M1910" s="1"/>
      <c r="N1910" s="1"/>
      <c r="O1910" s="1"/>
      <c r="P1910" s="1"/>
      <c r="Q1910" s="1"/>
      <c r="R1910" s="1"/>
      <c r="S1910" s="1"/>
      <c r="T1910" s="1"/>
      <c r="U1910" s="1"/>
      <c r="V1910" s="1"/>
      <c r="W1910" s="1"/>
      <c r="X1910" s="1"/>
      <c r="Y1910" s="1"/>
      <c r="Z1910" s="1"/>
    </row>
    <row r="1911" spans="1:26" ht="33.75" customHeight="1">
      <c r="A1911" s="1">
        <v>2347</v>
      </c>
      <c r="B1911" s="1" t="s">
        <v>5258</v>
      </c>
      <c r="C1911" s="1" t="s">
        <v>5217</v>
      </c>
      <c r="D1911" s="4">
        <v>39979.94027777778</v>
      </c>
      <c r="E1911" s="1" t="s">
        <v>54</v>
      </c>
      <c r="F1911" s="1" t="s">
        <v>5259</v>
      </c>
      <c r="G1911" s="5" t="s">
        <v>64</v>
      </c>
      <c r="H1911" s="1"/>
      <c r="I1911" s="1" t="s">
        <v>64</v>
      </c>
      <c r="J1911" s="1"/>
      <c r="K1911" s="1"/>
      <c r="L1911" s="2" t="s">
        <v>5260</v>
      </c>
      <c r="M1911" s="1"/>
      <c r="N1911" s="1"/>
      <c r="O1911" s="1"/>
      <c r="P1911" s="1"/>
      <c r="Q1911" s="1"/>
      <c r="R1911" s="1"/>
      <c r="S1911" s="1"/>
      <c r="T1911" s="1"/>
      <c r="U1911" s="1"/>
      <c r="V1911" s="1"/>
      <c r="W1911" s="1"/>
      <c r="X1911" s="1"/>
      <c r="Y1911" s="1"/>
      <c r="Z1911" s="1"/>
    </row>
    <row r="1912" spans="1:26" ht="33.75" customHeight="1">
      <c r="A1912" s="1">
        <v>2348</v>
      </c>
      <c r="B1912" s="1" t="s">
        <v>5261</v>
      </c>
      <c r="C1912" s="1" t="s">
        <v>5217</v>
      </c>
      <c r="D1912" s="4">
        <v>39980.057638888888</v>
      </c>
      <c r="E1912" s="1" t="s">
        <v>1887</v>
      </c>
      <c r="F1912" s="1"/>
      <c r="G1912" s="5" t="s">
        <v>64</v>
      </c>
      <c r="H1912" s="5" t="s">
        <v>375</v>
      </c>
      <c r="I1912" s="1" t="s">
        <v>900</v>
      </c>
      <c r="J1912" s="1"/>
      <c r="K1912" s="1"/>
      <c r="L1912" s="2" t="s">
        <v>5262</v>
      </c>
      <c r="M1912" s="1"/>
      <c r="N1912" s="1"/>
      <c r="O1912" s="1"/>
      <c r="P1912" s="1"/>
      <c r="Q1912" s="1"/>
      <c r="R1912" s="1"/>
      <c r="S1912" s="1"/>
      <c r="T1912" s="1"/>
      <c r="U1912" s="1"/>
      <c r="V1912" s="1"/>
      <c r="W1912" s="1"/>
      <c r="X1912" s="1"/>
      <c r="Y1912" s="1"/>
      <c r="Z1912" s="1"/>
    </row>
    <row r="1913" spans="1:26" ht="33.75" customHeight="1">
      <c r="A1913" s="1">
        <v>2349</v>
      </c>
      <c r="B1913" s="1" t="s">
        <v>5263</v>
      </c>
      <c r="C1913" s="1" t="s">
        <v>5217</v>
      </c>
      <c r="D1913" s="4">
        <v>39980.09652777778</v>
      </c>
      <c r="E1913" s="1" t="s">
        <v>1089</v>
      </c>
      <c r="F1913" s="1" t="s">
        <v>5264</v>
      </c>
      <c r="G1913" s="6" t="s">
        <v>78</v>
      </c>
      <c r="H1913" s="1" t="s">
        <v>479</v>
      </c>
      <c r="I1913" s="1" t="s">
        <v>480</v>
      </c>
      <c r="J1913" s="1" t="s">
        <v>481</v>
      </c>
      <c r="K1913" s="1"/>
      <c r="L1913" s="2" t="s">
        <v>5265</v>
      </c>
      <c r="M1913" s="1"/>
      <c r="N1913" s="1"/>
      <c r="O1913" s="1"/>
      <c r="P1913" s="1"/>
      <c r="Q1913" s="1"/>
      <c r="R1913" s="1"/>
      <c r="S1913" s="1"/>
      <c r="T1913" s="1"/>
      <c r="U1913" s="1"/>
      <c r="V1913" s="1"/>
      <c r="W1913" s="1"/>
      <c r="X1913" s="1"/>
      <c r="Y1913" s="1"/>
      <c r="Z1913" s="1"/>
    </row>
    <row r="1914" spans="1:26" ht="33.75" customHeight="1">
      <c r="A1914" s="1">
        <v>2350</v>
      </c>
      <c r="B1914" s="1" t="s">
        <v>5266</v>
      </c>
      <c r="C1914" s="1" t="s">
        <v>5217</v>
      </c>
      <c r="D1914" s="4">
        <v>39980.130555555559</v>
      </c>
      <c r="E1914" s="1" t="s">
        <v>1089</v>
      </c>
      <c r="F1914" s="1"/>
      <c r="G1914" s="5" t="s">
        <v>26</v>
      </c>
      <c r="H1914" s="5" t="s">
        <v>27</v>
      </c>
      <c r="I1914" s="1" t="s">
        <v>28</v>
      </c>
      <c r="J1914" s="1" t="s">
        <v>5267</v>
      </c>
      <c r="K1914" s="1"/>
      <c r="L1914" s="2" t="s">
        <v>5268</v>
      </c>
      <c r="M1914" s="1"/>
      <c r="N1914" s="1"/>
      <c r="O1914" s="1"/>
      <c r="P1914" s="1"/>
      <c r="Q1914" s="1"/>
      <c r="R1914" s="1"/>
      <c r="S1914" s="1"/>
      <c r="T1914" s="1"/>
      <c r="U1914" s="1"/>
      <c r="V1914" s="1"/>
      <c r="W1914" s="1"/>
      <c r="X1914" s="1"/>
      <c r="Y1914" s="1"/>
      <c r="Z1914" s="1"/>
    </row>
    <row r="1915" spans="1:26" ht="33.75" customHeight="1">
      <c r="A1915" s="1">
        <v>2351</v>
      </c>
      <c r="B1915" s="1" t="s">
        <v>5269</v>
      </c>
      <c r="C1915" s="1" t="s">
        <v>5217</v>
      </c>
      <c r="D1915" s="4">
        <v>39980.177083333336</v>
      </c>
      <c r="E1915" s="1" t="s">
        <v>1768</v>
      </c>
      <c r="F1915" s="1" t="s">
        <v>5266</v>
      </c>
      <c r="G1915" s="5" t="s">
        <v>26</v>
      </c>
      <c r="H1915" s="5" t="s">
        <v>27</v>
      </c>
      <c r="I1915" s="1" t="s">
        <v>28</v>
      </c>
      <c r="J1915" s="1" t="s">
        <v>5267</v>
      </c>
      <c r="K1915" s="1" t="s">
        <v>5270</v>
      </c>
      <c r="L1915" s="2" t="s">
        <v>5271</v>
      </c>
      <c r="M1915" s="1"/>
      <c r="N1915" s="1"/>
      <c r="O1915" s="1"/>
      <c r="P1915" s="1"/>
      <c r="Q1915" s="1"/>
      <c r="R1915" s="1"/>
      <c r="S1915" s="1"/>
      <c r="T1915" s="1"/>
      <c r="U1915" s="1"/>
      <c r="V1915" s="1"/>
      <c r="W1915" s="1"/>
      <c r="X1915" s="1"/>
      <c r="Y1915" s="1"/>
      <c r="Z1915" s="1"/>
    </row>
    <row r="1916" spans="1:26" ht="33.75" customHeight="1">
      <c r="A1916" s="1">
        <v>2352</v>
      </c>
      <c r="B1916" s="1" t="s">
        <v>5272</v>
      </c>
      <c r="C1916" s="1" t="s">
        <v>5217</v>
      </c>
      <c r="D1916" s="4">
        <v>39980.265972222223</v>
      </c>
      <c r="E1916" s="1" t="s">
        <v>2893</v>
      </c>
      <c r="F1916" s="1"/>
      <c r="G1916" s="5" t="s">
        <v>26</v>
      </c>
      <c r="H1916" s="5" t="s">
        <v>27</v>
      </c>
      <c r="I1916" s="1" t="s">
        <v>28</v>
      </c>
      <c r="J1916" s="1" t="s">
        <v>5267</v>
      </c>
      <c r="K1916" s="1" t="s">
        <v>5273</v>
      </c>
      <c r="L1916" s="2" t="s">
        <v>5274</v>
      </c>
      <c r="M1916" s="1"/>
      <c r="N1916" s="1"/>
      <c r="O1916" s="1"/>
      <c r="P1916" s="1"/>
      <c r="Q1916" s="1"/>
      <c r="R1916" s="1"/>
      <c r="S1916" s="1"/>
      <c r="T1916" s="1"/>
      <c r="U1916" s="1"/>
      <c r="V1916" s="1"/>
      <c r="W1916" s="1"/>
      <c r="X1916" s="1"/>
      <c r="Y1916" s="1"/>
      <c r="Z1916" s="1"/>
    </row>
    <row r="1917" spans="1:26" ht="33.75" customHeight="1">
      <c r="A1917" s="1">
        <v>2353</v>
      </c>
      <c r="B1917" s="1" t="s">
        <v>5275</v>
      </c>
      <c r="C1917" s="1" t="s">
        <v>5217</v>
      </c>
      <c r="D1917" s="4">
        <v>39980.273611111108</v>
      </c>
      <c r="E1917" s="1" t="s">
        <v>54</v>
      </c>
      <c r="F1917" s="1"/>
      <c r="G1917" s="5" t="s">
        <v>15</v>
      </c>
      <c r="H1917" s="5" t="s">
        <v>150</v>
      </c>
      <c r="I1917" s="1" t="s">
        <v>5276</v>
      </c>
      <c r="J1917" s="1"/>
      <c r="K1917" s="1" t="s">
        <v>5277</v>
      </c>
      <c r="L1917" s="2" t="s">
        <v>5278</v>
      </c>
      <c r="M1917" s="1"/>
      <c r="N1917" s="1"/>
      <c r="O1917" s="1"/>
      <c r="P1917" s="1"/>
      <c r="Q1917" s="1"/>
      <c r="R1917" s="1"/>
      <c r="S1917" s="1"/>
      <c r="T1917" s="1"/>
      <c r="U1917" s="1"/>
      <c r="V1917" s="1"/>
      <c r="W1917" s="1"/>
      <c r="X1917" s="1"/>
      <c r="Y1917" s="1"/>
      <c r="Z1917" s="1"/>
    </row>
    <row r="1918" spans="1:26" ht="33.75" customHeight="1">
      <c r="A1918" s="1">
        <v>2354</v>
      </c>
      <c r="B1918" s="1" t="s">
        <v>5279</v>
      </c>
      <c r="C1918" s="1" t="s">
        <v>5217</v>
      </c>
      <c r="D1918" s="4">
        <v>39980.27847222222</v>
      </c>
      <c r="E1918" s="1" t="s">
        <v>54</v>
      </c>
      <c r="F1918" s="1"/>
      <c r="G1918" s="6" t="s">
        <v>78</v>
      </c>
      <c r="H1918" s="5" t="s">
        <v>197</v>
      </c>
      <c r="I1918" s="1" t="s">
        <v>372</v>
      </c>
      <c r="J1918" s="1"/>
      <c r="K1918" s="1"/>
      <c r="L1918" s="2" t="s">
        <v>5280</v>
      </c>
      <c r="M1918" s="1"/>
      <c r="N1918" s="1"/>
      <c r="O1918" s="1"/>
      <c r="P1918" s="1"/>
      <c r="Q1918" s="1"/>
      <c r="R1918" s="1"/>
      <c r="S1918" s="1"/>
      <c r="T1918" s="1"/>
      <c r="U1918" s="1"/>
      <c r="V1918" s="1"/>
      <c r="W1918" s="1"/>
      <c r="X1918" s="1"/>
      <c r="Y1918" s="1"/>
      <c r="Z1918" s="1"/>
    </row>
    <row r="1919" spans="1:26" ht="33.75" customHeight="1">
      <c r="A1919" s="1">
        <v>2355</v>
      </c>
      <c r="B1919" s="1" t="s">
        <v>5281</v>
      </c>
      <c r="C1919" s="1" t="s">
        <v>5217</v>
      </c>
      <c r="D1919" s="4">
        <v>39980.287499999999</v>
      </c>
      <c r="E1919" s="1" t="s">
        <v>54</v>
      </c>
      <c r="F1919" s="1"/>
      <c r="G1919" s="6" t="s">
        <v>78</v>
      </c>
      <c r="H1919" s="5" t="s">
        <v>223</v>
      </c>
      <c r="I1919" s="1" t="s">
        <v>5282</v>
      </c>
      <c r="J1919" s="1"/>
      <c r="K1919" s="1" t="s">
        <v>5283</v>
      </c>
      <c r="L1919" s="2" t="s">
        <v>5284</v>
      </c>
      <c r="M1919" s="1"/>
      <c r="N1919" s="1"/>
      <c r="O1919" s="1"/>
      <c r="P1919" s="1"/>
      <c r="Q1919" s="1"/>
      <c r="R1919" s="1"/>
      <c r="S1919" s="1"/>
      <c r="T1919" s="1"/>
      <c r="U1919" s="1"/>
      <c r="V1919" s="1"/>
      <c r="W1919" s="1"/>
      <c r="X1919" s="1"/>
      <c r="Y1919" s="1"/>
      <c r="Z1919" s="1"/>
    </row>
    <row r="1920" spans="1:26" ht="33.75" customHeight="1">
      <c r="A1920" s="1">
        <v>2356</v>
      </c>
      <c r="B1920" s="1" t="s">
        <v>5285</v>
      </c>
      <c r="C1920" s="1" t="s">
        <v>5217</v>
      </c>
      <c r="D1920" s="4">
        <v>39980.335416666669</v>
      </c>
      <c r="E1920" s="1" t="s">
        <v>1887</v>
      </c>
      <c r="F1920" s="1"/>
      <c r="G1920" s="5" t="s">
        <v>64</v>
      </c>
      <c r="H1920" s="5" t="s">
        <v>375</v>
      </c>
      <c r="I1920" s="1" t="s">
        <v>5286</v>
      </c>
      <c r="J1920" s="1"/>
      <c r="K1920" s="1"/>
      <c r="L1920" s="2" t="s">
        <v>5287</v>
      </c>
      <c r="M1920" s="1"/>
      <c r="N1920" s="1"/>
      <c r="O1920" s="1"/>
      <c r="P1920" s="1"/>
      <c r="Q1920" s="1"/>
      <c r="R1920" s="1"/>
      <c r="S1920" s="1"/>
      <c r="T1920" s="1"/>
      <c r="U1920" s="1"/>
      <c r="V1920" s="1"/>
      <c r="W1920" s="1"/>
      <c r="X1920" s="1"/>
      <c r="Y1920" s="1"/>
      <c r="Z1920" s="1"/>
    </row>
    <row r="1921" spans="1:26" ht="33.75" customHeight="1">
      <c r="A1921" s="1">
        <v>2357</v>
      </c>
      <c r="B1921" s="1" t="s">
        <v>5288</v>
      </c>
      <c r="C1921" s="1" t="s">
        <v>5217</v>
      </c>
      <c r="D1921" s="4">
        <v>39980.355555555558</v>
      </c>
      <c r="E1921" s="1" t="s">
        <v>2893</v>
      </c>
      <c r="F1921" s="1"/>
      <c r="G1921" s="5" t="s">
        <v>64</v>
      </c>
      <c r="H1921" s="5" t="s">
        <v>375</v>
      </c>
      <c r="I1921" s="1" t="s">
        <v>900</v>
      </c>
      <c r="J1921" s="1"/>
      <c r="K1921" s="1"/>
      <c r="L1921" s="2" t="s">
        <v>5289</v>
      </c>
      <c r="M1921" s="1"/>
      <c r="N1921" s="1"/>
      <c r="O1921" s="1"/>
      <c r="P1921" s="1"/>
      <c r="Q1921" s="1"/>
      <c r="R1921" s="1"/>
      <c r="S1921" s="1"/>
      <c r="T1921" s="1"/>
      <c r="U1921" s="1"/>
      <c r="V1921" s="1"/>
      <c r="W1921" s="1"/>
      <c r="X1921" s="1"/>
      <c r="Y1921" s="1"/>
      <c r="Z1921" s="1"/>
    </row>
    <row r="1922" spans="1:26" ht="33.75" customHeight="1">
      <c r="A1922" s="1">
        <v>2358</v>
      </c>
      <c r="B1922" s="1" t="s">
        <v>5290</v>
      </c>
      <c r="C1922" s="1" t="s">
        <v>5217</v>
      </c>
      <c r="D1922" s="4">
        <v>39980.436111111114</v>
      </c>
      <c r="E1922" s="1" t="s">
        <v>1089</v>
      </c>
      <c r="F1922" s="1"/>
      <c r="G1922" s="5" t="s">
        <v>64</v>
      </c>
      <c r="H1922" s="5" t="s">
        <v>375</v>
      </c>
      <c r="I1922" s="1" t="s">
        <v>5291</v>
      </c>
      <c r="J1922" s="1"/>
      <c r="K1922" s="1"/>
      <c r="L1922" s="2" t="s">
        <v>5292</v>
      </c>
      <c r="M1922" s="1"/>
      <c r="N1922" s="1"/>
      <c r="O1922" s="1"/>
      <c r="P1922" s="1"/>
      <c r="Q1922" s="1"/>
      <c r="R1922" s="1"/>
      <c r="S1922" s="1"/>
      <c r="T1922" s="1"/>
      <c r="U1922" s="1"/>
      <c r="V1922" s="1"/>
      <c r="W1922" s="1"/>
      <c r="X1922" s="1"/>
      <c r="Y1922" s="1"/>
      <c r="Z1922" s="1"/>
    </row>
    <row r="1923" spans="1:26" ht="33.75" customHeight="1">
      <c r="A1923" s="1">
        <v>2359</v>
      </c>
      <c r="B1923" s="1" t="s">
        <v>5293</v>
      </c>
      <c r="C1923" s="1" t="s">
        <v>5217</v>
      </c>
      <c r="D1923" s="4">
        <v>39980.478472222225</v>
      </c>
      <c r="E1923" s="1" t="s">
        <v>1089</v>
      </c>
      <c r="F1923" s="1"/>
      <c r="G1923" s="5" t="s">
        <v>15</v>
      </c>
      <c r="H1923" s="5" t="s">
        <v>55</v>
      </c>
      <c r="I1923" s="1" t="s">
        <v>5294</v>
      </c>
      <c r="J1923" s="1"/>
      <c r="K1923" s="1"/>
      <c r="L1923" s="2" t="s">
        <v>5295</v>
      </c>
      <c r="M1923" s="1"/>
      <c r="N1923" s="1"/>
      <c r="O1923" s="1"/>
      <c r="P1923" s="1"/>
      <c r="Q1923" s="1"/>
      <c r="R1923" s="1"/>
      <c r="S1923" s="1"/>
      <c r="T1923" s="1"/>
      <c r="U1923" s="1"/>
      <c r="V1923" s="1"/>
      <c r="W1923" s="1"/>
      <c r="X1923" s="1"/>
      <c r="Y1923" s="1"/>
      <c r="Z1923" s="1"/>
    </row>
    <row r="1924" spans="1:26" ht="33.75" customHeight="1">
      <c r="A1924" s="1">
        <v>2360</v>
      </c>
      <c r="B1924" s="1" t="s">
        <v>5296</v>
      </c>
      <c r="C1924" s="1" t="s">
        <v>5217</v>
      </c>
      <c r="D1924" s="4">
        <v>39980.489583333336</v>
      </c>
      <c r="E1924" s="1" t="s">
        <v>54</v>
      </c>
      <c r="F1924" s="1" t="s">
        <v>5293</v>
      </c>
      <c r="G1924" s="5" t="s">
        <v>26</v>
      </c>
      <c r="H1924" s="5" t="s">
        <v>27</v>
      </c>
      <c r="I1924" s="1" t="s">
        <v>28</v>
      </c>
      <c r="J1924" s="1" t="s">
        <v>259</v>
      </c>
      <c r="K1924" s="1" t="s">
        <v>5297</v>
      </c>
      <c r="L1924" s="2" t="s">
        <v>5298</v>
      </c>
      <c r="M1924" s="1"/>
      <c r="N1924" s="1"/>
      <c r="O1924" s="1"/>
      <c r="P1924" s="1"/>
      <c r="Q1924" s="1"/>
      <c r="R1924" s="1"/>
      <c r="S1924" s="1"/>
      <c r="T1924" s="1"/>
      <c r="U1924" s="1"/>
      <c r="V1924" s="1"/>
      <c r="W1924" s="1"/>
      <c r="X1924" s="1"/>
      <c r="Y1924" s="1"/>
      <c r="Z1924" s="1"/>
    </row>
    <row r="1925" spans="1:26" ht="33.75" customHeight="1">
      <c r="A1925" s="1">
        <v>2361</v>
      </c>
      <c r="B1925" s="1" t="s">
        <v>5299</v>
      </c>
      <c r="C1925" s="1" t="s">
        <v>5217</v>
      </c>
      <c r="D1925" s="4">
        <v>39980.492361111108</v>
      </c>
      <c r="E1925" s="1" t="s">
        <v>54</v>
      </c>
      <c r="F1925" s="1" t="s">
        <v>5288</v>
      </c>
      <c r="G1925" s="5" t="s">
        <v>64</v>
      </c>
      <c r="H1925" s="5" t="s">
        <v>375</v>
      </c>
      <c r="I1925" s="1" t="s">
        <v>900</v>
      </c>
      <c r="J1925" s="1"/>
      <c r="K1925" s="1" t="s">
        <v>5300</v>
      </c>
      <c r="L1925" s="2" t="s">
        <v>5301</v>
      </c>
      <c r="M1925" s="1"/>
      <c r="N1925" s="1"/>
      <c r="O1925" s="1"/>
      <c r="P1925" s="1"/>
      <c r="Q1925" s="1"/>
      <c r="R1925" s="1"/>
      <c r="S1925" s="1"/>
      <c r="T1925" s="1"/>
      <c r="U1925" s="1"/>
      <c r="V1925" s="1"/>
      <c r="W1925" s="1"/>
      <c r="X1925" s="1"/>
      <c r="Y1925" s="1"/>
      <c r="Z1925" s="1"/>
    </row>
    <row r="1926" spans="1:26" ht="33.75" customHeight="1">
      <c r="A1926" s="1">
        <v>2362</v>
      </c>
      <c r="B1926" s="1" t="s">
        <v>5302</v>
      </c>
      <c r="C1926" s="1" t="s">
        <v>5217</v>
      </c>
      <c r="D1926" s="4">
        <v>39980.503472222219</v>
      </c>
      <c r="E1926" s="1" t="s">
        <v>1887</v>
      </c>
      <c r="F1926" s="1"/>
      <c r="G1926" s="5" t="s">
        <v>15</v>
      </c>
      <c r="H1926" s="5" t="s">
        <v>140</v>
      </c>
      <c r="I1926" s="1" t="s">
        <v>5303</v>
      </c>
      <c r="J1926" s="1"/>
      <c r="K1926" s="1"/>
      <c r="L1926" s="2" t="s">
        <v>5304</v>
      </c>
      <c r="M1926" s="1"/>
      <c r="N1926" s="1"/>
      <c r="O1926" s="1"/>
      <c r="P1926" s="1"/>
      <c r="Q1926" s="1"/>
      <c r="R1926" s="1"/>
      <c r="S1926" s="1"/>
      <c r="T1926" s="1"/>
      <c r="U1926" s="1"/>
      <c r="V1926" s="1"/>
      <c r="W1926" s="1"/>
      <c r="X1926" s="1"/>
      <c r="Y1926" s="1"/>
      <c r="Z1926" s="1"/>
    </row>
    <row r="1927" spans="1:26" ht="33.75" customHeight="1">
      <c r="A1927" s="1">
        <v>2363</v>
      </c>
      <c r="B1927" s="1" t="s">
        <v>5305</v>
      </c>
      <c r="C1927" s="1" t="s">
        <v>5217</v>
      </c>
      <c r="D1927" s="4">
        <v>39980.513194444444</v>
      </c>
      <c r="E1927" s="1" t="s">
        <v>772</v>
      </c>
      <c r="F1927" s="1"/>
      <c r="G1927" s="5" t="s">
        <v>64</v>
      </c>
      <c r="H1927" s="5" t="s">
        <v>3663</v>
      </c>
      <c r="I1927" s="1" t="s">
        <v>35</v>
      </c>
      <c r="J1927" s="1" t="s">
        <v>3664</v>
      </c>
      <c r="K1927" s="1" t="s">
        <v>5306</v>
      </c>
      <c r="L1927" s="2" t="s">
        <v>5307</v>
      </c>
      <c r="M1927" s="1"/>
      <c r="N1927" s="1"/>
      <c r="O1927" s="1"/>
      <c r="P1927" s="1"/>
      <c r="Q1927" s="1"/>
      <c r="R1927" s="1"/>
      <c r="S1927" s="1"/>
      <c r="T1927" s="1"/>
      <c r="U1927" s="1"/>
      <c r="V1927" s="1"/>
      <c r="W1927" s="1"/>
      <c r="X1927" s="1"/>
      <c r="Y1927" s="1"/>
      <c r="Z1927" s="1"/>
    </row>
    <row r="1928" spans="1:26" ht="33.75" customHeight="1">
      <c r="A1928" s="1">
        <v>2364</v>
      </c>
      <c r="B1928" s="1" t="s">
        <v>5308</v>
      </c>
      <c r="C1928" s="1" t="s">
        <v>5217</v>
      </c>
      <c r="D1928" s="4">
        <v>39980.59375</v>
      </c>
      <c r="E1928" s="1" t="s">
        <v>2893</v>
      </c>
      <c r="F1928" s="1" t="s">
        <v>5299</v>
      </c>
      <c r="G1928" s="5" t="s">
        <v>33</v>
      </c>
      <c r="H1928" s="5" t="s">
        <v>34</v>
      </c>
      <c r="I1928" s="1" t="s">
        <v>35</v>
      </c>
      <c r="J1928" s="1"/>
      <c r="K1928" s="1"/>
      <c r="L1928" s="2" t="s">
        <v>5309</v>
      </c>
      <c r="M1928" s="1"/>
      <c r="N1928" s="1"/>
      <c r="O1928" s="1"/>
      <c r="P1928" s="1"/>
      <c r="Q1928" s="1"/>
      <c r="R1928" s="1"/>
      <c r="S1928" s="1"/>
      <c r="T1928" s="1"/>
      <c r="U1928" s="1"/>
      <c r="V1928" s="1"/>
      <c r="W1928" s="1"/>
      <c r="X1928" s="1"/>
      <c r="Y1928" s="1"/>
      <c r="Z1928" s="1"/>
    </row>
    <row r="1929" spans="1:26" ht="33.75" customHeight="1">
      <c r="A1929" s="1">
        <v>2365</v>
      </c>
      <c r="B1929" s="1" t="s">
        <v>5310</v>
      </c>
      <c r="C1929" s="1" t="s">
        <v>5217</v>
      </c>
      <c r="D1929" s="4">
        <v>39981.046527777777</v>
      </c>
      <c r="E1929" s="1" t="s">
        <v>1887</v>
      </c>
      <c r="F1929" s="1"/>
      <c r="G1929" s="5" t="s">
        <v>64</v>
      </c>
      <c r="H1929" s="5" t="s">
        <v>431</v>
      </c>
      <c r="I1929" s="1" t="s">
        <v>1017</v>
      </c>
      <c r="J1929" s="1"/>
      <c r="K1929" s="1" t="s">
        <v>5311</v>
      </c>
      <c r="L1929" s="2" t="s">
        <v>5312</v>
      </c>
      <c r="M1929" s="1"/>
      <c r="N1929" s="1"/>
      <c r="O1929" s="1"/>
      <c r="P1929" s="1"/>
      <c r="Q1929" s="1"/>
      <c r="R1929" s="1"/>
      <c r="S1929" s="1"/>
      <c r="T1929" s="1"/>
      <c r="U1929" s="1"/>
      <c r="V1929" s="1"/>
      <c r="W1929" s="1"/>
      <c r="X1929" s="1"/>
      <c r="Y1929" s="1"/>
      <c r="Z1929" s="1"/>
    </row>
    <row r="1930" spans="1:26" ht="33.75" customHeight="1">
      <c r="A1930" s="1">
        <v>2366</v>
      </c>
      <c r="B1930" s="1" t="s">
        <v>5313</v>
      </c>
      <c r="C1930" s="1" t="s">
        <v>5217</v>
      </c>
      <c r="D1930" s="4">
        <v>39981.079861111109</v>
      </c>
      <c r="E1930" s="1" t="s">
        <v>1089</v>
      </c>
      <c r="F1930" s="1" t="s">
        <v>5310</v>
      </c>
      <c r="G1930" s="5" t="s">
        <v>64</v>
      </c>
      <c r="H1930" s="5" t="s">
        <v>431</v>
      </c>
      <c r="I1930" s="1" t="s">
        <v>2049</v>
      </c>
      <c r="J1930" s="1"/>
      <c r="K1930" s="1"/>
      <c r="L1930" s="2" t="s">
        <v>5314</v>
      </c>
      <c r="M1930" s="1"/>
      <c r="N1930" s="1"/>
      <c r="O1930" s="1"/>
      <c r="P1930" s="1"/>
      <c r="Q1930" s="1"/>
      <c r="R1930" s="1"/>
      <c r="S1930" s="1"/>
      <c r="T1930" s="1"/>
      <c r="U1930" s="1"/>
      <c r="V1930" s="1"/>
      <c r="W1930" s="1"/>
      <c r="X1930" s="1"/>
      <c r="Y1930" s="1"/>
      <c r="Z1930" s="1"/>
    </row>
    <row r="1931" spans="1:26" ht="33.75" customHeight="1">
      <c r="A1931" s="1">
        <v>2367</v>
      </c>
      <c r="B1931" s="1" t="s">
        <v>5315</v>
      </c>
      <c r="C1931" s="1" t="s">
        <v>5217</v>
      </c>
      <c r="D1931" s="4">
        <v>39981.151388888888</v>
      </c>
      <c r="E1931" s="1" t="s">
        <v>1887</v>
      </c>
      <c r="F1931" s="1"/>
      <c r="G1931" s="5" t="s">
        <v>64</v>
      </c>
      <c r="H1931" s="5" t="s">
        <v>431</v>
      </c>
      <c r="I1931" s="1" t="s">
        <v>5316</v>
      </c>
      <c r="J1931" s="1"/>
      <c r="K1931" s="1"/>
      <c r="L1931" s="2" t="s">
        <v>5317</v>
      </c>
      <c r="M1931" s="1"/>
      <c r="N1931" s="1"/>
      <c r="O1931" s="1"/>
      <c r="P1931" s="1"/>
      <c r="Q1931" s="1"/>
      <c r="R1931" s="1"/>
      <c r="S1931" s="1"/>
      <c r="T1931" s="1"/>
      <c r="U1931" s="1"/>
      <c r="V1931" s="1"/>
      <c r="W1931" s="1"/>
      <c r="X1931" s="1"/>
      <c r="Y1931" s="1"/>
      <c r="Z1931" s="1"/>
    </row>
    <row r="1932" spans="1:26" ht="33.75" customHeight="1">
      <c r="A1932" s="1">
        <v>2368</v>
      </c>
      <c r="B1932" s="1" t="s">
        <v>5318</v>
      </c>
      <c r="C1932" s="1" t="s">
        <v>5217</v>
      </c>
      <c r="D1932" s="4">
        <v>39981.234027777777</v>
      </c>
      <c r="E1932" s="1" t="s">
        <v>1089</v>
      </c>
      <c r="F1932" s="1"/>
      <c r="G1932" s="5" t="s">
        <v>64</v>
      </c>
      <c r="H1932" s="5" t="s">
        <v>263</v>
      </c>
      <c r="I1932" s="1" t="s">
        <v>5319</v>
      </c>
      <c r="J1932" s="1"/>
      <c r="K1932" s="1"/>
      <c r="L1932" s="2" t="s">
        <v>5320</v>
      </c>
      <c r="M1932" s="1"/>
      <c r="N1932" s="1"/>
      <c r="O1932" s="1"/>
      <c r="P1932" s="1"/>
      <c r="Q1932" s="1"/>
      <c r="R1932" s="1"/>
      <c r="S1932" s="1"/>
      <c r="T1932" s="1"/>
      <c r="U1932" s="1"/>
      <c r="V1932" s="1"/>
      <c r="W1932" s="1"/>
      <c r="X1932" s="1"/>
      <c r="Y1932" s="1"/>
      <c r="Z1932" s="1"/>
    </row>
    <row r="1933" spans="1:26" ht="33.75" customHeight="1">
      <c r="A1933" s="1">
        <v>2369</v>
      </c>
      <c r="B1933" s="1" t="s">
        <v>5321</v>
      </c>
      <c r="C1933" s="1" t="s">
        <v>5217</v>
      </c>
      <c r="D1933" s="4">
        <v>39981.375</v>
      </c>
      <c r="E1933" s="1" t="s">
        <v>1887</v>
      </c>
      <c r="F1933" s="1"/>
      <c r="G1933" s="5" t="s">
        <v>64</v>
      </c>
      <c r="H1933" s="5" t="s">
        <v>375</v>
      </c>
      <c r="I1933" s="1" t="s">
        <v>900</v>
      </c>
      <c r="J1933" s="1"/>
      <c r="K1933" s="1"/>
      <c r="L1933" s="2" t="s">
        <v>5322</v>
      </c>
      <c r="M1933" s="1"/>
      <c r="N1933" s="1"/>
      <c r="O1933" s="1"/>
      <c r="P1933" s="1"/>
      <c r="Q1933" s="1"/>
      <c r="R1933" s="1"/>
      <c r="S1933" s="1"/>
      <c r="T1933" s="1"/>
      <c r="U1933" s="1"/>
      <c r="V1933" s="1"/>
      <c r="W1933" s="1"/>
      <c r="X1933" s="1"/>
      <c r="Y1933" s="1"/>
      <c r="Z1933" s="1"/>
    </row>
    <row r="1934" spans="1:26" ht="33.75" customHeight="1">
      <c r="A1934" s="1">
        <v>2370</v>
      </c>
      <c r="B1934" s="1" t="s">
        <v>5323</v>
      </c>
      <c r="C1934" s="1" t="s">
        <v>5217</v>
      </c>
      <c r="D1934" s="4">
        <v>39981.404861111114</v>
      </c>
      <c r="E1934" s="1" t="s">
        <v>54</v>
      </c>
      <c r="F1934" s="1"/>
      <c r="G1934" s="5" t="s">
        <v>64</v>
      </c>
      <c r="H1934" s="1"/>
      <c r="I1934" s="1" t="s">
        <v>64</v>
      </c>
      <c r="J1934" s="1"/>
      <c r="K1934" s="1"/>
      <c r="L1934" s="2" t="s">
        <v>5324</v>
      </c>
      <c r="M1934" s="1"/>
      <c r="N1934" s="1"/>
      <c r="O1934" s="1"/>
      <c r="P1934" s="1"/>
      <c r="Q1934" s="1"/>
      <c r="R1934" s="1"/>
      <c r="S1934" s="1"/>
      <c r="T1934" s="1"/>
      <c r="U1934" s="1"/>
      <c r="V1934" s="1"/>
      <c r="W1934" s="1"/>
      <c r="X1934" s="1"/>
      <c r="Y1934" s="1"/>
      <c r="Z1934" s="1"/>
    </row>
    <row r="1935" spans="1:26" ht="33.75" customHeight="1">
      <c r="A1935" s="1">
        <v>2371</v>
      </c>
      <c r="B1935" s="1" t="s">
        <v>5325</v>
      </c>
      <c r="C1935" s="1" t="s">
        <v>5217</v>
      </c>
      <c r="D1935" s="4">
        <v>39982.109027777777</v>
      </c>
      <c r="E1935" s="1" t="s">
        <v>1089</v>
      </c>
      <c r="F1935" s="1"/>
      <c r="G1935" s="5" t="s">
        <v>64</v>
      </c>
      <c r="H1935" s="5" t="s">
        <v>263</v>
      </c>
      <c r="I1935" s="1" t="s">
        <v>29</v>
      </c>
      <c r="J1935" s="1"/>
      <c r="K1935" s="1"/>
      <c r="L1935" s="2" t="s">
        <v>5326</v>
      </c>
      <c r="M1935" s="1"/>
      <c r="N1935" s="1"/>
      <c r="O1935" s="1"/>
      <c r="P1935" s="1"/>
      <c r="Q1935" s="1"/>
      <c r="R1935" s="1"/>
      <c r="S1935" s="1"/>
      <c r="T1935" s="1"/>
      <c r="U1935" s="1"/>
      <c r="V1935" s="1"/>
      <c r="W1935" s="1"/>
      <c r="X1935" s="1"/>
      <c r="Y1935" s="1"/>
      <c r="Z1935" s="1"/>
    </row>
    <row r="1936" spans="1:26" ht="33.75" customHeight="1">
      <c r="A1936" s="1">
        <v>2372</v>
      </c>
      <c r="B1936" s="1" t="s">
        <v>5327</v>
      </c>
      <c r="C1936" s="1" t="s">
        <v>5217</v>
      </c>
      <c r="D1936" s="4">
        <v>39982.149305555555</v>
      </c>
      <c r="E1936" s="1" t="s">
        <v>1887</v>
      </c>
      <c r="F1936" s="1" t="s">
        <v>5325</v>
      </c>
      <c r="G1936" s="5" t="s">
        <v>26</v>
      </c>
      <c r="H1936" s="5" t="s">
        <v>133</v>
      </c>
      <c r="I1936" s="1" t="s">
        <v>28</v>
      </c>
      <c r="J1936" s="1" t="s">
        <v>134</v>
      </c>
      <c r="K1936" s="1"/>
      <c r="L1936" s="2" t="s">
        <v>5328</v>
      </c>
      <c r="M1936" s="1"/>
      <c r="N1936" s="1"/>
      <c r="O1936" s="1"/>
      <c r="P1936" s="1"/>
      <c r="Q1936" s="1"/>
      <c r="R1936" s="1"/>
      <c r="S1936" s="1"/>
      <c r="T1936" s="1"/>
      <c r="U1936" s="1"/>
      <c r="V1936" s="1"/>
      <c r="W1936" s="1"/>
      <c r="X1936" s="1"/>
      <c r="Y1936" s="1"/>
      <c r="Z1936" s="1"/>
    </row>
    <row r="1937" spans="1:26" ht="33.75" customHeight="1">
      <c r="A1937" s="1">
        <v>2373</v>
      </c>
      <c r="B1937" s="1" t="s">
        <v>5329</v>
      </c>
      <c r="C1937" s="1" t="s">
        <v>5217</v>
      </c>
      <c r="D1937" s="4">
        <v>39982.165277777778</v>
      </c>
      <c r="E1937" s="1" t="s">
        <v>1887</v>
      </c>
      <c r="F1937" s="1"/>
      <c r="G1937" s="5" t="s">
        <v>64</v>
      </c>
      <c r="H1937" s="5" t="s">
        <v>375</v>
      </c>
      <c r="I1937" s="1" t="s">
        <v>900</v>
      </c>
      <c r="J1937" s="1"/>
      <c r="K1937" s="1"/>
      <c r="L1937" s="2" t="s">
        <v>5330</v>
      </c>
      <c r="M1937" s="1"/>
      <c r="N1937" s="1"/>
      <c r="O1937" s="1"/>
      <c r="P1937" s="1"/>
      <c r="Q1937" s="1"/>
      <c r="R1937" s="1"/>
      <c r="S1937" s="1"/>
      <c r="T1937" s="1"/>
      <c r="U1937" s="1"/>
      <c r="V1937" s="1"/>
      <c r="W1937" s="1"/>
      <c r="X1937" s="1"/>
      <c r="Y1937" s="1"/>
      <c r="Z1937" s="1"/>
    </row>
    <row r="1938" spans="1:26" ht="33.75" customHeight="1">
      <c r="A1938" s="1">
        <v>2374</v>
      </c>
      <c r="B1938" s="1" t="s">
        <v>5331</v>
      </c>
      <c r="C1938" s="1" t="s">
        <v>5217</v>
      </c>
      <c r="D1938" s="4">
        <v>39982.188888888886</v>
      </c>
      <c r="E1938" s="1" t="s">
        <v>1887</v>
      </c>
      <c r="F1938" s="1"/>
      <c r="G1938" s="5" t="s">
        <v>64</v>
      </c>
      <c r="H1938" s="5" t="s">
        <v>375</v>
      </c>
      <c r="I1938" s="1" t="s">
        <v>900</v>
      </c>
      <c r="J1938" s="1"/>
      <c r="K1938" s="1"/>
      <c r="L1938" s="2" t="s">
        <v>5332</v>
      </c>
      <c r="M1938" s="1"/>
      <c r="N1938" s="1"/>
      <c r="O1938" s="1"/>
      <c r="P1938" s="1"/>
      <c r="Q1938" s="1"/>
      <c r="R1938" s="1"/>
      <c r="S1938" s="1"/>
      <c r="T1938" s="1"/>
      <c r="U1938" s="1"/>
      <c r="V1938" s="1"/>
      <c r="W1938" s="1"/>
      <c r="X1938" s="1"/>
      <c r="Y1938" s="1"/>
      <c r="Z1938" s="1"/>
    </row>
    <row r="1939" spans="1:26" ht="33.75" customHeight="1">
      <c r="A1939" s="1">
        <v>2375</v>
      </c>
      <c r="B1939" s="1" t="s">
        <v>5333</v>
      </c>
      <c r="C1939" s="1" t="s">
        <v>5217</v>
      </c>
      <c r="D1939" s="4">
        <v>39982.204861111109</v>
      </c>
      <c r="E1939" s="1" t="s">
        <v>1887</v>
      </c>
      <c r="F1939" s="1"/>
      <c r="G1939" s="5" t="s">
        <v>64</v>
      </c>
      <c r="H1939" s="5" t="s">
        <v>375</v>
      </c>
      <c r="I1939" s="1" t="s">
        <v>900</v>
      </c>
      <c r="J1939" s="1"/>
      <c r="K1939" s="1"/>
      <c r="L1939" s="2" t="s">
        <v>5334</v>
      </c>
      <c r="M1939" s="1"/>
      <c r="N1939" s="1"/>
      <c r="O1939" s="1"/>
      <c r="P1939" s="1"/>
      <c r="Q1939" s="1"/>
      <c r="R1939" s="1"/>
      <c r="S1939" s="1"/>
      <c r="T1939" s="1"/>
      <c r="U1939" s="1"/>
      <c r="V1939" s="1"/>
      <c r="W1939" s="1"/>
      <c r="X1939" s="1"/>
      <c r="Y1939" s="1"/>
      <c r="Z1939" s="1"/>
    </row>
    <row r="1940" spans="1:26" ht="33.75" customHeight="1">
      <c r="A1940" s="1">
        <v>2376</v>
      </c>
      <c r="B1940" s="1" t="s">
        <v>5335</v>
      </c>
      <c r="C1940" s="1" t="s">
        <v>5217</v>
      </c>
      <c r="D1940" s="4">
        <v>39982.365972222222</v>
      </c>
      <c r="E1940" s="1" t="s">
        <v>1089</v>
      </c>
      <c r="F1940" s="1" t="s">
        <v>5327</v>
      </c>
      <c r="G1940" s="5" t="s">
        <v>26</v>
      </c>
      <c r="H1940" s="5" t="s">
        <v>27</v>
      </c>
      <c r="I1940" s="1" t="s">
        <v>28</v>
      </c>
      <c r="J1940" s="1" t="s">
        <v>259</v>
      </c>
      <c r="K1940" s="1"/>
      <c r="L1940" s="2" t="s">
        <v>5336</v>
      </c>
      <c r="M1940" s="1"/>
      <c r="N1940" s="1"/>
      <c r="O1940" s="1"/>
      <c r="P1940" s="1"/>
      <c r="Q1940" s="1"/>
      <c r="R1940" s="1"/>
      <c r="S1940" s="1"/>
      <c r="T1940" s="1"/>
      <c r="U1940" s="1"/>
      <c r="V1940" s="1"/>
      <c r="W1940" s="1"/>
      <c r="X1940" s="1"/>
      <c r="Y1940" s="1"/>
      <c r="Z1940" s="1"/>
    </row>
    <row r="1941" spans="1:26" ht="33.75" customHeight="1">
      <c r="A1941" s="1">
        <v>2377</v>
      </c>
      <c r="B1941" s="1" t="s">
        <v>5337</v>
      </c>
      <c r="C1941" s="1" t="s">
        <v>5217</v>
      </c>
      <c r="D1941" s="4">
        <v>39982.448611111111</v>
      </c>
      <c r="E1941" s="1" t="s">
        <v>1089</v>
      </c>
      <c r="F1941" s="1"/>
      <c r="G1941" s="5" t="s">
        <v>64</v>
      </c>
      <c r="H1941" s="5" t="s">
        <v>3663</v>
      </c>
      <c r="I1941" s="1" t="s">
        <v>3664</v>
      </c>
      <c r="J1941" s="1" t="s">
        <v>4847</v>
      </c>
      <c r="K1941" s="1"/>
      <c r="L1941" s="2" t="s">
        <v>5338</v>
      </c>
      <c r="M1941" s="1"/>
      <c r="N1941" s="1"/>
      <c r="O1941" s="1"/>
      <c r="P1941" s="1"/>
      <c r="Q1941" s="1"/>
      <c r="R1941" s="1"/>
      <c r="S1941" s="1"/>
      <c r="T1941" s="1"/>
      <c r="U1941" s="1"/>
      <c r="V1941" s="1"/>
      <c r="W1941" s="1"/>
      <c r="X1941" s="1"/>
      <c r="Y1941" s="1"/>
      <c r="Z1941" s="1"/>
    </row>
    <row r="1942" spans="1:26" ht="33.75" customHeight="1">
      <c r="A1942" s="1">
        <v>2378</v>
      </c>
      <c r="B1942" s="1" t="s">
        <v>5339</v>
      </c>
      <c r="C1942" s="1" t="s">
        <v>5217</v>
      </c>
      <c r="D1942" s="4">
        <v>39982.456250000003</v>
      </c>
      <c r="E1942" s="1" t="s">
        <v>54</v>
      </c>
      <c r="F1942" s="1"/>
      <c r="G1942" s="5" t="s">
        <v>64</v>
      </c>
      <c r="H1942" s="5" t="s">
        <v>3663</v>
      </c>
      <c r="I1942" s="1" t="s">
        <v>3664</v>
      </c>
      <c r="J1942" s="1" t="s">
        <v>4847</v>
      </c>
      <c r="K1942" s="1"/>
      <c r="L1942" s="2" t="s">
        <v>5340</v>
      </c>
      <c r="M1942" s="1"/>
      <c r="N1942" s="1"/>
      <c r="O1942" s="1"/>
      <c r="P1942" s="1"/>
      <c r="Q1942" s="1"/>
      <c r="R1942" s="1"/>
      <c r="S1942" s="1"/>
      <c r="T1942" s="1"/>
      <c r="U1942" s="1"/>
      <c r="V1942" s="1"/>
      <c r="W1942" s="1"/>
      <c r="X1942" s="1"/>
      <c r="Y1942" s="1"/>
      <c r="Z1942" s="1"/>
    </row>
    <row r="1943" spans="1:26" ht="33.75" customHeight="1">
      <c r="A1943" s="1">
        <v>2379</v>
      </c>
      <c r="B1943" s="1" t="s">
        <v>5341</v>
      </c>
      <c r="C1943" s="1" t="s">
        <v>5217</v>
      </c>
      <c r="D1943" s="4">
        <v>39983.115277777775</v>
      </c>
      <c r="E1943" s="1" t="s">
        <v>1089</v>
      </c>
      <c r="F1943" s="1"/>
      <c r="G1943" s="5" t="s">
        <v>64</v>
      </c>
      <c r="H1943" s="1"/>
      <c r="I1943" s="1" t="s">
        <v>64</v>
      </c>
      <c r="J1943" s="1"/>
      <c r="K1943" s="1"/>
      <c r="L1943" s="2" t="s">
        <v>5342</v>
      </c>
      <c r="M1943" s="1"/>
      <c r="N1943" s="1"/>
      <c r="O1943" s="1"/>
      <c r="P1943" s="1"/>
      <c r="Q1943" s="1"/>
      <c r="R1943" s="1"/>
      <c r="S1943" s="1"/>
      <c r="T1943" s="1"/>
      <c r="U1943" s="1"/>
      <c r="V1943" s="1"/>
      <c r="W1943" s="1"/>
      <c r="X1943" s="1"/>
      <c r="Y1943" s="1"/>
      <c r="Z1943" s="1"/>
    </row>
    <row r="1944" spans="1:26" ht="33.75" customHeight="1">
      <c r="A1944" s="1">
        <v>2380</v>
      </c>
      <c r="B1944" s="1" t="s">
        <v>5343</v>
      </c>
      <c r="C1944" s="1" t="s">
        <v>5217</v>
      </c>
      <c r="D1944" s="4">
        <v>39983.131249999999</v>
      </c>
      <c r="E1944" s="1" t="s">
        <v>1887</v>
      </c>
      <c r="F1944" s="1"/>
      <c r="G1944" s="5" t="s">
        <v>64</v>
      </c>
      <c r="H1944" s="5" t="s">
        <v>375</v>
      </c>
      <c r="I1944" s="1" t="s">
        <v>900</v>
      </c>
      <c r="J1944" s="1"/>
      <c r="K1944" s="1"/>
      <c r="L1944" s="2" t="s">
        <v>5344</v>
      </c>
      <c r="M1944" s="1"/>
      <c r="N1944" s="1"/>
      <c r="O1944" s="1"/>
      <c r="P1944" s="1"/>
      <c r="Q1944" s="1"/>
      <c r="R1944" s="1"/>
      <c r="S1944" s="1"/>
      <c r="T1944" s="1"/>
      <c r="U1944" s="1"/>
      <c r="V1944" s="1"/>
      <c r="W1944" s="1"/>
      <c r="X1944" s="1"/>
      <c r="Y1944" s="1"/>
      <c r="Z1944" s="1"/>
    </row>
    <row r="1945" spans="1:26" ht="33.75" customHeight="1">
      <c r="A1945" s="1">
        <v>2381</v>
      </c>
      <c r="B1945" s="1" t="s">
        <v>5345</v>
      </c>
      <c r="C1945" s="1" t="s">
        <v>5217</v>
      </c>
      <c r="D1945" s="4">
        <v>39983.133333333331</v>
      </c>
      <c r="E1945" s="1" t="s">
        <v>1089</v>
      </c>
      <c r="F1945" s="1" t="s">
        <v>5346</v>
      </c>
      <c r="G1945" s="5" t="s">
        <v>15</v>
      </c>
      <c r="H1945" s="5" t="s">
        <v>55</v>
      </c>
      <c r="I1945" s="1" t="s">
        <v>4826</v>
      </c>
      <c r="J1945" s="1"/>
      <c r="K1945" s="1" t="s">
        <v>5347</v>
      </c>
      <c r="L1945" s="2" t="s">
        <v>5348</v>
      </c>
      <c r="M1945" s="1"/>
      <c r="N1945" s="1"/>
      <c r="O1945" s="1"/>
      <c r="P1945" s="1"/>
      <c r="Q1945" s="1"/>
      <c r="R1945" s="1"/>
      <c r="S1945" s="1"/>
      <c r="T1945" s="1"/>
      <c r="U1945" s="1"/>
      <c r="V1945" s="1"/>
      <c r="W1945" s="1"/>
      <c r="X1945" s="1"/>
      <c r="Y1945" s="1"/>
      <c r="Z1945" s="1"/>
    </row>
    <row r="1946" spans="1:26" ht="33.75" customHeight="1">
      <c r="A1946" s="1">
        <v>2382</v>
      </c>
      <c r="B1946" s="1" t="s">
        <v>5349</v>
      </c>
      <c r="C1946" s="1" t="s">
        <v>5217</v>
      </c>
      <c r="D1946" s="4">
        <v>39983.14166666667</v>
      </c>
      <c r="E1946" s="1" t="s">
        <v>1089</v>
      </c>
      <c r="F1946" s="1"/>
      <c r="G1946" s="5" t="s">
        <v>64</v>
      </c>
      <c r="H1946" s="5" t="s">
        <v>179</v>
      </c>
      <c r="I1946" s="1" t="s">
        <v>5350</v>
      </c>
      <c r="J1946" s="1"/>
      <c r="K1946" s="1"/>
      <c r="L1946" s="2" t="s">
        <v>5351</v>
      </c>
      <c r="M1946" s="1"/>
      <c r="N1946" s="1"/>
      <c r="O1946" s="1"/>
      <c r="P1946" s="1"/>
      <c r="Q1946" s="1"/>
      <c r="R1946" s="1"/>
      <c r="S1946" s="1"/>
      <c r="T1946" s="1"/>
      <c r="U1946" s="1"/>
      <c r="V1946" s="1"/>
      <c r="W1946" s="1"/>
      <c r="X1946" s="1"/>
      <c r="Y1946" s="1"/>
      <c r="Z1946" s="1"/>
    </row>
    <row r="1947" spans="1:26" ht="33.75" customHeight="1">
      <c r="A1947" s="1">
        <v>2383</v>
      </c>
      <c r="B1947" s="1" t="s">
        <v>5352</v>
      </c>
      <c r="C1947" s="1" t="s">
        <v>5217</v>
      </c>
      <c r="D1947" s="4">
        <v>39983.154861111114</v>
      </c>
      <c r="E1947" s="1" t="s">
        <v>1089</v>
      </c>
      <c r="F1947" s="1"/>
      <c r="G1947" s="5" t="s">
        <v>64</v>
      </c>
      <c r="H1947" s="1"/>
      <c r="I1947" s="1" t="s">
        <v>64</v>
      </c>
      <c r="J1947" s="1"/>
      <c r="K1947" s="1"/>
      <c r="L1947" s="2" t="s">
        <v>5353</v>
      </c>
      <c r="M1947" s="1"/>
      <c r="N1947" s="1"/>
      <c r="O1947" s="1"/>
      <c r="P1947" s="1"/>
      <c r="Q1947" s="1"/>
      <c r="R1947" s="1"/>
      <c r="S1947" s="1"/>
      <c r="T1947" s="1"/>
      <c r="U1947" s="1"/>
      <c r="V1947" s="1"/>
      <c r="W1947" s="1"/>
      <c r="X1947" s="1"/>
      <c r="Y1947" s="1"/>
      <c r="Z1947" s="1"/>
    </row>
    <row r="1948" spans="1:26" ht="33.75" customHeight="1">
      <c r="A1948" s="1">
        <v>2282</v>
      </c>
      <c r="B1948" s="1" t="s">
        <v>5354</v>
      </c>
      <c r="C1948" s="1" t="s">
        <v>5217</v>
      </c>
      <c r="D1948" s="4">
        <v>39983.304861111108</v>
      </c>
      <c r="E1948" s="1" t="s">
        <v>54</v>
      </c>
      <c r="F1948" s="1"/>
      <c r="G1948" s="5" t="s">
        <v>64</v>
      </c>
      <c r="H1948" s="5" t="s">
        <v>1053</v>
      </c>
      <c r="I1948" s="1" t="s">
        <v>213</v>
      </c>
      <c r="J1948" s="1" t="s">
        <v>2493</v>
      </c>
      <c r="K1948" s="1" t="s">
        <v>5355</v>
      </c>
      <c r="L1948" s="2" t="s">
        <v>5356</v>
      </c>
      <c r="M1948" s="1"/>
      <c r="N1948" s="1"/>
      <c r="O1948" s="1"/>
      <c r="P1948" s="1"/>
      <c r="Q1948" s="1"/>
      <c r="R1948" s="1"/>
      <c r="S1948" s="1"/>
      <c r="T1948" s="1"/>
      <c r="U1948" s="1"/>
      <c r="V1948" s="1"/>
      <c r="W1948" s="1"/>
      <c r="X1948" s="1"/>
      <c r="Y1948" s="1"/>
      <c r="Z1948" s="1"/>
    </row>
    <row r="1949" spans="1:26" ht="33.75" customHeight="1">
      <c r="A1949" s="1">
        <v>2283</v>
      </c>
      <c r="B1949" s="1" t="s">
        <v>5357</v>
      </c>
      <c r="C1949" s="1" t="s">
        <v>5217</v>
      </c>
      <c r="D1949" s="4">
        <v>39983.319444444445</v>
      </c>
      <c r="E1949" s="1" t="s">
        <v>1089</v>
      </c>
      <c r="F1949" s="1"/>
      <c r="G1949" s="5" t="s">
        <v>64</v>
      </c>
      <c r="H1949" s="5" t="s">
        <v>3663</v>
      </c>
      <c r="I1949" s="1" t="s">
        <v>3664</v>
      </c>
      <c r="J1949" s="1" t="s">
        <v>4847</v>
      </c>
      <c r="K1949" s="1"/>
      <c r="L1949" s="2" t="s">
        <v>5358</v>
      </c>
      <c r="M1949" s="1"/>
      <c r="N1949" s="1"/>
      <c r="O1949" s="1"/>
      <c r="P1949" s="1"/>
      <c r="Q1949" s="1"/>
      <c r="R1949" s="1"/>
      <c r="S1949" s="1"/>
      <c r="T1949" s="1"/>
      <c r="U1949" s="1"/>
      <c r="V1949" s="1"/>
      <c r="W1949" s="1"/>
      <c r="X1949" s="1"/>
      <c r="Y1949" s="1"/>
      <c r="Z1949" s="1"/>
    </row>
    <row r="1950" spans="1:26" ht="33.75" customHeight="1">
      <c r="A1950" s="1">
        <v>2284</v>
      </c>
      <c r="B1950" s="1" t="s">
        <v>5359</v>
      </c>
      <c r="C1950" s="1" t="s">
        <v>5217</v>
      </c>
      <c r="D1950" s="4">
        <v>39983.448611111111</v>
      </c>
      <c r="E1950" s="1" t="s">
        <v>1089</v>
      </c>
      <c r="F1950" s="1"/>
      <c r="G1950" s="5" t="s">
        <v>15</v>
      </c>
      <c r="H1950" s="5" t="s">
        <v>150</v>
      </c>
      <c r="I1950" s="1" t="s">
        <v>5360</v>
      </c>
      <c r="J1950" s="1"/>
      <c r="K1950" s="1"/>
      <c r="L1950" s="2" t="s">
        <v>5361</v>
      </c>
      <c r="M1950" s="1"/>
      <c r="N1950" s="1"/>
      <c r="O1950" s="1"/>
      <c r="P1950" s="1"/>
      <c r="Q1950" s="1"/>
      <c r="R1950" s="1"/>
      <c r="S1950" s="1"/>
      <c r="T1950" s="1"/>
      <c r="U1950" s="1"/>
      <c r="V1950" s="1"/>
      <c r="W1950" s="1"/>
      <c r="X1950" s="1"/>
      <c r="Y1950" s="1"/>
      <c r="Z1950" s="1"/>
    </row>
    <row r="1951" spans="1:26" ht="33.75" customHeight="1">
      <c r="A1951" s="1">
        <v>2285</v>
      </c>
      <c r="B1951" s="1" t="s">
        <v>5362</v>
      </c>
      <c r="C1951" s="1" t="s">
        <v>5217</v>
      </c>
      <c r="D1951" s="4">
        <v>39984.181944444441</v>
      </c>
      <c r="E1951" s="1" t="s">
        <v>1887</v>
      </c>
      <c r="F1951" s="1"/>
      <c r="G1951" s="5" t="s">
        <v>64</v>
      </c>
      <c r="H1951" s="5" t="s">
        <v>375</v>
      </c>
      <c r="I1951" s="1" t="s">
        <v>5363</v>
      </c>
      <c r="J1951" s="1"/>
      <c r="K1951" s="1"/>
      <c r="L1951" s="2" t="s">
        <v>5364</v>
      </c>
      <c r="M1951" s="1"/>
      <c r="N1951" s="1"/>
      <c r="O1951" s="1"/>
      <c r="P1951" s="1"/>
      <c r="Q1951" s="1"/>
      <c r="R1951" s="1"/>
      <c r="S1951" s="1"/>
      <c r="T1951" s="1"/>
      <c r="U1951" s="1"/>
      <c r="V1951" s="1"/>
      <c r="W1951" s="1"/>
      <c r="X1951" s="1"/>
      <c r="Y1951" s="1"/>
      <c r="Z1951" s="1"/>
    </row>
    <row r="1952" spans="1:26" ht="33.75" customHeight="1">
      <c r="A1952" s="1">
        <v>2286</v>
      </c>
      <c r="B1952" s="1" t="s">
        <v>5365</v>
      </c>
      <c r="C1952" s="1" t="s">
        <v>5217</v>
      </c>
      <c r="D1952" s="4">
        <v>39984.372916666667</v>
      </c>
      <c r="E1952" s="1" t="s">
        <v>1089</v>
      </c>
      <c r="F1952" s="1"/>
      <c r="G1952" s="5" t="s">
        <v>64</v>
      </c>
      <c r="H1952" s="1"/>
      <c r="I1952" s="1" t="s">
        <v>64</v>
      </c>
      <c r="J1952" s="1"/>
      <c r="K1952" s="1"/>
      <c r="L1952" s="2" t="s">
        <v>5366</v>
      </c>
      <c r="M1952" s="1"/>
      <c r="N1952" s="1"/>
      <c r="O1952" s="1"/>
      <c r="P1952" s="1"/>
      <c r="Q1952" s="1"/>
      <c r="R1952" s="1"/>
      <c r="S1952" s="1"/>
      <c r="T1952" s="1"/>
      <c r="U1952" s="1"/>
      <c r="V1952" s="1"/>
      <c r="W1952" s="1"/>
      <c r="X1952" s="1"/>
      <c r="Y1952" s="1"/>
      <c r="Z1952" s="1"/>
    </row>
    <row r="1953" spans="1:26" ht="33.75" customHeight="1">
      <c r="A1953" s="1">
        <v>2287</v>
      </c>
      <c r="B1953" s="1" t="s">
        <v>5367</v>
      </c>
      <c r="C1953" s="1" t="s">
        <v>5217</v>
      </c>
      <c r="D1953" s="4">
        <v>39984.636111111111</v>
      </c>
      <c r="E1953" s="1" t="s">
        <v>1089</v>
      </c>
      <c r="F1953" s="1"/>
      <c r="G1953" s="5" t="s">
        <v>64</v>
      </c>
      <c r="H1953" s="1"/>
      <c r="I1953" s="1" t="s">
        <v>64</v>
      </c>
      <c r="J1953" s="1"/>
      <c r="K1953" s="1"/>
      <c r="L1953" s="2" t="s">
        <v>5368</v>
      </c>
      <c r="M1953" s="1"/>
      <c r="N1953" s="1"/>
      <c r="O1953" s="1"/>
      <c r="P1953" s="1"/>
      <c r="Q1953" s="1"/>
      <c r="R1953" s="1"/>
      <c r="S1953" s="1"/>
      <c r="T1953" s="1"/>
      <c r="U1953" s="1"/>
      <c r="V1953" s="1"/>
      <c r="W1953" s="1"/>
      <c r="X1953" s="1"/>
      <c r="Y1953" s="1"/>
      <c r="Z1953" s="1"/>
    </row>
    <row r="1954" spans="1:26" ht="33.75" customHeight="1">
      <c r="A1954" s="1">
        <v>2288</v>
      </c>
      <c r="B1954" s="1" t="s">
        <v>5369</v>
      </c>
      <c r="C1954" s="1" t="s">
        <v>5217</v>
      </c>
      <c r="D1954" s="4">
        <v>39984.899305555555</v>
      </c>
      <c r="E1954" s="1" t="s">
        <v>1089</v>
      </c>
      <c r="F1954" s="1"/>
      <c r="G1954" s="5" t="s">
        <v>64</v>
      </c>
      <c r="H1954" s="5" t="s">
        <v>375</v>
      </c>
      <c r="I1954" s="1" t="s">
        <v>5370</v>
      </c>
      <c r="J1954" s="1"/>
      <c r="K1954" s="1"/>
      <c r="L1954" s="2" t="s">
        <v>5371</v>
      </c>
      <c r="M1954" s="1"/>
      <c r="N1954" s="1"/>
      <c r="O1954" s="1"/>
      <c r="P1954" s="1"/>
      <c r="Q1954" s="1"/>
      <c r="R1954" s="1"/>
      <c r="S1954" s="1"/>
      <c r="T1954" s="1"/>
      <c r="U1954" s="1"/>
      <c r="V1954" s="1"/>
      <c r="W1954" s="1"/>
      <c r="X1954" s="1"/>
      <c r="Y1954" s="1"/>
      <c r="Z1954" s="1"/>
    </row>
    <row r="1955" spans="1:26" ht="33.75" customHeight="1">
      <c r="A1955" s="1">
        <v>2289</v>
      </c>
      <c r="B1955" s="1" t="s">
        <v>5372</v>
      </c>
      <c r="C1955" s="1" t="s">
        <v>5217</v>
      </c>
      <c r="D1955" s="4">
        <v>39985.23333333333</v>
      </c>
      <c r="E1955" s="1" t="s">
        <v>1887</v>
      </c>
      <c r="F1955" s="1"/>
      <c r="G1955" s="5" t="s">
        <v>26</v>
      </c>
      <c r="H1955" s="5" t="s">
        <v>27</v>
      </c>
      <c r="I1955" s="1" t="s">
        <v>28</v>
      </c>
      <c r="J1955" s="1" t="s">
        <v>259</v>
      </c>
      <c r="K1955" s="1"/>
      <c r="L1955" s="2" t="s">
        <v>5373</v>
      </c>
      <c r="M1955" s="1"/>
      <c r="N1955" s="1"/>
      <c r="O1955" s="1"/>
      <c r="P1955" s="1"/>
      <c r="Q1955" s="1"/>
      <c r="R1955" s="1"/>
      <c r="S1955" s="1"/>
      <c r="T1955" s="1"/>
      <c r="U1955" s="1"/>
      <c r="V1955" s="1"/>
      <c r="W1955" s="1"/>
      <c r="X1955" s="1"/>
      <c r="Y1955" s="1"/>
      <c r="Z1955" s="1"/>
    </row>
    <row r="1956" spans="1:26" ht="33.75" customHeight="1">
      <c r="A1956" s="1">
        <v>2290</v>
      </c>
      <c r="B1956" s="1" t="s">
        <v>5374</v>
      </c>
      <c r="C1956" s="1" t="s">
        <v>5217</v>
      </c>
      <c r="D1956" s="4">
        <v>39985.443055555559</v>
      </c>
      <c r="E1956" s="1" t="s">
        <v>1887</v>
      </c>
      <c r="F1956" s="1"/>
      <c r="G1956" s="5" t="s">
        <v>64</v>
      </c>
      <c r="H1956" s="5" t="s">
        <v>375</v>
      </c>
      <c r="I1956" s="1" t="s">
        <v>900</v>
      </c>
      <c r="J1956" s="1"/>
      <c r="K1956" s="1"/>
      <c r="L1956" s="2" t="s">
        <v>5375</v>
      </c>
      <c r="M1956" s="1"/>
      <c r="N1956" s="1"/>
      <c r="O1956" s="1"/>
      <c r="P1956" s="1"/>
      <c r="Q1956" s="1"/>
      <c r="R1956" s="1"/>
      <c r="S1956" s="1"/>
      <c r="T1956" s="1"/>
      <c r="U1956" s="1"/>
      <c r="V1956" s="1"/>
      <c r="W1956" s="1"/>
      <c r="X1956" s="1"/>
      <c r="Y1956" s="1"/>
      <c r="Z1956" s="1"/>
    </row>
    <row r="1957" spans="1:26" ht="33.75" customHeight="1">
      <c r="A1957" s="1">
        <v>2291</v>
      </c>
      <c r="B1957" s="1" t="s">
        <v>5376</v>
      </c>
      <c r="C1957" s="1" t="s">
        <v>5217</v>
      </c>
      <c r="D1957" s="4">
        <v>39985.795138888891</v>
      </c>
      <c r="E1957" s="1" t="s">
        <v>772</v>
      </c>
      <c r="F1957" s="1"/>
      <c r="G1957" s="5" t="s">
        <v>64</v>
      </c>
      <c r="H1957" s="5" t="s">
        <v>375</v>
      </c>
      <c r="I1957" s="1" t="s">
        <v>5370</v>
      </c>
      <c r="J1957" s="1"/>
      <c r="K1957" s="1"/>
      <c r="L1957" s="2" t="s">
        <v>5377</v>
      </c>
      <c r="M1957" s="1"/>
      <c r="N1957" s="1"/>
      <c r="O1957" s="1"/>
      <c r="P1957" s="1"/>
      <c r="Q1957" s="1"/>
      <c r="R1957" s="1"/>
      <c r="S1957" s="1"/>
      <c r="T1957" s="1"/>
      <c r="U1957" s="1"/>
      <c r="V1957" s="1"/>
      <c r="W1957" s="1"/>
      <c r="X1957" s="1"/>
      <c r="Y1957" s="1"/>
      <c r="Z1957" s="1"/>
    </row>
    <row r="1958" spans="1:26" ht="33.75" customHeight="1">
      <c r="A1958" s="1">
        <v>2292</v>
      </c>
      <c r="B1958" s="1" t="s">
        <v>5378</v>
      </c>
      <c r="C1958" s="1" t="s">
        <v>5217</v>
      </c>
      <c r="D1958" s="4">
        <v>39985.972222222219</v>
      </c>
      <c r="E1958" s="1" t="s">
        <v>1887</v>
      </c>
      <c r="F1958" s="1" t="s">
        <v>5376</v>
      </c>
      <c r="G1958" s="5" t="s">
        <v>26</v>
      </c>
      <c r="H1958" s="5" t="s">
        <v>27</v>
      </c>
      <c r="I1958" s="1" t="s">
        <v>28</v>
      </c>
      <c r="J1958" s="1" t="s">
        <v>259</v>
      </c>
      <c r="K1958" s="1"/>
      <c r="L1958" s="2" t="s">
        <v>5379</v>
      </c>
      <c r="M1958" s="1"/>
      <c r="N1958" s="1"/>
      <c r="O1958" s="1"/>
      <c r="P1958" s="1"/>
      <c r="Q1958" s="1"/>
      <c r="R1958" s="1"/>
      <c r="S1958" s="1"/>
      <c r="T1958" s="1"/>
      <c r="U1958" s="1"/>
      <c r="V1958" s="1"/>
      <c r="W1958" s="1"/>
      <c r="X1958" s="1"/>
      <c r="Y1958" s="1"/>
      <c r="Z1958" s="1"/>
    </row>
    <row r="1959" spans="1:26" ht="33.75" customHeight="1">
      <c r="A1959" s="1">
        <v>2293</v>
      </c>
      <c r="B1959" s="1" t="s">
        <v>5380</v>
      </c>
      <c r="C1959" s="1" t="s">
        <v>5217</v>
      </c>
      <c r="D1959" s="4">
        <v>39986.143055555556</v>
      </c>
      <c r="E1959" s="1" t="s">
        <v>1089</v>
      </c>
      <c r="F1959" s="1"/>
      <c r="G1959" s="5" t="s">
        <v>64</v>
      </c>
      <c r="H1959" s="1"/>
      <c r="I1959" s="1" t="s">
        <v>64</v>
      </c>
      <c r="J1959" s="1"/>
      <c r="K1959" s="1"/>
      <c r="L1959" s="2" t="s">
        <v>5381</v>
      </c>
      <c r="M1959" s="1"/>
      <c r="N1959" s="1"/>
      <c r="O1959" s="1"/>
      <c r="P1959" s="1"/>
      <c r="Q1959" s="1"/>
      <c r="R1959" s="1"/>
      <c r="S1959" s="1"/>
      <c r="T1959" s="1"/>
      <c r="U1959" s="1"/>
      <c r="V1959" s="1"/>
      <c r="W1959" s="1"/>
      <c r="X1959" s="1"/>
      <c r="Y1959" s="1"/>
      <c r="Z1959" s="1"/>
    </row>
    <row r="1960" spans="1:26" ht="33.75" customHeight="1">
      <c r="A1960" s="1">
        <v>2294</v>
      </c>
      <c r="B1960" s="1" t="s">
        <v>5382</v>
      </c>
      <c r="C1960" s="1" t="s">
        <v>5217</v>
      </c>
      <c r="D1960" s="4">
        <v>39987.62222222222</v>
      </c>
      <c r="E1960" s="1" t="s">
        <v>1089</v>
      </c>
      <c r="F1960" s="1"/>
      <c r="G1960" s="5" t="s">
        <v>64</v>
      </c>
      <c r="H1960" s="1"/>
      <c r="I1960" s="1" t="s">
        <v>64</v>
      </c>
      <c r="J1960" s="1"/>
      <c r="K1960" s="1" t="s">
        <v>5383</v>
      </c>
      <c r="L1960" s="2" t="s">
        <v>5384</v>
      </c>
      <c r="M1960" s="1"/>
      <c r="N1960" s="1"/>
      <c r="O1960" s="1"/>
      <c r="P1960" s="1"/>
      <c r="Q1960" s="1"/>
      <c r="R1960" s="1"/>
      <c r="S1960" s="1"/>
      <c r="T1960" s="1"/>
      <c r="U1960" s="1"/>
      <c r="V1960" s="1"/>
      <c r="W1960" s="1"/>
      <c r="X1960" s="1"/>
      <c r="Y1960" s="1"/>
      <c r="Z1960" s="1"/>
    </row>
    <row r="1961" spans="1:26" ht="33.75" customHeight="1">
      <c r="A1961" s="1">
        <v>2295</v>
      </c>
      <c r="B1961" s="1" t="s">
        <v>5385</v>
      </c>
      <c r="C1961" s="1" t="s">
        <v>5217</v>
      </c>
      <c r="D1961" s="4">
        <v>39987.928472222222</v>
      </c>
      <c r="E1961" s="1" t="s">
        <v>1089</v>
      </c>
      <c r="F1961" s="1"/>
      <c r="G1961" s="5" t="s">
        <v>64</v>
      </c>
      <c r="H1961" s="1"/>
      <c r="I1961" s="1" t="s">
        <v>64</v>
      </c>
      <c r="J1961" s="1"/>
      <c r="K1961" s="1"/>
      <c r="L1961" s="2" t="s">
        <v>5386</v>
      </c>
      <c r="M1961" s="1"/>
      <c r="N1961" s="1"/>
      <c r="O1961" s="1"/>
      <c r="P1961" s="1"/>
      <c r="Q1961" s="1"/>
      <c r="R1961" s="1"/>
      <c r="S1961" s="1"/>
      <c r="T1961" s="1"/>
      <c r="U1961" s="1"/>
      <c r="V1961" s="1"/>
      <c r="W1961" s="1"/>
      <c r="X1961" s="1"/>
      <c r="Y1961" s="1"/>
      <c r="Z1961" s="1"/>
    </row>
    <row r="1962" spans="1:26" ht="33.75" customHeight="1">
      <c r="A1962" s="1">
        <v>1487</v>
      </c>
      <c r="B1962" s="1" t="s">
        <v>5387</v>
      </c>
      <c r="C1962" s="1" t="s">
        <v>3929</v>
      </c>
      <c r="D1962" s="4">
        <v>39988.248611111114</v>
      </c>
      <c r="E1962" s="1" t="s">
        <v>760</v>
      </c>
      <c r="F1962" s="1"/>
      <c r="G1962" s="5" t="s">
        <v>64</v>
      </c>
      <c r="H1962" s="5" t="s">
        <v>3663</v>
      </c>
      <c r="I1962" s="1" t="s">
        <v>3664</v>
      </c>
      <c r="J1962" s="1" t="s">
        <v>4993</v>
      </c>
      <c r="K1962" s="1"/>
      <c r="L1962" s="2" t="s">
        <v>5388</v>
      </c>
      <c r="M1962" s="1"/>
      <c r="N1962" s="1"/>
      <c r="O1962" s="1"/>
      <c r="P1962" s="1"/>
      <c r="Q1962" s="1"/>
      <c r="R1962" s="1"/>
      <c r="S1962" s="1"/>
      <c r="T1962" s="1"/>
      <c r="U1962" s="1"/>
      <c r="V1962" s="1"/>
      <c r="W1962" s="1"/>
      <c r="X1962" s="1"/>
      <c r="Y1962" s="1"/>
      <c r="Z1962" s="1"/>
    </row>
    <row r="1963" spans="1:26" ht="33.75" customHeight="1">
      <c r="A1963" s="1">
        <v>1490</v>
      </c>
      <c r="B1963" s="1" t="s">
        <v>5389</v>
      </c>
      <c r="C1963" s="1" t="s">
        <v>3929</v>
      </c>
      <c r="D1963" s="4">
        <v>39988.257638888892</v>
      </c>
      <c r="E1963" s="1" t="s">
        <v>760</v>
      </c>
      <c r="F1963" s="1"/>
      <c r="G1963" s="5" t="s">
        <v>64</v>
      </c>
      <c r="H1963" s="5" t="s">
        <v>3663</v>
      </c>
      <c r="I1963" s="1" t="s">
        <v>3664</v>
      </c>
      <c r="J1963" s="1" t="s">
        <v>4993</v>
      </c>
      <c r="K1963" s="1"/>
      <c r="L1963" s="2" t="s">
        <v>5390</v>
      </c>
      <c r="M1963" s="1"/>
      <c r="N1963" s="1"/>
      <c r="O1963" s="1"/>
      <c r="P1963" s="1"/>
      <c r="Q1963" s="1"/>
      <c r="R1963" s="1"/>
      <c r="S1963" s="1"/>
      <c r="T1963" s="1"/>
      <c r="U1963" s="1"/>
      <c r="V1963" s="1"/>
      <c r="W1963" s="1"/>
      <c r="X1963" s="1"/>
      <c r="Y1963" s="1"/>
      <c r="Z1963" s="1"/>
    </row>
    <row r="1964" spans="1:26" ht="33.75" customHeight="1">
      <c r="A1964" s="1">
        <v>2296</v>
      </c>
      <c r="B1964" s="1" t="s">
        <v>5391</v>
      </c>
      <c r="C1964" s="1" t="s">
        <v>5217</v>
      </c>
      <c r="D1964" s="4">
        <v>39988.525000000001</v>
      </c>
      <c r="E1964" s="1" t="s">
        <v>1887</v>
      </c>
      <c r="F1964" s="1"/>
      <c r="G1964" s="5" t="s">
        <v>64</v>
      </c>
      <c r="H1964" s="5" t="s">
        <v>3663</v>
      </c>
      <c r="I1964" s="1" t="s">
        <v>3664</v>
      </c>
      <c r="J1964" s="1" t="s">
        <v>4993</v>
      </c>
      <c r="K1964" s="1" t="s">
        <v>5392</v>
      </c>
      <c r="L1964" s="2" t="s">
        <v>5393</v>
      </c>
      <c r="M1964" s="1"/>
      <c r="N1964" s="1"/>
      <c r="O1964" s="1"/>
      <c r="P1964" s="1"/>
      <c r="Q1964" s="1"/>
      <c r="R1964" s="1"/>
      <c r="S1964" s="1"/>
      <c r="T1964" s="1"/>
      <c r="U1964" s="1"/>
      <c r="V1964" s="1"/>
      <c r="W1964" s="1"/>
      <c r="X1964" s="1"/>
      <c r="Y1964" s="1"/>
      <c r="Z1964" s="1"/>
    </row>
    <row r="1965" spans="1:26" ht="33.75" customHeight="1">
      <c r="A1965" s="1">
        <v>1491</v>
      </c>
      <c r="B1965" s="1" t="s">
        <v>5394</v>
      </c>
      <c r="C1965" s="1" t="s">
        <v>3929</v>
      </c>
      <c r="D1965" s="4">
        <v>39989.231249999997</v>
      </c>
      <c r="E1965" s="1" t="s">
        <v>320</v>
      </c>
      <c r="F1965" s="1" t="s">
        <v>5389</v>
      </c>
      <c r="G1965" s="5" t="s">
        <v>64</v>
      </c>
      <c r="H1965" s="5" t="s">
        <v>3663</v>
      </c>
      <c r="I1965" s="1" t="s">
        <v>2382</v>
      </c>
      <c r="J1965" s="1"/>
      <c r="K1965" s="1"/>
      <c r="L1965" s="2" t="s">
        <v>5395</v>
      </c>
      <c r="M1965" s="1"/>
      <c r="N1965" s="1"/>
      <c r="O1965" s="1"/>
      <c r="P1965" s="1"/>
      <c r="Q1965" s="1"/>
      <c r="R1965" s="1"/>
      <c r="S1965" s="1"/>
      <c r="T1965" s="1"/>
      <c r="U1965" s="1"/>
      <c r="V1965" s="1"/>
      <c r="W1965" s="1"/>
      <c r="X1965" s="1"/>
      <c r="Y1965" s="1"/>
      <c r="Z1965" s="1"/>
    </row>
    <row r="1966" spans="1:26" ht="33.75" customHeight="1">
      <c r="A1966" s="1">
        <v>1488</v>
      </c>
      <c r="B1966" s="1" t="s">
        <v>5396</v>
      </c>
      <c r="C1966" s="1" t="s">
        <v>3929</v>
      </c>
      <c r="D1966" s="4">
        <v>39989.231944444444</v>
      </c>
      <c r="E1966" s="1" t="s">
        <v>320</v>
      </c>
      <c r="F1966" s="1"/>
      <c r="G1966" s="5" t="s">
        <v>26</v>
      </c>
      <c r="H1966" s="5" t="s">
        <v>133</v>
      </c>
      <c r="I1966" s="1" t="s">
        <v>28</v>
      </c>
      <c r="J1966" s="1" t="s">
        <v>134</v>
      </c>
      <c r="K1966" s="1"/>
      <c r="L1966" s="2" t="s">
        <v>5397</v>
      </c>
      <c r="M1966" s="1"/>
      <c r="N1966" s="1"/>
      <c r="O1966" s="1"/>
      <c r="P1966" s="1"/>
      <c r="Q1966" s="1"/>
      <c r="R1966" s="1"/>
      <c r="S1966" s="1"/>
      <c r="T1966" s="1"/>
      <c r="U1966" s="1"/>
      <c r="V1966" s="1"/>
      <c r="W1966" s="1"/>
      <c r="X1966" s="1"/>
      <c r="Y1966" s="1"/>
      <c r="Z1966" s="1"/>
    </row>
    <row r="1967" spans="1:26" ht="33.75" customHeight="1">
      <c r="A1967" s="1">
        <v>1492</v>
      </c>
      <c r="B1967" s="1" t="s">
        <v>5398</v>
      </c>
      <c r="C1967" s="1" t="s">
        <v>3929</v>
      </c>
      <c r="D1967" s="4">
        <v>39989.241666666669</v>
      </c>
      <c r="E1967" s="1" t="s">
        <v>320</v>
      </c>
      <c r="F1967" s="1"/>
      <c r="G1967" s="5" t="s">
        <v>64</v>
      </c>
      <c r="H1967" s="5" t="s">
        <v>179</v>
      </c>
      <c r="I1967" s="1" t="s">
        <v>5399</v>
      </c>
      <c r="J1967" s="1"/>
      <c r="K1967" s="1"/>
      <c r="L1967" s="2" t="s">
        <v>5400</v>
      </c>
      <c r="M1967" s="1"/>
      <c r="N1967" s="1"/>
      <c r="O1967" s="1"/>
      <c r="P1967" s="1"/>
      <c r="Q1967" s="1"/>
      <c r="R1967" s="1"/>
      <c r="S1967" s="1"/>
      <c r="T1967" s="1"/>
      <c r="U1967" s="1"/>
      <c r="V1967" s="1"/>
      <c r="W1967" s="1"/>
      <c r="X1967" s="1"/>
      <c r="Y1967" s="1"/>
      <c r="Z1967" s="1"/>
    </row>
    <row r="1968" spans="1:26" ht="33.75" customHeight="1">
      <c r="A1968" s="1">
        <v>1493</v>
      </c>
      <c r="B1968" s="1" t="s">
        <v>5401</v>
      </c>
      <c r="C1968" s="1" t="s">
        <v>3929</v>
      </c>
      <c r="D1968" s="4">
        <v>39989.243055555555</v>
      </c>
      <c r="E1968" s="1" t="s">
        <v>320</v>
      </c>
      <c r="F1968" s="1"/>
      <c r="G1968" s="5" t="s">
        <v>64</v>
      </c>
      <c r="H1968" s="5" t="s">
        <v>179</v>
      </c>
      <c r="I1968" s="1" t="s">
        <v>5399</v>
      </c>
      <c r="J1968" s="1"/>
      <c r="K1968" s="1"/>
      <c r="L1968" s="2" t="s">
        <v>5402</v>
      </c>
      <c r="M1968" s="1"/>
      <c r="N1968" s="1"/>
      <c r="O1968" s="1"/>
      <c r="P1968" s="1"/>
      <c r="Q1968" s="1"/>
      <c r="R1968" s="1"/>
      <c r="S1968" s="1"/>
      <c r="T1968" s="1"/>
      <c r="U1968" s="1"/>
      <c r="V1968" s="1"/>
      <c r="W1968" s="1"/>
      <c r="X1968" s="1"/>
      <c r="Y1968" s="1"/>
      <c r="Z1968" s="1"/>
    </row>
    <row r="1969" spans="1:26" ht="33.75" customHeight="1">
      <c r="A1969" s="1">
        <v>2297</v>
      </c>
      <c r="B1969" s="1" t="s">
        <v>5403</v>
      </c>
      <c r="C1969" s="1" t="s">
        <v>5217</v>
      </c>
      <c r="D1969" s="4">
        <v>39989.276388888888</v>
      </c>
      <c r="E1969" s="1" t="s">
        <v>1089</v>
      </c>
      <c r="F1969" s="1"/>
      <c r="G1969" s="5" t="s">
        <v>64</v>
      </c>
      <c r="H1969" s="1"/>
      <c r="I1969" s="1" t="s">
        <v>64</v>
      </c>
      <c r="J1969" s="1"/>
      <c r="K1969" s="1"/>
      <c r="L1969" s="2" t="s">
        <v>5404</v>
      </c>
      <c r="M1969" s="1"/>
      <c r="N1969" s="1"/>
      <c r="O1969" s="1"/>
      <c r="P1969" s="1"/>
      <c r="Q1969" s="1"/>
      <c r="R1969" s="1"/>
      <c r="S1969" s="1"/>
      <c r="T1969" s="1"/>
      <c r="U1969" s="1"/>
      <c r="V1969" s="1"/>
      <c r="W1969" s="1"/>
      <c r="X1969" s="1"/>
      <c r="Y1969" s="1"/>
      <c r="Z1969" s="1"/>
    </row>
    <row r="1970" spans="1:26" ht="33.75" customHeight="1">
      <c r="A1970" s="1">
        <v>1489</v>
      </c>
      <c r="B1970" s="1" t="s">
        <v>5405</v>
      </c>
      <c r="C1970" s="1" t="s">
        <v>3929</v>
      </c>
      <c r="D1970" s="4">
        <v>39989.336805555555</v>
      </c>
      <c r="E1970" s="1" t="s">
        <v>14</v>
      </c>
      <c r="F1970" s="1" t="s">
        <v>5387</v>
      </c>
      <c r="G1970" s="5" t="s">
        <v>26</v>
      </c>
      <c r="H1970" s="5" t="s">
        <v>27</v>
      </c>
      <c r="I1970" s="1" t="s">
        <v>28</v>
      </c>
      <c r="J1970" s="1" t="s">
        <v>259</v>
      </c>
      <c r="K1970" s="1"/>
      <c r="L1970" s="2" t="s">
        <v>5406</v>
      </c>
      <c r="M1970" s="1"/>
      <c r="N1970" s="1"/>
      <c r="O1970" s="1"/>
      <c r="P1970" s="1"/>
      <c r="Q1970" s="1"/>
      <c r="R1970" s="1"/>
      <c r="S1970" s="1"/>
      <c r="T1970" s="1"/>
      <c r="U1970" s="1"/>
      <c r="V1970" s="1"/>
      <c r="W1970" s="1"/>
      <c r="X1970" s="1"/>
      <c r="Y1970" s="1"/>
      <c r="Z1970" s="1"/>
    </row>
    <row r="1971" spans="1:26" ht="33.75" customHeight="1">
      <c r="A1971" s="1">
        <v>1494</v>
      </c>
      <c r="B1971" s="1" t="s">
        <v>5407</v>
      </c>
      <c r="C1971" s="1" t="s">
        <v>3929</v>
      </c>
      <c r="D1971" s="4">
        <v>39989.364583333336</v>
      </c>
      <c r="E1971" s="1" t="s">
        <v>196</v>
      </c>
      <c r="F1971" s="1"/>
      <c r="G1971" s="5" t="s">
        <v>64</v>
      </c>
      <c r="H1971" s="5" t="s">
        <v>65</v>
      </c>
      <c r="I1971" s="1" t="s">
        <v>886</v>
      </c>
      <c r="J1971" s="1"/>
      <c r="K1971" s="1"/>
      <c r="L1971" s="2" t="s">
        <v>5408</v>
      </c>
      <c r="M1971" s="1"/>
      <c r="N1971" s="1"/>
      <c r="O1971" s="1"/>
      <c r="P1971" s="1"/>
      <c r="Q1971" s="1"/>
      <c r="R1971" s="1"/>
      <c r="S1971" s="1"/>
      <c r="T1971" s="1"/>
      <c r="U1971" s="1"/>
      <c r="V1971" s="1"/>
      <c r="W1971" s="1"/>
      <c r="X1971" s="1"/>
      <c r="Y1971" s="1"/>
      <c r="Z1971" s="1"/>
    </row>
    <row r="1972" spans="1:26" ht="33.75" customHeight="1">
      <c r="A1972" s="1">
        <v>2298</v>
      </c>
      <c r="B1972" s="1" t="s">
        <v>5409</v>
      </c>
      <c r="C1972" s="1" t="s">
        <v>5217</v>
      </c>
      <c r="D1972" s="4">
        <v>39989.378472222219</v>
      </c>
      <c r="E1972" s="1" t="s">
        <v>772</v>
      </c>
      <c r="F1972" s="1" t="s">
        <v>5391</v>
      </c>
      <c r="G1972" s="5" t="s">
        <v>64</v>
      </c>
      <c r="H1972" s="5" t="s">
        <v>3663</v>
      </c>
      <c r="I1972" s="1" t="s">
        <v>3664</v>
      </c>
      <c r="J1972" s="1" t="s">
        <v>4993</v>
      </c>
      <c r="K1972" s="1" t="s">
        <v>5410</v>
      </c>
      <c r="L1972" s="2" t="s">
        <v>5411</v>
      </c>
      <c r="M1972" s="1"/>
      <c r="N1972" s="1"/>
      <c r="O1972" s="1"/>
      <c r="P1972" s="1"/>
      <c r="Q1972" s="1"/>
      <c r="R1972" s="1"/>
      <c r="S1972" s="1"/>
      <c r="T1972" s="1"/>
      <c r="U1972" s="1"/>
      <c r="V1972" s="1"/>
      <c r="W1972" s="1"/>
      <c r="X1972" s="1"/>
      <c r="Y1972" s="1"/>
      <c r="Z1972" s="1"/>
    </row>
    <row r="1973" spans="1:26" ht="33.75" customHeight="1">
      <c r="A1973" s="1">
        <v>16</v>
      </c>
      <c r="B1973" s="1" t="s">
        <v>12</v>
      </c>
      <c r="C1973" s="1" t="s">
        <v>5412</v>
      </c>
      <c r="D1973" s="4">
        <v>39989.413703703707</v>
      </c>
      <c r="E1973" s="1" t="s">
        <v>14</v>
      </c>
      <c r="F1973" s="1"/>
      <c r="G1973" s="5" t="s">
        <v>64</v>
      </c>
      <c r="H1973" s="5" t="s">
        <v>65</v>
      </c>
      <c r="I1973" s="1" t="s">
        <v>886</v>
      </c>
      <c r="J1973" s="1"/>
      <c r="K1973" s="1" t="s">
        <v>5413</v>
      </c>
      <c r="L1973" s="2" t="s">
        <v>5414</v>
      </c>
      <c r="M1973" s="1"/>
      <c r="N1973" s="1"/>
      <c r="O1973" s="1"/>
      <c r="P1973" s="1"/>
      <c r="Q1973" s="1"/>
      <c r="R1973" s="1"/>
      <c r="S1973" s="1"/>
      <c r="T1973" s="1"/>
      <c r="U1973" s="1"/>
      <c r="V1973" s="1"/>
      <c r="W1973" s="1"/>
      <c r="X1973" s="1"/>
      <c r="Y1973" s="1"/>
      <c r="Z1973" s="1"/>
    </row>
    <row r="1974" spans="1:26" ht="33.75" customHeight="1">
      <c r="A1974" s="1">
        <v>2299</v>
      </c>
      <c r="B1974" s="1" t="s">
        <v>5415</v>
      </c>
      <c r="C1974" s="1" t="s">
        <v>5217</v>
      </c>
      <c r="D1974" s="4">
        <v>39989.527083333334</v>
      </c>
      <c r="E1974" s="1" t="s">
        <v>54</v>
      </c>
      <c r="F1974" s="1" t="s">
        <v>5391</v>
      </c>
      <c r="G1974" s="5" t="s">
        <v>64</v>
      </c>
      <c r="H1974" s="5" t="s">
        <v>3663</v>
      </c>
      <c r="I1974" s="1" t="s">
        <v>3664</v>
      </c>
      <c r="J1974" s="1" t="s">
        <v>4993</v>
      </c>
      <c r="K1974" s="1" t="s">
        <v>5416</v>
      </c>
      <c r="L1974" s="2" t="s">
        <v>5417</v>
      </c>
      <c r="M1974" s="1"/>
      <c r="N1974" s="1"/>
      <c r="O1974" s="1"/>
      <c r="P1974" s="1"/>
      <c r="Q1974" s="1"/>
      <c r="R1974" s="1"/>
      <c r="S1974" s="1"/>
      <c r="T1974" s="1"/>
      <c r="U1974" s="1"/>
      <c r="V1974" s="1"/>
      <c r="W1974" s="1"/>
      <c r="X1974" s="1"/>
      <c r="Y1974" s="1"/>
      <c r="Z1974" s="1"/>
    </row>
    <row r="1975" spans="1:26" ht="33.75" customHeight="1">
      <c r="A1975" s="1">
        <v>1540</v>
      </c>
      <c r="B1975" s="1" t="s">
        <v>5418</v>
      </c>
      <c r="C1975" s="1" t="s">
        <v>5412</v>
      </c>
      <c r="D1975" s="4">
        <v>39989.68472222222</v>
      </c>
      <c r="E1975" s="1" t="s">
        <v>320</v>
      </c>
      <c r="F1975" s="1"/>
      <c r="G1975" s="5" t="s">
        <v>64</v>
      </c>
      <c r="H1975" s="5" t="s">
        <v>3663</v>
      </c>
      <c r="I1975" s="1" t="s">
        <v>3664</v>
      </c>
      <c r="J1975" s="1" t="s">
        <v>4847</v>
      </c>
      <c r="K1975" s="1" t="s">
        <v>5419</v>
      </c>
      <c r="L1975" s="2" t="s">
        <v>5420</v>
      </c>
      <c r="M1975" s="1"/>
      <c r="N1975" s="1"/>
      <c r="O1975" s="1"/>
      <c r="P1975" s="1"/>
      <c r="Q1975" s="1"/>
      <c r="R1975" s="1"/>
      <c r="S1975" s="1"/>
      <c r="T1975" s="1"/>
      <c r="U1975" s="1"/>
      <c r="V1975" s="1"/>
      <c r="W1975" s="1"/>
      <c r="X1975" s="1"/>
      <c r="Y1975" s="1"/>
      <c r="Z1975" s="1"/>
    </row>
    <row r="1976" spans="1:26" ht="33.75" customHeight="1">
      <c r="A1976" s="1">
        <v>1541</v>
      </c>
      <c r="B1976" s="1" t="s">
        <v>5421</v>
      </c>
      <c r="C1976" s="1" t="s">
        <v>5412</v>
      </c>
      <c r="D1976" s="4">
        <v>39989.718055555553</v>
      </c>
      <c r="E1976" s="1" t="s">
        <v>320</v>
      </c>
      <c r="F1976" s="1"/>
      <c r="G1976" s="5" t="s">
        <v>15</v>
      </c>
      <c r="H1976" s="5" t="s">
        <v>402</v>
      </c>
      <c r="I1976" s="1" t="s">
        <v>5422</v>
      </c>
      <c r="J1976" s="1"/>
      <c r="K1976" s="1"/>
      <c r="L1976" s="2" t="s">
        <v>5423</v>
      </c>
      <c r="M1976" s="1"/>
      <c r="N1976" s="1"/>
      <c r="O1976" s="1"/>
      <c r="P1976" s="1"/>
      <c r="Q1976" s="1"/>
      <c r="R1976" s="1"/>
      <c r="S1976" s="1"/>
      <c r="T1976" s="1"/>
      <c r="U1976" s="1"/>
      <c r="V1976" s="1"/>
      <c r="W1976" s="1"/>
      <c r="X1976" s="1"/>
      <c r="Y1976" s="1"/>
      <c r="Z1976" s="1"/>
    </row>
    <row r="1977" spans="1:26" ht="33.75" customHeight="1">
      <c r="A1977" s="1">
        <v>1542</v>
      </c>
      <c r="B1977" s="1" t="s">
        <v>5424</v>
      </c>
      <c r="C1977" s="1" t="s">
        <v>5412</v>
      </c>
      <c r="D1977" s="4">
        <v>39989.71875</v>
      </c>
      <c r="E1977" s="1" t="s">
        <v>320</v>
      </c>
      <c r="F1977" s="1"/>
      <c r="G1977" s="5" t="s">
        <v>64</v>
      </c>
      <c r="H1977" s="5" t="s">
        <v>3663</v>
      </c>
      <c r="I1977" s="1" t="s">
        <v>3664</v>
      </c>
      <c r="J1977" s="1" t="s">
        <v>4861</v>
      </c>
      <c r="K1977" s="1"/>
      <c r="L1977" s="2" t="s">
        <v>5425</v>
      </c>
      <c r="M1977" s="1"/>
      <c r="N1977" s="1"/>
      <c r="O1977" s="1"/>
      <c r="P1977" s="1"/>
      <c r="Q1977" s="1"/>
      <c r="R1977" s="1"/>
      <c r="S1977" s="1"/>
      <c r="T1977" s="1"/>
      <c r="U1977" s="1"/>
      <c r="V1977" s="1"/>
      <c r="W1977" s="1"/>
      <c r="X1977" s="1"/>
      <c r="Y1977" s="1"/>
      <c r="Z1977" s="1"/>
    </row>
    <row r="1978" spans="1:26" ht="33.75" customHeight="1">
      <c r="A1978" s="1">
        <v>2300</v>
      </c>
      <c r="B1978" s="1" t="s">
        <v>5426</v>
      </c>
      <c r="C1978" s="1" t="s">
        <v>5217</v>
      </c>
      <c r="D1978" s="4">
        <v>39989.976388888892</v>
      </c>
      <c r="E1978" s="1" t="s">
        <v>1887</v>
      </c>
      <c r="F1978" s="1" t="s">
        <v>5391</v>
      </c>
      <c r="G1978" s="5" t="s">
        <v>64</v>
      </c>
      <c r="H1978" s="5" t="s">
        <v>3663</v>
      </c>
      <c r="I1978" s="1" t="s">
        <v>3664</v>
      </c>
      <c r="J1978" s="1" t="s">
        <v>4993</v>
      </c>
      <c r="K1978" s="1"/>
      <c r="L1978" s="2" t="s">
        <v>5427</v>
      </c>
      <c r="M1978" s="1"/>
      <c r="N1978" s="1"/>
      <c r="O1978" s="1"/>
      <c r="P1978" s="1"/>
      <c r="Q1978" s="1"/>
      <c r="R1978" s="1"/>
      <c r="S1978" s="1"/>
      <c r="T1978" s="1"/>
      <c r="U1978" s="1"/>
      <c r="V1978" s="1"/>
      <c r="W1978" s="1"/>
      <c r="X1978" s="1"/>
      <c r="Y1978" s="1"/>
      <c r="Z1978" s="1"/>
    </row>
    <row r="1979" spans="1:26" ht="33.75" customHeight="1">
      <c r="A1979" s="1">
        <v>1543</v>
      </c>
      <c r="B1979" s="1" t="s">
        <v>5428</v>
      </c>
      <c r="C1979" s="1" t="s">
        <v>5412</v>
      </c>
      <c r="D1979" s="4">
        <v>39989.976388888892</v>
      </c>
      <c r="E1979" s="1" t="s">
        <v>32</v>
      </c>
      <c r="F1979" s="1" t="s">
        <v>5429</v>
      </c>
      <c r="G1979" s="5" t="s">
        <v>26</v>
      </c>
      <c r="H1979" s="5" t="s">
        <v>27</v>
      </c>
      <c r="I1979" s="1" t="s">
        <v>28</v>
      </c>
      <c r="J1979" s="1" t="s">
        <v>259</v>
      </c>
      <c r="K1979" s="1"/>
      <c r="L1979" s="2" t="s">
        <v>5430</v>
      </c>
      <c r="M1979" s="1"/>
      <c r="N1979" s="1"/>
      <c r="O1979" s="1"/>
      <c r="P1979" s="1"/>
      <c r="Q1979" s="1"/>
      <c r="R1979" s="1"/>
      <c r="S1979" s="1"/>
      <c r="T1979" s="1"/>
      <c r="U1979" s="1"/>
      <c r="V1979" s="1"/>
      <c r="W1979" s="1"/>
      <c r="X1979" s="1"/>
      <c r="Y1979" s="1"/>
      <c r="Z1979" s="1"/>
    </row>
    <row r="1980" spans="1:26" ht="33.75" customHeight="1">
      <c r="A1980" s="1">
        <v>2302</v>
      </c>
      <c r="B1980" s="1" t="s">
        <v>5431</v>
      </c>
      <c r="C1980" s="1" t="s">
        <v>5217</v>
      </c>
      <c r="D1980" s="4">
        <v>39990.95416666667</v>
      </c>
      <c r="E1980" s="1" t="s">
        <v>1089</v>
      </c>
      <c r="F1980" s="1"/>
      <c r="G1980" s="5" t="s">
        <v>64</v>
      </c>
      <c r="H1980" s="5" t="s">
        <v>684</v>
      </c>
      <c r="I1980" s="1" t="s">
        <v>5432</v>
      </c>
      <c r="J1980" s="1"/>
      <c r="K1980" s="1" t="s">
        <v>5433</v>
      </c>
      <c r="L1980" s="2" t="s">
        <v>5434</v>
      </c>
      <c r="M1980" s="1"/>
      <c r="N1980" s="1"/>
      <c r="O1980" s="1"/>
      <c r="P1980" s="1"/>
      <c r="Q1980" s="1"/>
      <c r="R1980" s="1"/>
      <c r="S1980" s="1"/>
      <c r="T1980" s="1"/>
      <c r="U1980" s="1"/>
      <c r="V1980" s="1"/>
      <c r="W1980" s="1"/>
      <c r="X1980" s="1"/>
      <c r="Y1980" s="1"/>
      <c r="Z1980" s="1"/>
    </row>
    <row r="1981" spans="1:26" ht="33.75" customHeight="1">
      <c r="A1981" s="1">
        <v>1544</v>
      </c>
      <c r="B1981" s="1" t="s">
        <v>5435</v>
      </c>
      <c r="C1981" s="1" t="s">
        <v>5412</v>
      </c>
      <c r="D1981" s="4">
        <v>39990.979861111111</v>
      </c>
      <c r="E1981" s="1" t="s">
        <v>320</v>
      </c>
      <c r="F1981" s="1"/>
      <c r="G1981" s="5" t="s">
        <v>15</v>
      </c>
      <c r="H1981" s="5" t="s">
        <v>402</v>
      </c>
      <c r="I1981" s="1" t="s">
        <v>576</v>
      </c>
      <c r="J1981" s="1"/>
      <c r="K1981" s="1" t="s">
        <v>5436</v>
      </c>
      <c r="L1981" s="2" t="s">
        <v>5437</v>
      </c>
      <c r="M1981" s="1"/>
      <c r="N1981" s="1"/>
      <c r="O1981" s="1"/>
      <c r="P1981" s="1"/>
      <c r="Q1981" s="1"/>
      <c r="R1981" s="1"/>
      <c r="S1981" s="1"/>
      <c r="T1981" s="1"/>
      <c r="U1981" s="1"/>
      <c r="V1981" s="1"/>
      <c r="W1981" s="1"/>
      <c r="X1981" s="1"/>
      <c r="Y1981" s="1"/>
      <c r="Z1981" s="1"/>
    </row>
    <row r="1982" spans="1:26" ht="33.75" customHeight="1">
      <c r="A1982" s="1">
        <v>2303</v>
      </c>
      <c r="B1982" s="1" t="s">
        <v>5438</v>
      </c>
      <c r="C1982" s="1" t="s">
        <v>5217</v>
      </c>
      <c r="D1982" s="4">
        <v>39996.002083333333</v>
      </c>
      <c r="E1982" s="1" t="s">
        <v>1089</v>
      </c>
      <c r="F1982" s="1"/>
      <c r="G1982" s="5" t="s">
        <v>64</v>
      </c>
      <c r="H1982" s="5" t="s">
        <v>375</v>
      </c>
      <c r="I1982" s="1" t="s">
        <v>900</v>
      </c>
      <c r="J1982" s="1"/>
      <c r="K1982" s="1"/>
      <c r="L1982" s="2" t="s">
        <v>5439</v>
      </c>
      <c r="M1982" s="1"/>
      <c r="N1982" s="1"/>
      <c r="O1982" s="1"/>
      <c r="P1982" s="1"/>
      <c r="Q1982" s="1"/>
      <c r="R1982" s="1"/>
      <c r="S1982" s="1"/>
      <c r="T1982" s="1"/>
      <c r="U1982" s="1"/>
      <c r="V1982" s="1"/>
      <c r="W1982" s="1"/>
      <c r="X1982" s="1"/>
      <c r="Y1982" s="1"/>
      <c r="Z1982" s="1"/>
    </row>
    <row r="1983" spans="1:26" ht="33.75" customHeight="1">
      <c r="A1983" s="1">
        <v>1218</v>
      </c>
      <c r="B1983" s="1" t="s">
        <v>5440</v>
      </c>
      <c r="C1983" s="1" t="s">
        <v>3156</v>
      </c>
      <c r="D1983" s="4">
        <v>39996.428472222222</v>
      </c>
      <c r="E1983" s="1" t="s">
        <v>5441</v>
      </c>
      <c r="F1983" s="1" t="s">
        <v>5346</v>
      </c>
      <c r="G1983" s="5" t="s">
        <v>26</v>
      </c>
      <c r="H1983" s="5" t="s">
        <v>27</v>
      </c>
      <c r="I1983" s="1" t="s">
        <v>28</v>
      </c>
      <c r="J1983" s="1" t="s">
        <v>259</v>
      </c>
      <c r="K1983" s="1"/>
      <c r="L1983" s="2" t="s">
        <v>5442</v>
      </c>
      <c r="M1983" s="1"/>
      <c r="N1983" s="1"/>
      <c r="O1983" s="1"/>
      <c r="P1983" s="1"/>
      <c r="Q1983" s="1"/>
      <c r="R1983" s="1"/>
      <c r="S1983" s="1"/>
      <c r="T1983" s="1"/>
      <c r="U1983" s="1"/>
      <c r="V1983" s="1"/>
      <c r="W1983" s="1"/>
      <c r="X1983" s="1"/>
      <c r="Y1983" s="1"/>
      <c r="Z1983" s="1"/>
    </row>
    <row r="1984" spans="1:26" ht="33.75" customHeight="1">
      <c r="A1984" s="1">
        <v>2304</v>
      </c>
      <c r="B1984" s="1" t="s">
        <v>5443</v>
      </c>
      <c r="C1984" s="1" t="s">
        <v>5217</v>
      </c>
      <c r="D1984" s="4">
        <v>39996.661805555559</v>
      </c>
      <c r="E1984" s="1" t="s">
        <v>54</v>
      </c>
      <c r="F1984" s="1"/>
      <c r="G1984" s="5" t="s">
        <v>64</v>
      </c>
      <c r="H1984" s="5" t="s">
        <v>1053</v>
      </c>
      <c r="I1984" s="1" t="s">
        <v>5444</v>
      </c>
      <c r="J1984" s="1"/>
      <c r="K1984" s="1" t="s">
        <v>5445</v>
      </c>
      <c r="L1984" s="2" t="s">
        <v>5446</v>
      </c>
      <c r="M1984" s="1"/>
      <c r="N1984" s="1"/>
      <c r="O1984" s="1"/>
      <c r="P1984" s="1"/>
      <c r="Q1984" s="1"/>
      <c r="R1984" s="1"/>
      <c r="S1984" s="1"/>
      <c r="T1984" s="1"/>
      <c r="U1984" s="1"/>
      <c r="V1984" s="1"/>
      <c r="W1984" s="1"/>
      <c r="X1984" s="1"/>
      <c r="Y1984" s="1"/>
      <c r="Z1984" s="1"/>
    </row>
    <row r="1985" spans="1:26" ht="33.75" customHeight="1">
      <c r="A1985" s="1">
        <v>2305</v>
      </c>
      <c r="B1985" s="1" t="s">
        <v>5447</v>
      </c>
      <c r="C1985" s="1" t="s">
        <v>5217</v>
      </c>
      <c r="D1985" s="4">
        <v>39997.402083333334</v>
      </c>
      <c r="E1985" s="1" t="s">
        <v>772</v>
      </c>
      <c r="F1985" s="1"/>
      <c r="G1985" s="5" t="s">
        <v>64</v>
      </c>
      <c r="H1985" s="1"/>
      <c r="I1985" s="1" t="s">
        <v>64</v>
      </c>
      <c r="J1985" s="1"/>
      <c r="K1985" s="1"/>
      <c r="L1985" s="2" t="s">
        <v>5448</v>
      </c>
      <c r="M1985" s="1"/>
      <c r="N1985" s="1"/>
      <c r="O1985" s="1"/>
      <c r="P1985" s="1"/>
      <c r="Q1985" s="1"/>
      <c r="R1985" s="1"/>
      <c r="S1985" s="1"/>
      <c r="T1985" s="1"/>
      <c r="U1985" s="1"/>
      <c r="V1985" s="1"/>
      <c r="W1985" s="1"/>
      <c r="X1985" s="1"/>
      <c r="Y1985" s="1"/>
      <c r="Z1985" s="1"/>
    </row>
    <row r="1986" spans="1:26" ht="33.75" customHeight="1">
      <c r="A1986" s="1">
        <v>2306</v>
      </c>
      <c r="B1986" s="1" t="s">
        <v>5449</v>
      </c>
      <c r="C1986" s="1" t="s">
        <v>5217</v>
      </c>
      <c r="D1986" s="4">
        <v>39997.643055555556</v>
      </c>
      <c r="E1986" s="1" t="s">
        <v>772</v>
      </c>
      <c r="F1986" s="1"/>
      <c r="G1986" s="5" t="s">
        <v>64</v>
      </c>
      <c r="H1986" s="1"/>
      <c r="I1986" s="1" t="s">
        <v>64</v>
      </c>
      <c r="J1986" s="1"/>
      <c r="K1986" s="1"/>
      <c r="L1986" s="2" t="s">
        <v>5450</v>
      </c>
      <c r="M1986" s="1"/>
      <c r="N1986" s="1"/>
      <c r="O1986" s="1"/>
      <c r="P1986" s="1"/>
      <c r="Q1986" s="1"/>
      <c r="R1986" s="1"/>
      <c r="S1986" s="1"/>
      <c r="T1986" s="1"/>
      <c r="U1986" s="1"/>
      <c r="V1986" s="1"/>
      <c r="W1986" s="1"/>
      <c r="X1986" s="1"/>
      <c r="Y1986" s="1"/>
      <c r="Z1986" s="1"/>
    </row>
    <row r="1987" spans="1:26" ht="33.75" customHeight="1">
      <c r="A1987" s="1">
        <v>2307</v>
      </c>
      <c r="B1987" s="1" t="s">
        <v>5451</v>
      </c>
      <c r="C1987" s="1" t="s">
        <v>5217</v>
      </c>
      <c r="D1987" s="4">
        <v>39997.668055555558</v>
      </c>
      <c r="E1987" s="1" t="s">
        <v>54</v>
      </c>
      <c r="F1987" s="1" t="s">
        <v>5452</v>
      </c>
      <c r="G1987" s="5" t="s">
        <v>26</v>
      </c>
      <c r="H1987" s="5" t="s">
        <v>27</v>
      </c>
      <c r="I1987" s="1" t="s">
        <v>28</v>
      </c>
      <c r="J1987" s="1" t="s">
        <v>259</v>
      </c>
      <c r="K1987" s="1"/>
      <c r="L1987" s="2" t="s">
        <v>5453</v>
      </c>
      <c r="M1987" s="1"/>
      <c r="N1987" s="1"/>
      <c r="O1987" s="1"/>
      <c r="P1987" s="1"/>
      <c r="Q1987" s="1"/>
      <c r="R1987" s="1"/>
      <c r="S1987" s="1"/>
      <c r="T1987" s="1"/>
      <c r="U1987" s="1"/>
      <c r="V1987" s="1"/>
      <c r="W1987" s="1"/>
      <c r="X1987" s="1"/>
      <c r="Y1987" s="1"/>
      <c r="Z1987" s="1"/>
    </row>
    <row r="1988" spans="1:26" ht="33.75" customHeight="1">
      <c r="A1988" s="1">
        <v>2308</v>
      </c>
      <c r="B1988" s="1" t="s">
        <v>5454</v>
      </c>
      <c r="C1988" s="1" t="s">
        <v>5217</v>
      </c>
      <c r="D1988" s="4">
        <v>39997.751388888886</v>
      </c>
      <c r="E1988" s="1" t="s">
        <v>772</v>
      </c>
      <c r="F1988" s="1"/>
      <c r="G1988" s="5" t="s">
        <v>64</v>
      </c>
      <c r="H1988" s="1"/>
      <c r="I1988" s="1" t="s">
        <v>64</v>
      </c>
      <c r="J1988" s="1"/>
      <c r="K1988" s="1"/>
      <c r="L1988" s="2" t="s">
        <v>5455</v>
      </c>
      <c r="M1988" s="1"/>
      <c r="N1988" s="1"/>
      <c r="O1988" s="1"/>
      <c r="P1988" s="1"/>
      <c r="Q1988" s="1"/>
      <c r="R1988" s="1"/>
      <c r="S1988" s="1"/>
      <c r="T1988" s="1"/>
      <c r="U1988" s="1"/>
      <c r="V1988" s="1"/>
      <c r="W1988" s="1"/>
      <c r="X1988" s="1"/>
      <c r="Y1988" s="1"/>
      <c r="Z1988" s="1"/>
    </row>
    <row r="1989" spans="1:26" ht="33.75" customHeight="1">
      <c r="A1989" s="1">
        <v>2309</v>
      </c>
      <c r="B1989" s="1" t="s">
        <v>5456</v>
      </c>
      <c r="C1989" s="1" t="s">
        <v>5217</v>
      </c>
      <c r="D1989" s="4">
        <v>39998.361805555556</v>
      </c>
      <c r="E1989" s="1" t="s">
        <v>54</v>
      </c>
      <c r="F1989" s="1" t="s">
        <v>5454</v>
      </c>
      <c r="G1989" s="5" t="s">
        <v>26</v>
      </c>
      <c r="H1989" s="5" t="s">
        <v>27</v>
      </c>
      <c r="I1989" s="1" t="s">
        <v>28</v>
      </c>
      <c r="J1989" s="1" t="s">
        <v>259</v>
      </c>
      <c r="K1989" s="1"/>
      <c r="L1989" s="2" t="s">
        <v>5457</v>
      </c>
      <c r="M1989" s="1"/>
      <c r="N1989" s="1"/>
      <c r="O1989" s="1"/>
      <c r="P1989" s="1"/>
      <c r="Q1989" s="1"/>
      <c r="R1989" s="1"/>
      <c r="S1989" s="1"/>
      <c r="T1989" s="1"/>
      <c r="U1989" s="1"/>
      <c r="V1989" s="1"/>
      <c r="W1989" s="1"/>
      <c r="X1989" s="1"/>
      <c r="Y1989" s="1"/>
      <c r="Z1989" s="1"/>
    </row>
    <row r="1990" spans="1:26" ht="33.75" customHeight="1">
      <c r="A1990" s="1">
        <v>2310</v>
      </c>
      <c r="B1990" s="1" t="s">
        <v>5458</v>
      </c>
      <c r="C1990" s="1" t="s">
        <v>5217</v>
      </c>
      <c r="D1990" s="4">
        <v>40000.443749999999</v>
      </c>
      <c r="E1990" s="1" t="s">
        <v>1887</v>
      </c>
      <c r="F1990" s="1"/>
      <c r="G1990" s="5" t="s">
        <v>33</v>
      </c>
      <c r="H1990" s="5" t="s">
        <v>34</v>
      </c>
      <c r="I1990" s="1" t="s">
        <v>5459</v>
      </c>
      <c r="J1990" s="1"/>
      <c r="K1990" s="1"/>
      <c r="L1990" s="2" t="s">
        <v>5460</v>
      </c>
      <c r="M1990" s="1"/>
      <c r="N1990" s="1"/>
      <c r="O1990" s="1"/>
      <c r="P1990" s="1"/>
      <c r="Q1990" s="1"/>
      <c r="R1990" s="1"/>
      <c r="S1990" s="1"/>
      <c r="T1990" s="1"/>
      <c r="U1990" s="1"/>
      <c r="V1990" s="1"/>
      <c r="W1990" s="1"/>
      <c r="X1990" s="1"/>
      <c r="Y1990" s="1"/>
      <c r="Z1990" s="1"/>
    </row>
    <row r="1991" spans="1:26" ht="33.75" customHeight="1">
      <c r="A1991" s="1">
        <v>2311</v>
      </c>
      <c r="B1991" s="1" t="s">
        <v>5461</v>
      </c>
      <c r="C1991" s="1" t="s">
        <v>5217</v>
      </c>
      <c r="D1991" s="4">
        <v>40000.538888888892</v>
      </c>
      <c r="E1991" s="1" t="s">
        <v>54</v>
      </c>
      <c r="F1991" s="1"/>
      <c r="G1991" s="5" t="s">
        <v>64</v>
      </c>
      <c r="H1991" s="1"/>
      <c r="I1991" s="1" t="s">
        <v>64</v>
      </c>
      <c r="J1991" s="1"/>
      <c r="K1991" s="1" t="s">
        <v>5462</v>
      </c>
      <c r="L1991" s="2" t="s">
        <v>5463</v>
      </c>
      <c r="M1991" s="1"/>
      <c r="N1991" s="1"/>
      <c r="O1991" s="1"/>
      <c r="P1991" s="1"/>
      <c r="Q1991" s="1"/>
      <c r="R1991" s="1"/>
      <c r="S1991" s="1"/>
      <c r="T1991" s="1"/>
      <c r="U1991" s="1"/>
      <c r="V1991" s="1"/>
      <c r="W1991" s="1"/>
      <c r="X1991" s="1"/>
      <c r="Y1991" s="1"/>
      <c r="Z1991" s="1"/>
    </row>
    <row r="1992" spans="1:26" ht="33.75" customHeight="1">
      <c r="A1992" s="1">
        <v>2312</v>
      </c>
      <c r="B1992" s="1" t="s">
        <v>5464</v>
      </c>
      <c r="C1992" s="1" t="s">
        <v>5217</v>
      </c>
      <c r="D1992" s="4">
        <v>40000.831250000003</v>
      </c>
      <c r="E1992" s="1" t="s">
        <v>772</v>
      </c>
      <c r="F1992" s="1"/>
      <c r="G1992" s="5" t="s">
        <v>64</v>
      </c>
      <c r="H1992" s="1"/>
      <c r="I1992" s="1" t="s">
        <v>64</v>
      </c>
      <c r="J1992" s="1"/>
      <c r="K1992" s="1"/>
      <c r="L1992" s="2" t="s">
        <v>5465</v>
      </c>
      <c r="M1992" s="1"/>
      <c r="N1992" s="1"/>
      <c r="O1992" s="1"/>
      <c r="P1992" s="1"/>
      <c r="Q1992" s="1"/>
      <c r="R1992" s="1"/>
      <c r="S1992" s="1"/>
      <c r="T1992" s="1"/>
      <c r="U1992" s="1"/>
      <c r="V1992" s="1"/>
      <c r="W1992" s="1"/>
      <c r="X1992" s="1"/>
      <c r="Y1992" s="1"/>
      <c r="Z1992" s="1"/>
    </row>
    <row r="1993" spans="1:26" ht="33.75" customHeight="1">
      <c r="A1993" s="1">
        <v>2313</v>
      </c>
      <c r="B1993" s="1" t="s">
        <v>5466</v>
      </c>
      <c r="C1993" s="1" t="s">
        <v>5217</v>
      </c>
      <c r="D1993" s="4">
        <v>40000.869444444441</v>
      </c>
      <c r="E1993" s="1" t="s">
        <v>772</v>
      </c>
      <c r="F1993" s="1"/>
      <c r="G1993" s="5" t="s">
        <v>64</v>
      </c>
      <c r="H1993" s="1"/>
      <c r="I1993" s="1" t="s">
        <v>64</v>
      </c>
      <c r="J1993" s="1"/>
      <c r="K1993" s="1"/>
      <c r="L1993" s="2" t="s">
        <v>5467</v>
      </c>
      <c r="M1993" s="1"/>
      <c r="N1993" s="1"/>
      <c r="O1993" s="1"/>
      <c r="P1993" s="1"/>
      <c r="Q1993" s="1"/>
      <c r="R1993" s="1"/>
      <c r="S1993" s="1"/>
      <c r="T1993" s="1"/>
      <c r="U1993" s="1"/>
      <c r="V1993" s="1"/>
      <c r="W1993" s="1"/>
      <c r="X1993" s="1"/>
      <c r="Y1993" s="1"/>
      <c r="Z1993" s="1"/>
    </row>
    <row r="1994" spans="1:26" ht="33.75" customHeight="1">
      <c r="A1994" s="1">
        <v>2314</v>
      </c>
      <c r="B1994" s="1" t="s">
        <v>5468</v>
      </c>
      <c r="C1994" s="1" t="s">
        <v>5217</v>
      </c>
      <c r="D1994" s="4">
        <v>40000.902083333334</v>
      </c>
      <c r="E1994" s="1" t="s">
        <v>54</v>
      </c>
      <c r="F1994" s="1" t="s">
        <v>5466</v>
      </c>
      <c r="G1994" s="5" t="s">
        <v>26</v>
      </c>
      <c r="H1994" s="5" t="s">
        <v>27</v>
      </c>
      <c r="I1994" s="1" t="s">
        <v>28</v>
      </c>
      <c r="J1994" s="1" t="s">
        <v>259</v>
      </c>
      <c r="K1994" s="1" t="s">
        <v>5469</v>
      </c>
      <c r="L1994" s="2" t="s">
        <v>5470</v>
      </c>
      <c r="M1994" s="1"/>
      <c r="N1994" s="1"/>
      <c r="O1994" s="1"/>
      <c r="P1994" s="1"/>
      <c r="Q1994" s="1"/>
      <c r="R1994" s="1"/>
      <c r="S1994" s="1"/>
      <c r="T1994" s="1"/>
      <c r="U1994" s="1"/>
      <c r="V1994" s="1"/>
      <c r="W1994" s="1"/>
      <c r="X1994" s="1"/>
      <c r="Y1994" s="1"/>
      <c r="Z1994" s="1"/>
    </row>
    <row r="1995" spans="1:26" ht="33.75" customHeight="1">
      <c r="A1995" s="1">
        <v>2315</v>
      </c>
      <c r="B1995" s="1" t="s">
        <v>5471</v>
      </c>
      <c r="C1995" s="1" t="s">
        <v>5217</v>
      </c>
      <c r="D1995" s="4">
        <v>40001.32708333333</v>
      </c>
      <c r="E1995" s="1" t="s">
        <v>1089</v>
      </c>
      <c r="F1995" s="1"/>
      <c r="G1995" s="5" t="s">
        <v>64</v>
      </c>
      <c r="H1995" s="5" t="s">
        <v>375</v>
      </c>
      <c r="I1995" s="1" t="s">
        <v>900</v>
      </c>
      <c r="J1995" s="1"/>
      <c r="K1995" s="1"/>
      <c r="L1995" s="2" t="s">
        <v>5472</v>
      </c>
      <c r="M1995" s="1"/>
      <c r="N1995" s="1"/>
      <c r="O1995" s="1"/>
      <c r="P1995" s="1"/>
      <c r="Q1995" s="1"/>
      <c r="R1995" s="1"/>
      <c r="S1995" s="1"/>
      <c r="T1995" s="1"/>
      <c r="U1995" s="1"/>
      <c r="V1995" s="1"/>
      <c r="W1995" s="1"/>
      <c r="X1995" s="1"/>
      <c r="Y1995" s="1"/>
      <c r="Z1995" s="1"/>
    </row>
    <row r="1996" spans="1:26" ht="33.75" customHeight="1">
      <c r="A1996" s="1">
        <v>2316</v>
      </c>
      <c r="B1996" s="1" t="s">
        <v>5473</v>
      </c>
      <c r="C1996" s="1" t="s">
        <v>5217</v>
      </c>
      <c r="D1996" s="4">
        <v>40001.359722222223</v>
      </c>
      <c r="E1996" s="1" t="s">
        <v>772</v>
      </c>
      <c r="F1996" s="1"/>
      <c r="G1996" s="5" t="s">
        <v>64</v>
      </c>
      <c r="H1996" s="1"/>
      <c r="I1996" s="1" t="s">
        <v>64</v>
      </c>
      <c r="J1996" s="1"/>
      <c r="K1996" s="1"/>
      <c r="L1996" s="2" t="s">
        <v>5474</v>
      </c>
      <c r="M1996" s="1"/>
      <c r="N1996" s="1"/>
      <c r="O1996" s="1"/>
      <c r="P1996" s="1"/>
      <c r="Q1996" s="1"/>
      <c r="R1996" s="1"/>
      <c r="S1996" s="1"/>
      <c r="T1996" s="1"/>
      <c r="U1996" s="1"/>
      <c r="V1996" s="1"/>
      <c r="W1996" s="1"/>
      <c r="X1996" s="1"/>
      <c r="Y1996" s="1"/>
      <c r="Z1996" s="1"/>
    </row>
    <row r="1997" spans="1:26" ht="33.75" customHeight="1">
      <c r="A1997" s="1">
        <v>2317</v>
      </c>
      <c r="B1997" s="1" t="s">
        <v>5475</v>
      </c>
      <c r="C1997" s="1" t="s">
        <v>5217</v>
      </c>
      <c r="D1997" s="4">
        <v>40001.379166666666</v>
      </c>
      <c r="E1997" s="1" t="s">
        <v>1089</v>
      </c>
      <c r="F1997" s="1"/>
      <c r="G1997" s="5" t="s">
        <v>64</v>
      </c>
      <c r="H1997" s="5" t="s">
        <v>375</v>
      </c>
      <c r="I1997" s="1" t="s">
        <v>900</v>
      </c>
      <c r="J1997" s="1"/>
      <c r="K1997" s="1"/>
      <c r="L1997" s="2" t="s">
        <v>5476</v>
      </c>
      <c r="M1997" s="1"/>
      <c r="N1997" s="1"/>
      <c r="O1997" s="1"/>
      <c r="P1997" s="1"/>
      <c r="Q1997" s="1"/>
      <c r="R1997" s="1"/>
      <c r="S1997" s="1"/>
      <c r="T1997" s="1"/>
      <c r="U1997" s="1"/>
      <c r="V1997" s="1"/>
      <c r="W1997" s="1"/>
      <c r="X1997" s="1"/>
      <c r="Y1997" s="1"/>
      <c r="Z1997" s="1"/>
    </row>
    <row r="1998" spans="1:26" ht="33.75" customHeight="1">
      <c r="A1998" s="1">
        <v>2318</v>
      </c>
      <c r="B1998" s="1" t="s">
        <v>5477</v>
      </c>
      <c r="C1998" s="1" t="s">
        <v>5217</v>
      </c>
      <c r="D1998" s="4">
        <v>40001.401388888888</v>
      </c>
      <c r="E1998" s="1" t="s">
        <v>54</v>
      </c>
      <c r="F1998" s="1" t="s">
        <v>5475</v>
      </c>
      <c r="G1998" s="5" t="s">
        <v>64</v>
      </c>
      <c r="H1998" s="1"/>
      <c r="I1998" s="1" t="s">
        <v>64</v>
      </c>
      <c r="J1998" s="1"/>
      <c r="K1998" s="1" t="s">
        <v>5478</v>
      </c>
      <c r="L1998" s="2" t="s">
        <v>5479</v>
      </c>
      <c r="M1998" s="1"/>
      <c r="N1998" s="1"/>
      <c r="O1998" s="1"/>
      <c r="P1998" s="1"/>
      <c r="Q1998" s="1"/>
      <c r="R1998" s="1"/>
      <c r="S1998" s="1"/>
      <c r="T1998" s="1"/>
      <c r="U1998" s="1"/>
      <c r="V1998" s="1"/>
      <c r="W1998" s="1"/>
      <c r="X1998" s="1"/>
      <c r="Y1998" s="1"/>
      <c r="Z1998" s="1"/>
    </row>
    <row r="1999" spans="1:26" ht="33.75" customHeight="1">
      <c r="A1999" s="1">
        <v>2319</v>
      </c>
      <c r="B1999" s="1" t="s">
        <v>5480</v>
      </c>
      <c r="C1999" s="1" t="s">
        <v>5217</v>
      </c>
      <c r="D1999" s="4">
        <v>40001.40347222222</v>
      </c>
      <c r="E1999" s="1" t="s">
        <v>54</v>
      </c>
      <c r="F1999" s="1"/>
      <c r="G1999" s="5" t="s">
        <v>64</v>
      </c>
      <c r="H1999" s="5" t="s">
        <v>375</v>
      </c>
      <c r="I1999" s="1" t="s">
        <v>5148</v>
      </c>
      <c r="J1999" s="1"/>
      <c r="K1999" s="1"/>
      <c r="L1999" s="2" t="s">
        <v>5481</v>
      </c>
      <c r="M1999" s="1"/>
      <c r="N1999" s="1"/>
      <c r="O1999" s="1"/>
      <c r="P1999" s="1"/>
      <c r="Q1999" s="1"/>
      <c r="R1999" s="1"/>
      <c r="S1999" s="1"/>
      <c r="T1999" s="1"/>
      <c r="U1999" s="1"/>
      <c r="V1999" s="1"/>
      <c r="W1999" s="1"/>
      <c r="X1999" s="1"/>
      <c r="Y1999" s="1"/>
      <c r="Z1999" s="1"/>
    </row>
    <row r="2000" spans="1:26" ht="33.75" customHeight="1">
      <c r="A2000" s="1">
        <v>2320</v>
      </c>
      <c r="B2000" s="1" t="s">
        <v>5482</v>
      </c>
      <c r="C2000" s="1" t="s">
        <v>5217</v>
      </c>
      <c r="D2000" s="4">
        <v>40001.425000000003</v>
      </c>
      <c r="E2000" s="1" t="s">
        <v>1089</v>
      </c>
      <c r="F2000" s="1"/>
      <c r="G2000" s="5" t="s">
        <v>64</v>
      </c>
      <c r="H2000" s="5" t="s">
        <v>375</v>
      </c>
      <c r="I2000" s="1" t="s">
        <v>900</v>
      </c>
      <c r="J2000" s="1"/>
      <c r="K2000" s="1"/>
      <c r="L2000" s="2" t="s">
        <v>5483</v>
      </c>
      <c r="M2000" s="1"/>
      <c r="N2000" s="1"/>
      <c r="O2000" s="1"/>
      <c r="P2000" s="1"/>
      <c r="Q2000" s="1"/>
      <c r="R2000" s="1"/>
      <c r="S2000" s="1"/>
      <c r="T2000" s="1"/>
      <c r="U2000" s="1"/>
      <c r="V2000" s="1"/>
      <c r="W2000" s="1"/>
      <c r="X2000" s="1"/>
      <c r="Y2000" s="1"/>
      <c r="Z2000" s="1"/>
    </row>
    <row r="2001" spans="1:26" ht="33.75" customHeight="1">
      <c r="A2001" s="1">
        <v>2321</v>
      </c>
      <c r="B2001" s="1" t="s">
        <v>5484</v>
      </c>
      <c r="C2001" s="1" t="s">
        <v>5217</v>
      </c>
      <c r="D2001" s="4">
        <v>40001.443749999999</v>
      </c>
      <c r="E2001" s="1" t="s">
        <v>1089</v>
      </c>
      <c r="F2001" s="1"/>
      <c r="G2001" s="5" t="s">
        <v>64</v>
      </c>
      <c r="H2001" s="1"/>
      <c r="I2001" s="1" t="s">
        <v>64</v>
      </c>
      <c r="J2001" s="1"/>
      <c r="K2001" s="1"/>
      <c r="L2001" s="2" t="s">
        <v>5485</v>
      </c>
      <c r="M2001" s="1"/>
      <c r="N2001" s="1"/>
      <c r="O2001" s="1"/>
      <c r="P2001" s="1"/>
      <c r="Q2001" s="1"/>
      <c r="R2001" s="1"/>
      <c r="S2001" s="1"/>
      <c r="T2001" s="1"/>
      <c r="U2001" s="1"/>
      <c r="V2001" s="1"/>
      <c r="W2001" s="1"/>
      <c r="X2001" s="1"/>
      <c r="Y2001" s="1"/>
      <c r="Z2001" s="1"/>
    </row>
    <row r="2002" spans="1:26" ht="33.75" customHeight="1">
      <c r="A2002" s="1">
        <v>2322</v>
      </c>
      <c r="B2002" s="1" t="s">
        <v>5486</v>
      </c>
      <c r="C2002" s="1" t="s">
        <v>5217</v>
      </c>
      <c r="D2002" s="4">
        <v>40001.490972222222</v>
      </c>
      <c r="E2002" s="1" t="s">
        <v>1089</v>
      </c>
      <c r="F2002" s="1"/>
      <c r="G2002" s="5" t="s">
        <v>64</v>
      </c>
      <c r="H2002" s="1"/>
      <c r="I2002" s="1" t="s">
        <v>64</v>
      </c>
      <c r="J2002" s="1"/>
      <c r="K2002" s="1"/>
      <c r="L2002" s="2" t="s">
        <v>5487</v>
      </c>
      <c r="M2002" s="1"/>
      <c r="N2002" s="1"/>
      <c r="O2002" s="1"/>
      <c r="P2002" s="1"/>
      <c r="Q2002" s="1"/>
      <c r="R2002" s="1"/>
      <c r="S2002" s="1"/>
      <c r="T2002" s="1"/>
      <c r="U2002" s="1"/>
      <c r="V2002" s="1"/>
      <c r="W2002" s="1"/>
      <c r="X2002" s="1"/>
      <c r="Y2002" s="1"/>
      <c r="Z2002" s="1"/>
    </row>
    <row r="2003" spans="1:26" ht="33.75" customHeight="1">
      <c r="A2003" s="1">
        <v>2323</v>
      </c>
      <c r="B2003" s="1" t="s">
        <v>5488</v>
      </c>
      <c r="C2003" s="1" t="s">
        <v>5217</v>
      </c>
      <c r="D2003" s="4">
        <v>40001.542361111111</v>
      </c>
      <c r="E2003" s="1" t="s">
        <v>54</v>
      </c>
      <c r="F2003" s="1"/>
      <c r="G2003" s="5" t="s">
        <v>26</v>
      </c>
      <c r="H2003" s="5" t="s">
        <v>27</v>
      </c>
      <c r="I2003" s="1" t="s">
        <v>28</v>
      </c>
      <c r="J2003" s="1" t="s">
        <v>259</v>
      </c>
      <c r="K2003" s="1"/>
      <c r="L2003" s="2" t="s">
        <v>5489</v>
      </c>
      <c r="M2003" s="1"/>
      <c r="N2003" s="1"/>
      <c r="O2003" s="1"/>
      <c r="P2003" s="1"/>
      <c r="Q2003" s="1"/>
      <c r="R2003" s="1"/>
      <c r="S2003" s="1"/>
      <c r="T2003" s="1"/>
      <c r="U2003" s="1"/>
      <c r="V2003" s="1"/>
      <c r="W2003" s="1"/>
      <c r="X2003" s="1"/>
      <c r="Y2003" s="1"/>
      <c r="Z2003" s="1"/>
    </row>
    <row r="2004" spans="1:26" ht="33.75" customHeight="1">
      <c r="A2004" s="1">
        <v>2324</v>
      </c>
      <c r="B2004" s="1" t="s">
        <v>5490</v>
      </c>
      <c r="C2004" s="1" t="s">
        <v>5217</v>
      </c>
      <c r="D2004" s="4">
        <v>40001.555555555555</v>
      </c>
      <c r="E2004" s="1" t="s">
        <v>54</v>
      </c>
      <c r="F2004" s="1"/>
      <c r="G2004" s="5" t="s">
        <v>64</v>
      </c>
      <c r="H2004" s="1"/>
      <c r="I2004" s="1" t="s">
        <v>64</v>
      </c>
      <c r="J2004" s="1"/>
      <c r="K2004" s="1"/>
      <c r="L2004" s="2" t="s">
        <v>5491</v>
      </c>
      <c r="M2004" s="1"/>
      <c r="N2004" s="1"/>
      <c r="O2004" s="1"/>
      <c r="P2004" s="1"/>
      <c r="Q2004" s="1"/>
      <c r="R2004" s="1"/>
      <c r="S2004" s="1"/>
      <c r="T2004" s="1"/>
      <c r="U2004" s="1"/>
      <c r="V2004" s="1"/>
      <c r="W2004" s="1"/>
      <c r="X2004" s="1"/>
      <c r="Y2004" s="1"/>
      <c r="Z2004" s="1"/>
    </row>
    <row r="2005" spans="1:26" ht="33.75" customHeight="1">
      <c r="A2005" s="1">
        <v>2325</v>
      </c>
      <c r="B2005" s="1" t="s">
        <v>5492</v>
      </c>
      <c r="C2005" s="1" t="s">
        <v>5217</v>
      </c>
      <c r="D2005" s="4">
        <v>40001.56527777778</v>
      </c>
      <c r="E2005" s="1" t="s">
        <v>54</v>
      </c>
      <c r="F2005" s="1"/>
      <c r="G2005" s="5" t="s">
        <v>64</v>
      </c>
      <c r="H2005" s="1"/>
      <c r="I2005" s="1" t="s">
        <v>64</v>
      </c>
      <c r="J2005" s="1"/>
      <c r="K2005" s="1"/>
      <c r="L2005" s="2" t="s">
        <v>5493</v>
      </c>
      <c r="M2005" s="1"/>
      <c r="N2005" s="1"/>
      <c r="O2005" s="1"/>
      <c r="P2005" s="1"/>
      <c r="Q2005" s="1"/>
      <c r="R2005" s="1"/>
      <c r="S2005" s="1"/>
      <c r="T2005" s="1"/>
      <c r="U2005" s="1"/>
      <c r="V2005" s="1"/>
      <c r="W2005" s="1"/>
      <c r="X2005" s="1"/>
      <c r="Y2005" s="1"/>
      <c r="Z2005" s="1"/>
    </row>
    <row r="2006" spans="1:26" ht="33.75" customHeight="1">
      <c r="A2006" s="1">
        <v>2326</v>
      </c>
      <c r="B2006" s="1" t="s">
        <v>5494</v>
      </c>
      <c r="C2006" s="1" t="s">
        <v>5217</v>
      </c>
      <c r="D2006" s="4">
        <v>40001.569444444445</v>
      </c>
      <c r="E2006" s="1" t="s">
        <v>54</v>
      </c>
      <c r="F2006" s="1"/>
      <c r="G2006" s="5" t="s">
        <v>64</v>
      </c>
      <c r="H2006" s="1"/>
      <c r="I2006" s="1" t="s">
        <v>64</v>
      </c>
      <c r="J2006" s="1"/>
      <c r="K2006" s="1"/>
      <c r="L2006" s="2" t="s">
        <v>5495</v>
      </c>
      <c r="M2006" s="1"/>
      <c r="N2006" s="1"/>
      <c r="O2006" s="1"/>
      <c r="P2006" s="1"/>
      <c r="Q2006" s="1"/>
      <c r="R2006" s="1"/>
      <c r="S2006" s="1"/>
      <c r="T2006" s="1"/>
      <c r="U2006" s="1"/>
      <c r="V2006" s="1"/>
      <c r="W2006" s="1"/>
      <c r="X2006" s="1"/>
      <c r="Y2006" s="1"/>
      <c r="Z2006" s="1"/>
    </row>
    <row r="2007" spans="1:26" ht="33.75" customHeight="1">
      <c r="A2007" s="1">
        <v>2327</v>
      </c>
      <c r="B2007" s="1" t="s">
        <v>5496</v>
      </c>
      <c r="C2007" s="1" t="s">
        <v>5217</v>
      </c>
      <c r="D2007" s="4">
        <v>40002.250694444447</v>
      </c>
      <c r="E2007" s="1" t="s">
        <v>1089</v>
      </c>
      <c r="F2007" s="1"/>
      <c r="G2007" s="5" t="s">
        <v>26</v>
      </c>
      <c r="H2007" s="5" t="s">
        <v>133</v>
      </c>
      <c r="I2007" s="1" t="s">
        <v>28</v>
      </c>
      <c r="J2007" s="1" t="s">
        <v>134</v>
      </c>
      <c r="K2007" s="1"/>
      <c r="L2007" s="2" t="s">
        <v>5497</v>
      </c>
      <c r="M2007" s="1"/>
      <c r="N2007" s="1"/>
      <c r="O2007" s="1"/>
      <c r="P2007" s="1"/>
      <c r="Q2007" s="1"/>
      <c r="R2007" s="1"/>
      <c r="S2007" s="1"/>
      <c r="T2007" s="1"/>
      <c r="U2007" s="1"/>
      <c r="V2007" s="1"/>
      <c r="W2007" s="1"/>
      <c r="X2007" s="1"/>
      <c r="Y2007" s="1"/>
      <c r="Z2007" s="1"/>
    </row>
    <row r="2008" spans="1:26" ht="33.75" customHeight="1">
      <c r="A2008" s="1">
        <v>2328</v>
      </c>
      <c r="B2008" s="1" t="s">
        <v>5498</v>
      </c>
      <c r="C2008" s="1" t="s">
        <v>5217</v>
      </c>
      <c r="D2008" s="4">
        <v>40002.442361111112</v>
      </c>
      <c r="E2008" s="1" t="s">
        <v>772</v>
      </c>
      <c r="F2008" s="1"/>
      <c r="G2008" s="5" t="s">
        <v>64</v>
      </c>
      <c r="H2008" s="1"/>
      <c r="I2008" s="1" t="s">
        <v>64</v>
      </c>
      <c r="J2008" s="1"/>
      <c r="K2008" s="1"/>
      <c r="L2008" s="2" t="s">
        <v>5499</v>
      </c>
      <c r="M2008" s="1"/>
      <c r="N2008" s="1"/>
      <c r="O2008" s="1"/>
      <c r="P2008" s="1"/>
      <c r="Q2008" s="1"/>
      <c r="R2008" s="1"/>
      <c r="S2008" s="1"/>
      <c r="T2008" s="1"/>
      <c r="U2008" s="1"/>
      <c r="V2008" s="1"/>
      <c r="W2008" s="1"/>
      <c r="X2008" s="1"/>
      <c r="Y2008" s="1"/>
      <c r="Z2008" s="1"/>
    </row>
    <row r="2009" spans="1:26" ht="33.75" customHeight="1">
      <c r="A2009" s="1">
        <v>2329</v>
      </c>
      <c r="B2009" s="1" t="s">
        <v>5500</v>
      </c>
      <c r="C2009" s="1" t="s">
        <v>5217</v>
      </c>
      <c r="D2009" s="4">
        <v>40002.448611111111</v>
      </c>
      <c r="E2009" s="1" t="s">
        <v>772</v>
      </c>
      <c r="F2009" s="1" t="s">
        <v>5498</v>
      </c>
      <c r="G2009" s="5" t="s">
        <v>64</v>
      </c>
      <c r="H2009" s="5" t="s">
        <v>282</v>
      </c>
      <c r="I2009" s="1" t="s">
        <v>283</v>
      </c>
      <c r="J2009" s="1"/>
      <c r="K2009" s="1"/>
      <c r="L2009" s="2" t="s">
        <v>5501</v>
      </c>
      <c r="M2009" s="1"/>
      <c r="N2009" s="1"/>
      <c r="O2009" s="1"/>
      <c r="P2009" s="1"/>
      <c r="Q2009" s="1"/>
      <c r="R2009" s="1"/>
      <c r="S2009" s="1"/>
      <c r="T2009" s="1"/>
      <c r="U2009" s="1"/>
      <c r="V2009" s="1"/>
      <c r="W2009" s="1"/>
      <c r="X2009" s="1"/>
      <c r="Y2009" s="1"/>
      <c r="Z2009" s="1"/>
    </row>
    <row r="2010" spans="1:26" ht="33.75" customHeight="1">
      <c r="A2010" s="1">
        <v>2330</v>
      </c>
      <c r="B2010" s="1" t="s">
        <v>5502</v>
      </c>
      <c r="C2010" s="1" t="s">
        <v>5217</v>
      </c>
      <c r="D2010" s="4">
        <v>40002.470833333333</v>
      </c>
      <c r="E2010" s="1" t="s">
        <v>54</v>
      </c>
      <c r="F2010" s="1"/>
      <c r="G2010" s="5" t="s">
        <v>64</v>
      </c>
      <c r="H2010" s="1"/>
      <c r="I2010" s="1" t="s">
        <v>64</v>
      </c>
      <c r="J2010" s="1"/>
      <c r="K2010" s="1"/>
      <c r="L2010" s="2" t="s">
        <v>5503</v>
      </c>
      <c r="M2010" s="1"/>
      <c r="N2010" s="1"/>
      <c r="O2010" s="1"/>
      <c r="P2010" s="1"/>
      <c r="Q2010" s="1"/>
      <c r="R2010" s="1"/>
      <c r="S2010" s="1"/>
      <c r="T2010" s="1"/>
      <c r="U2010" s="1"/>
      <c r="V2010" s="1"/>
      <c r="W2010" s="1"/>
      <c r="X2010" s="1"/>
      <c r="Y2010" s="1"/>
      <c r="Z2010" s="1"/>
    </row>
    <row r="2011" spans="1:26" ht="33.75" customHeight="1">
      <c r="A2011" s="1">
        <v>2331</v>
      </c>
      <c r="B2011" s="1" t="s">
        <v>5504</v>
      </c>
      <c r="C2011" s="1" t="s">
        <v>5217</v>
      </c>
      <c r="D2011" s="4">
        <v>40002.477083333331</v>
      </c>
      <c r="E2011" s="1" t="s">
        <v>772</v>
      </c>
      <c r="F2011" s="1" t="s">
        <v>5505</v>
      </c>
      <c r="G2011" s="5" t="s">
        <v>64</v>
      </c>
      <c r="H2011" s="5" t="s">
        <v>282</v>
      </c>
      <c r="I2011" s="1" t="s">
        <v>283</v>
      </c>
      <c r="J2011" s="1"/>
      <c r="K2011" s="1"/>
      <c r="L2011" s="2" t="s">
        <v>5506</v>
      </c>
      <c r="M2011" s="1"/>
      <c r="N2011" s="1"/>
      <c r="O2011" s="1"/>
      <c r="P2011" s="1"/>
      <c r="Q2011" s="1"/>
      <c r="R2011" s="1"/>
      <c r="S2011" s="1"/>
      <c r="T2011" s="1"/>
      <c r="U2011" s="1"/>
      <c r="V2011" s="1"/>
      <c r="W2011" s="1"/>
      <c r="X2011" s="1"/>
      <c r="Y2011" s="1"/>
      <c r="Z2011" s="1"/>
    </row>
    <row r="2012" spans="1:26" ht="33.75" customHeight="1">
      <c r="A2012" s="1">
        <v>2332</v>
      </c>
      <c r="B2012" s="1" t="s">
        <v>5507</v>
      </c>
      <c r="C2012" s="1" t="s">
        <v>5217</v>
      </c>
      <c r="D2012" s="4">
        <v>40002.496527777781</v>
      </c>
      <c r="E2012" s="1" t="s">
        <v>772</v>
      </c>
      <c r="F2012" s="1" t="s">
        <v>5505</v>
      </c>
      <c r="G2012" s="5" t="s">
        <v>64</v>
      </c>
      <c r="H2012" s="5" t="s">
        <v>282</v>
      </c>
      <c r="I2012" s="1" t="s">
        <v>283</v>
      </c>
      <c r="J2012" s="1"/>
      <c r="K2012" s="1" t="s">
        <v>5508</v>
      </c>
      <c r="L2012" s="2" t="s">
        <v>5509</v>
      </c>
      <c r="M2012" s="1"/>
      <c r="N2012" s="1"/>
      <c r="O2012" s="1"/>
      <c r="P2012" s="1"/>
      <c r="Q2012" s="1"/>
      <c r="R2012" s="1"/>
      <c r="S2012" s="1"/>
      <c r="T2012" s="1"/>
      <c r="U2012" s="1"/>
      <c r="V2012" s="1"/>
      <c r="W2012" s="1"/>
      <c r="X2012" s="1"/>
      <c r="Y2012" s="1"/>
      <c r="Z2012" s="1"/>
    </row>
    <row r="2013" spans="1:26" ht="33.75" customHeight="1">
      <c r="A2013" s="1">
        <v>2333</v>
      </c>
      <c r="B2013" s="1" t="s">
        <v>5510</v>
      </c>
      <c r="C2013" s="1" t="s">
        <v>5217</v>
      </c>
      <c r="D2013" s="4">
        <v>40003.165972222225</v>
      </c>
      <c r="E2013" s="1" t="s">
        <v>1089</v>
      </c>
      <c r="F2013" s="1"/>
      <c r="G2013" s="5" t="s">
        <v>64</v>
      </c>
      <c r="H2013" s="1"/>
      <c r="I2013" s="1" t="s">
        <v>64</v>
      </c>
      <c r="J2013" s="1"/>
      <c r="K2013" s="1" t="s">
        <v>5511</v>
      </c>
      <c r="L2013" s="2" t="s">
        <v>5512</v>
      </c>
      <c r="M2013" s="1"/>
      <c r="N2013" s="1"/>
      <c r="O2013" s="1"/>
      <c r="P2013" s="1"/>
      <c r="Q2013" s="1"/>
      <c r="R2013" s="1"/>
      <c r="S2013" s="1"/>
      <c r="T2013" s="1"/>
      <c r="U2013" s="1"/>
      <c r="V2013" s="1"/>
      <c r="W2013" s="1"/>
      <c r="X2013" s="1"/>
      <c r="Y2013" s="1"/>
      <c r="Z2013" s="1"/>
    </row>
    <row r="2014" spans="1:26" ht="33.75" customHeight="1">
      <c r="A2014" s="1">
        <v>2384</v>
      </c>
      <c r="B2014" s="1" t="s">
        <v>5513</v>
      </c>
      <c r="C2014" s="1" t="s">
        <v>5514</v>
      </c>
      <c r="D2014" s="4">
        <v>40003.385416666664</v>
      </c>
      <c r="E2014" s="1" t="s">
        <v>54</v>
      </c>
      <c r="F2014" s="1" t="s">
        <v>5515</v>
      </c>
      <c r="G2014" s="5" t="s">
        <v>64</v>
      </c>
      <c r="H2014" s="1"/>
      <c r="I2014" s="1" t="s">
        <v>64</v>
      </c>
      <c r="J2014" s="1"/>
      <c r="K2014" s="1"/>
      <c r="L2014" s="2" t="s">
        <v>5516</v>
      </c>
      <c r="M2014" s="1"/>
      <c r="N2014" s="1"/>
      <c r="O2014" s="1"/>
      <c r="P2014" s="1"/>
      <c r="Q2014" s="1"/>
      <c r="R2014" s="1"/>
      <c r="S2014" s="1"/>
      <c r="T2014" s="1"/>
      <c r="U2014" s="1"/>
      <c r="V2014" s="1"/>
      <c r="W2014" s="1"/>
      <c r="X2014" s="1"/>
      <c r="Y2014" s="1"/>
      <c r="Z2014" s="1"/>
    </row>
    <row r="2015" spans="1:26" ht="33.75" customHeight="1">
      <c r="A2015" s="1">
        <v>2385</v>
      </c>
      <c r="B2015" s="1" t="s">
        <v>5517</v>
      </c>
      <c r="C2015" s="1" t="s">
        <v>5514</v>
      </c>
      <c r="D2015" s="4">
        <v>40003.515972222223</v>
      </c>
      <c r="E2015" s="1" t="s">
        <v>772</v>
      </c>
      <c r="F2015" s="1" t="s">
        <v>5513</v>
      </c>
      <c r="G2015" s="5" t="s">
        <v>64</v>
      </c>
      <c r="H2015" s="1"/>
      <c r="I2015" s="1" t="s">
        <v>64</v>
      </c>
      <c r="J2015" s="1"/>
      <c r="K2015" s="1"/>
      <c r="L2015" s="2" t="s">
        <v>5518</v>
      </c>
      <c r="M2015" s="1"/>
      <c r="N2015" s="1"/>
      <c r="O2015" s="1"/>
      <c r="P2015" s="1"/>
      <c r="Q2015" s="1"/>
      <c r="R2015" s="1"/>
      <c r="S2015" s="1"/>
      <c r="T2015" s="1"/>
      <c r="U2015" s="1"/>
      <c r="V2015" s="1"/>
      <c r="W2015" s="1"/>
      <c r="X2015" s="1"/>
      <c r="Y2015" s="1"/>
      <c r="Z2015" s="1"/>
    </row>
    <row r="2016" spans="1:26" ht="33.75" customHeight="1">
      <c r="A2016" s="1">
        <v>2386</v>
      </c>
      <c r="B2016" s="1" t="s">
        <v>5519</v>
      </c>
      <c r="C2016" s="1" t="s">
        <v>5514</v>
      </c>
      <c r="D2016" s="4">
        <v>40003.602083333331</v>
      </c>
      <c r="E2016" s="1" t="s">
        <v>54</v>
      </c>
      <c r="F2016" s="1" t="s">
        <v>5517</v>
      </c>
      <c r="G2016" s="5" t="s">
        <v>33</v>
      </c>
      <c r="H2016" s="5" t="s">
        <v>34</v>
      </c>
      <c r="I2016" s="1" t="s">
        <v>1605</v>
      </c>
      <c r="J2016" s="1"/>
      <c r="K2016" s="1" t="s">
        <v>5520</v>
      </c>
      <c r="L2016" s="2" t="s">
        <v>5521</v>
      </c>
      <c r="M2016" s="1"/>
      <c r="N2016" s="1"/>
      <c r="O2016" s="1"/>
      <c r="P2016" s="1"/>
      <c r="Q2016" s="1"/>
      <c r="R2016" s="1"/>
      <c r="S2016" s="1"/>
      <c r="T2016" s="1"/>
      <c r="U2016" s="1"/>
      <c r="V2016" s="1"/>
      <c r="W2016" s="1"/>
      <c r="X2016" s="1"/>
      <c r="Y2016" s="1"/>
      <c r="Z2016" s="1"/>
    </row>
    <row r="2017" spans="1:26" ht="33.75" customHeight="1">
      <c r="A2017" s="1">
        <v>1585</v>
      </c>
      <c r="B2017" s="1" t="s">
        <v>12</v>
      </c>
      <c r="C2017" s="1" t="s">
        <v>5514</v>
      </c>
      <c r="D2017" s="4">
        <v>40003.686296296299</v>
      </c>
      <c r="E2017" s="1" t="s">
        <v>175</v>
      </c>
      <c r="F2017" s="1"/>
      <c r="G2017" s="5" t="s">
        <v>64</v>
      </c>
      <c r="H2017" s="5" t="s">
        <v>65</v>
      </c>
      <c r="I2017" s="1" t="s">
        <v>886</v>
      </c>
      <c r="J2017" s="1"/>
      <c r="K2017" s="1" t="s">
        <v>5522</v>
      </c>
      <c r="L2017" s="2" t="s">
        <v>5523</v>
      </c>
      <c r="M2017" s="1"/>
      <c r="N2017" s="1"/>
      <c r="O2017" s="1"/>
      <c r="P2017" s="1"/>
      <c r="Q2017" s="1"/>
      <c r="R2017" s="1"/>
      <c r="S2017" s="1"/>
      <c r="T2017" s="1"/>
      <c r="U2017" s="1"/>
      <c r="V2017" s="1"/>
      <c r="W2017" s="1"/>
      <c r="X2017" s="1"/>
      <c r="Y2017" s="1"/>
      <c r="Z2017" s="1"/>
    </row>
    <row r="2018" spans="1:26" ht="33.75" customHeight="1">
      <c r="A2018" s="1">
        <v>2281</v>
      </c>
      <c r="B2018" s="1" t="s">
        <v>5524</v>
      </c>
      <c r="C2018" s="1" t="s">
        <v>5217</v>
      </c>
      <c r="D2018" s="4">
        <v>40003.843055555553</v>
      </c>
      <c r="E2018" s="1" t="s">
        <v>1089</v>
      </c>
      <c r="F2018" s="1"/>
      <c r="G2018" s="5" t="s">
        <v>26</v>
      </c>
      <c r="H2018" s="5" t="s">
        <v>27</v>
      </c>
      <c r="I2018" s="1" t="s">
        <v>28</v>
      </c>
      <c r="J2018" s="1" t="s">
        <v>29</v>
      </c>
      <c r="K2018" s="1" t="s">
        <v>5525</v>
      </c>
      <c r="L2018" s="2" t="s">
        <v>5526</v>
      </c>
      <c r="M2018" s="1"/>
      <c r="N2018" s="1"/>
      <c r="O2018" s="1"/>
      <c r="P2018" s="1"/>
      <c r="Q2018" s="1"/>
      <c r="R2018" s="1"/>
      <c r="S2018" s="1"/>
      <c r="T2018" s="1"/>
      <c r="U2018" s="1"/>
      <c r="V2018" s="1"/>
      <c r="W2018" s="1"/>
      <c r="X2018" s="1"/>
      <c r="Y2018" s="1"/>
      <c r="Z2018" s="1"/>
    </row>
    <row r="2019" spans="1:26" ht="33.75" customHeight="1">
      <c r="A2019" s="1">
        <v>2387</v>
      </c>
      <c r="B2019" s="1" t="s">
        <v>5527</v>
      </c>
      <c r="C2019" s="1" t="s">
        <v>5514</v>
      </c>
      <c r="D2019" s="4">
        <v>40003.84652777778</v>
      </c>
      <c r="E2019" s="1" t="s">
        <v>1089</v>
      </c>
      <c r="F2019" s="1"/>
      <c r="G2019" s="5" t="s">
        <v>64</v>
      </c>
      <c r="H2019" s="5" t="s">
        <v>179</v>
      </c>
      <c r="I2019" s="1" t="s">
        <v>179</v>
      </c>
      <c r="J2019" s="1"/>
      <c r="K2019" s="1" t="s">
        <v>5528</v>
      </c>
      <c r="L2019" s="2" t="s">
        <v>5529</v>
      </c>
      <c r="M2019" s="1"/>
      <c r="N2019" s="1"/>
      <c r="O2019" s="1"/>
      <c r="P2019" s="1"/>
      <c r="Q2019" s="1"/>
      <c r="R2019" s="1"/>
      <c r="S2019" s="1"/>
      <c r="T2019" s="1"/>
      <c r="U2019" s="1"/>
      <c r="V2019" s="1"/>
      <c r="W2019" s="1"/>
      <c r="X2019" s="1"/>
      <c r="Y2019" s="1"/>
      <c r="Z2019" s="1"/>
    </row>
    <row r="2020" spans="1:26" ht="33.75" customHeight="1">
      <c r="A2020" s="1">
        <v>2388</v>
      </c>
      <c r="B2020" s="1" t="s">
        <v>5530</v>
      </c>
      <c r="C2020" s="1" t="s">
        <v>5514</v>
      </c>
      <c r="D2020" s="4">
        <v>40003.954861111109</v>
      </c>
      <c r="E2020" s="1" t="s">
        <v>54</v>
      </c>
      <c r="F2020" s="1"/>
      <c r="G2020" s="5" t="s">
        <v>64</v>
      </c>
      <c r="H2020" s="5" t="s">
        <v>3663</v>
      </c>
      <c r="I2020" s="1" t="s">
        <v>3664</v>
      </c>
      <c r="J2020" s="1" t="s">
        <v>4847</v>
      </c>
      <c r="K2020" s="1"/>
      <c r="L2020" s="2" t="s">
        <v>5531</v>
      </c>
      <c r="M2020" s="1"/>
      <c r="N2020" s="1"/>
      <c r="O2020" s="1"/>
      <c r="P2020" s="1"/>
      <c r="Q2020" s="1"/>
      <c r="R2020" s="1"/>
      <c r="S2020" s="1"/>
      <c r="T2020" s="1"/>
      <c r="U2020" s="1"/>
      <c r="V2020" s="1"/>
      <c r="W2020" s="1"/>
      <c r="X2020" s="1"/>
      <c r="Y2020" s="1"/>
      <c r="Z2020" s="1"/>
    </row>
    <row r="2021" spans="1:26" ht="33.75" customHeight="1">
      <c r="A2021" s="1">
        <v>2389</v>
      </c>
      <c r="B2021" s="1" t="s">
        <v>5532</v>
      </c>
      <c r="C2021" s="1" t="s">
        <v>5514</v>
      </c>
      <c r="D2021" s="4">
        <v>40004.465277777781</v>
      </c>
      <c r="E2021" s="1" t="s">
        <v>772</v>
      </c>
      <c r="F2021" s="1"/>
      <c r="G2021" s="5" t="s">
        <v>15</v>
      </c>
      <c r="H2021" s="5" t="s">
        <v>150</v>
      </c>
      <c r="I2021" s="1" t="s">
        <v>315</v>
      </c>
      <c r="J2021" s="1" t="s">
        <v>722</v>
      </c>
      <c r="K2021" s="1" t="s">
        <v>5533</v>
      </c>
      <c r="L2021" s="2" t="s">
        <v>5534</v>
      </c>
      <c r="M2021" s="1"/>
      <c r="N2021" s="1"/>
      <c r="O2021" s="1"/>
      <c r="P2021" s="1"/>
      <c r="Q2021" s="1"/>
      <c r="R2021" s="1"/>
      <c r="S2021" s="1"/>
      <c r="T2021" s="1"/>
      <c r="U2021" s="1"/>
      <c r="V2021" s="1"/>
      <c r="W2021" s="1"/>
      <c r="X2021" s="1"/>
      <c r="Y2021" s="1"/>
      <c r="Z2021" s="1"/>
    </row>
    <row r="2022" spans="1:26" ht="33.75" customHeight="1">
      <c r="A2022" s="1">
        <v>2390</v>
      </c>
      <c r="B2022" s="1" t="s">
        <v>5535</v>
      </c>
      <c r="C2022" s="1" t="s">
        <v>5514</v>
      </c>
      <c r="D2022" s="4">
        <v>40004.804166666669</v>
      </c>
      <c r="E2022" s="1" t="s">
        <v>772</v>
      </c>
      <c r="F2022" s="1"/>
      <c r="G2022" s="5" t="s">
        <v>15</v>
      </c>
      <c r="H2022" s="5" t="s">
        <v>150</v>
      </c>
      <c r="I2022" s="1" t="s">
        <v>315</v>
      </c>
      <c r="J2022" s="1" t="s">
        <v>722</v>
      </c>
      <c r="K2022" s="1" t="s">
        <v>5536</v>
      </c>
      <c r="L2022" s="2" t="s">
        <v>5537</v>
      </c>
      <c r="M2022" s="1"/>
      <c r="N2022" s="1"/>
      <c r="O2022" s="1"/>
      <c r="P2022" s="1"/>
      <c r="Q2022" s="1"/>
      <c r="R2022" s="1"/>
      <c r="S2022" s="1"/>
      <c r="T2022" s="1"/>
      <c r="U2022" s="1"/>
      <c r="V2022" s="1"/>
      <c r="W2022" s="1"/>
      <c r="X2022" s="1"/>
      <c r="Y2022" s="1"/>
      <c r="Z2022" s="1"/>
    </row>
    <row r="2023" spans="1:26" ht="33.75" customHeight="1">
      <c r="A2023" s="1">
        <v>2391</v>
      </c>
      <c r="B2023" s="1" t="s">
        <v>5538</v>
      </c>
      <c r="C2023" s="1" t="s">
        <v>5514</v>
      </c>
      <c r="D2023" s="4">
        <v>40004.872916666667</v>
      </c>
      <c r="E2023" s="1" t="s">
        <v>54</v>
      </c>
      <c r="F2023" s="1" t="s">
        <v>5535</v>
      </c>
      <c r="G2023" s="5" t="s">
        <v>26</v>
      </c>
      <c r="H2023" s="5" t="s">
        <v>27</v>
      </c>
      <c r="I2023" s="1" t="s">
        <v>28</v>
      </c>
      <c r="J2023" s="1" t="s">
        <v>259</v>
      </c>
      <c r="K2023" s="1"/>
      <c r="L2023" s="2" t="s">
        <v>5539</v>
      </c>
      <c r="M2023" s="1"/>
      <c r="N2023" s="1"/>
      <c r="O2023" s="1"/>
      <c r="P2023" s="1"/>
      <c r="Q2023" s="1"/>
      <c r="R2023" s="1"/>
      <c r="S2023" s="1"/>
      <c r="T2023" s="1"/>
      <c r="U2023" s="1"/>
      <c r="V2023" s="1"/>
      <c r="W2023" s="1"/>
      <c r="X2023" s="1"/>
      <c r="Y2023" s="1"/>
      <c r="Z2023" s="1"/>
    </row>
    <row r="2024" spans="1:26" ht="33.75" customHeight="1">
      <c r="A2024" s="1">
        <v>2392</v>
      </c>
      <c r="B2024" s="1" t="s">
        <v>5540</v>
      </c>
      <c r="C2024" s="1" t="s">
        <v>5514</v>
      </c>
      <c r="D2024" s="4">
        <v>40005.379861111112</v>
      </c>
      <c r="E2024" s="1" t="s">
        <v>772</v>
      </c>
      <c r="F2024" s="1"/>
      <c r="G2024" s="5" t="s">
        <v>64</v>
      </c>
      <c r="H2024" s="5" t="s">
        <v>3663</v>
      </c>
      <c r="I2024" s="1" t="s">
        <v>3664</v>
      </c>
      <c r="J2024" s="1" t="s">
        <v>4847</v>
      </c>
      <c r="K2024" s="1"/>
      <c r="L2024" s="2" t="s">
        <v>5541</v>
      </c>
      <c r="M2024" s="1"/>
      <c r="N2024" s="1"/>
      <c r="O2024" s="1"/>
      <c r="P2024" s="1"/>
      <c r="Q2024" s="1"/>
      <c r="R2024" s="1"/>
      <c r="S2024" s="1"/>
      <c r="T2024" s="1"/>
      <c r="U2024" s="1"/>
      <c r="V2024" s="1"/>
      <c r="W2024" s="1"/>
      <c r="X2024" s="1"/>
      <c r="Y2024" s="1"/>
      <c r="Z2024" s="1"/>
    </row>
    <row r="2025" spans="1:26" ht="33.75" customHeight="1">
      <c r="A2025" s="1">
        <v>2394</v>
      </c>
      <c r="B2025" s="1" t="s">
        <v>5542</v>
      </c>
      <c r="C2025" s="1" t="s">
        <v>5514</v>
      </c>
      <c r="D2025" s="4">
        <v>40014.205555555556</v>
      </c>
      <c r="E2025" s="1" t="s">
        <v>1089</v>
      </c>
      <c r="F2025" s="1"/>
      <c r="G2025" s="5" t="s">
        <v>64</v>
      </c>
      <c r="H2025" s="5" t="s">
        <v>431</v>
      </c>
      <c r="I2025" s="1" t="s">
        <v>5074</v>
      </c>
      <c r="J2025" s="1"/>
      <c r="K2025" s="1"/>
      <c r="L2025" s="2" t="s">
        <v>5543</v>
      </c>
      <c r="M2025" s="1"/>
      <c r="N2025" s="1"/>
      <c r="O2025" s="1"/>
      <c r="P2025" s="1"/>
      <c r="Q2025" s="1"/>
      <c r="R2025" s="1"/>
      <c r="S2025" s="1"/>
      <c r="T2025" s="1"/>
      <c r="U2025" s="1"/>
      <c r="V2025" s="1"/>
      <c r="W2025" s="1"/>
      <c r="X2025" s="1"/>
      <c r="Y2025" s="1"/>
      <c r="Z2025" s="1"/>
    </row>
    <row r="2026" spans="1:26" ht="33.75" customHeight="1">
      <c r="A2026" s="1">
        <v>2395</v>
      </c>
      <c r="B2026" s="1" t="s">
        <v>5544</v>
      </c>
      <c r="C2026" s="1" t="s">
        <v>5514</v>
      </c>
      <c r="D2026" s="4">
        <v>40014.223611111112</v>
      </c>
      <c r="E2026" s="1" t="s">
        <v>54</v>
      </c>
      <c r="F2026" s="1" t="s">
        <v>5542</v>
      </c>
      <c r="G2026" s="5" t="s">
        <v>26</v>
      </c>
      <c r="H2026" s="5" t="s">
        <v>27</v>
      </c>
      <c r="I2026" s="1" t="s">
        <v>28</v>
      </c>
      <c r="J2026" s="1" t="s">
        <v>259</v>
      </c>
      <c r="K2026" s="1"/>
      <c r="L2026" s="2" t="s">
        <v>5545</v>
      </c>
      <c r="M2026" s="1"/>
      <c r="N2026" s="1"/>
      <c r="O2026" s="1"/>
      <c r="P2026" s="1"/>
      <c r="Q2026" s="1"/>
      <c r="R2026" s="1"/>
      <c r="S2026" s="1"/>
      <c r="T2026" s="1"/>
      <c r="U2026" s="1"/>
      <c r="V2026" s="1"/>
      <c r="W2026" s="1"/>
      <c r="X2026" s="1"/>
      <c r="Y2026" s="1"/>
      <c r="Z2026" s="1"/>
    </row>
    <row r="2027" spans="1:26" ht="33.75" customHeight="1">
      <c r="A2027" s="1">
        <v>2396</v>
      </c>
      <c r="B2027" s="1" t="s">
        <v>5546</v>
      </c>
      <c r="C2027" s="1" t="s">
        <v>5514</v>
      </c>
      <c r="D2027" s="4">
        <v>40019.637499999997</v>
      </c>
      <c r="E2027" s="1" t="s">
        <v>54</v>
      </c>
      <c r="F2027" s="1" t="s">
        <v>5542</v>
      </c>
      <c r="G2027" s="5" t="s">
        <v>64</v>
      </c>
      <c r="H2027" s="5" t="s">
        <v>3663</v>
      </c>
      <c r="I2027" s="1" t="s">
        <v>3664</v>
      </c>
      <c r="J2027" s="1" t="s">
        <v>4847</v>
      </c>
      <c r="K2027" s="1" t="s">
        <v>5547</v>
      </c>
      <c r="L2027" s="2" t="s">
        <v>5548</v>
      </c>
      <c r="M2027" s="1"/>
      <c r="N2027" s="1"/>
      <c r="O2027" s="1"/>
      <c r="P2027" s="1"/>
      <c r="Q2027" s="1"/>
      <c r="R2027" s="1"/>
      <c r="S2027" s="1"/>
      <c r="T2027" s="1"/>
      <c r="U2027" s="1"/>
      <c r="V2027" s="1"/>
      <c r="W2027" s="1"/>
      <c r="X2027" s="1"/>
      <c r="Y2027" s="1"/>
      <c r="Z2027" s="1"/>
    </row>
    <row r="2028" spans="1:26" ht="33.75" customHeight="1">
      <c r="A2028" s="1">
        <v>2397</v>
      </c>
      <c r="B2028" s="1" t="s">
        <v>5549</v>
      </c>
      <c r="C2028" s="1" t="s">
        <v>5514</v>
      </c>
      <c r="D2028" s="4">
        <v>40020.529861111114</v>
      </c>
      <c r="E2028" s="1" t="s">
        <v>772</v>
      </c>
      <c r="F2028" s="1"/>
      <c r="G2028" s="5" t="s">
        <v>64</v>
      </c>
      <c r="H2028" s="5" t="s">
        <v>3663</v>
      </c>
      <c r="I2028" s="1" t="s">
        <v>3664</v>
      </c>
      <c r="J2028" s="1" t="s">
        <v>4847</v>
      </c>
      <c r="K2028" s="1"/>
      <c r="L2028" s="2" t="s">
        <v>5550</v>
      </c>
      <c r="M2028" s="1"/>
      <c r="N2028" s="1"/>
      <c r="O2028" s="1"/>
      <c r="P2028" s="1"/>
      <c r="Q2028" s="1"/>
      <c r="R2028" s="1"/>
      <c r="S2028" s="1"/>
      <c r="T2028" s="1"/>
      <c r="U2028" s="1"/>
      <c r="V2028" s="1"/>
      <c r="W2028" s="1"/>
      <c r="X2028" s="1"/>
      <c r="Y2028" s="1"/>
      <c r="Z2028" s="1"/>
    </row>
    <row r="2029" spans="1:26" ht="33.75" customHeight="1">
      <c r="A2029" s="1">
        <v>2398</v>
      </c>
      <c r="B2029" s="1" t="s">
        <v>5551</v>
      </c>
      <c r="C2029" s="1" t="s">
        <v>5514</v>
      </c>
      <c r="D2029" s="4">
        <v>40021.450694444444</v>
      </c>
      <c r="E2029" s="1" t="s">
        <v>772</v>
      </c>
      <c r="F2029" s="1"/>
      <c r="G2029" s="5" t="s">
        <v>64</v>
      </c>
      <c r="H2029" s="1"/>
      <c r="I2029" s="1" t="s">
        <v>64</v>
      </c>
      <c r="J2029" s="1"/>
      <c r="K2029" s="1" t="s">
        <v>5552</v>
      </c>
      <c r="L2029" s="2" t="s">
        <v>5553</v>
      </c>
      <c r="M2029" s="1"/>
      <c r="N2029" s="1"/>
      <c r="O2029" s="1"/>
      <c r="P2029" s="1"/>
      <c r="Q2029" s="1"/>
      <c r="R2029" s="1"/>
      <c r="S2029" s="1"/>
      <c r="T2029" s="1"/>
      <c r="U2029" s="1"/>
      <c r="V2029" s="1"/>
      <c r="W2029" s="1"/>
      <c r="X2029" s="1"/>
      <c r="Y2029" s="1"/>
      <c r="Z2029" s="1"/>
    </row>
    <row r="2030" spans="1:26" ht="33.75" customHeight="1">
      <c r="A2030" s="1">
        <v>2399</v>
      </c>
      <c r="B2030" s="1" t="s">
        <v>5554</v>
      </c>
      <c r="C2030" s="1" t="s">
        <v>5514</v>
      </c>
      <c r="D2030" s="4">
        <v>40021.587500000001</v>
      </c>
      <c r="E2030" s="1" t="s">
        <v>772</v>
      </c>
      <c r="F2030" s="1" t="s">
        <v>5555</v>
      </c>
      <c r="G2030" s="5" t="s">
        <v>15</v>
      </c>
      <c r="H2030" s="5" t="s">
        <v>150</v>
      </c>
      <c r="I2030" s="1" t="s">
        <v>5556</v>
      </c>
      <c r="J2030" s="1"/>
      <c r="K2030" s="1"/>
      <c r="L2030" s="2" t="s">
        <v>5557</v>
      </c>
      <c r="M2030" s="1"/>
      <c r="N2030" s="1"/>
      <c r="O2030" s="1"/>
      <c r="P2030" s="1"/>
      <c r="Q2030" s="1"/>
      <c r="R2030" s="1"/>
      <c r="S2030" s="1"/>
      <c r="T2030" s="1"/>
      <c r="U2030" s="1"/>
      <c r="V2030" s="1"/>
      <c r="W2030" s="1"/>
      <c r="X2030" s="1"/>
      <c r="Y2030" s="1"/>
      <c r="Z2030" s="1"/>
    </row>
    <row r="2031" spans="1:26" ht="33.75" customHeight="1">
      <c r="A2031" s="1">
        <v>2400</v>
      </c>
      <c r="B2031" s="1" t="s">
        <v>5558</v>
      </c>
      <c r="C2031" s="1" t="s">
        <v>5514</v>
      </c>
      <c r="D2031" s="4">
        <v>40021.789583333331</v>
      </c>
      <c r="E2031" s="1" t="s">
        <v>1089</v>
      </c>
      <c r="F2031" s="1"/>
      <c r="G2031" s="5" t="s">
        <v>15</v>
      </c>
      <c r="H2031" s="5" t="s">
        <v>150</v>
      </c>
      <c r="I2031" s="1" t="s">
        <v>5559</v>
      </c>
      <c r="J2031" s="1"/>
      <c r="K2031" s="1"/>
      <c r="L2031" s="2" t="s">
        <v>5560</v>
      </c>
      <c r="M2031" s="1"/>
      <c r="N2031" s="1"/>
      <c r="O2031" s="1"/>
      <c r="P2031" s="1"/>
      <c r="Q2031" s="1"/>
      <c r="R2031" s="1"/>
      <c r="S2031" s="1"/>
      <c r="T2031" s="1"/>
      <c r="U2031" s="1"/>
      <c r="V2031" s="1"/>
      <c r="W2031" s="1"/>
      <c r="X2031" s="1"/>
      <c r="Y2031" s="1"/>
      <c r="Z2031" s="1"/>
    </row>
    <row r="2032" spans="1:26" ht="33.75" customHeight="1">
      <c r="A2032" s="1">
        <v>2401</v>
      </c>
      <c r="B2032" s="1" t="s">
        <v>5561</v>
      </c>
      <c r="C2032" s="1" t="s">
        <v>5514</v>
      </c>
      <c r="D2032" s="4">
        <v>40021.845833333333</v>
      </c>
      <c r="E2032" s="1" t="s">
        <v>54</v>
      </c>
      <c r="F2032" s="1" t="s">
        <v>5558</v>
      </c>
      <c r="G2032" s="5" t="s">
        <v>15</v>
      </c>
      <c r="H2032" s="5" t="s">
        <v>792</v>
      </c>
      <c r="I2032" s="1" t="s">
        <v>5562</v>
      </c>
      <c r="J2032" s="1"/>
      <c r="K2032" s="1" t="s">
        <v>5563</v>
      </c>
      <c r="L2032" s="2" t="s">
        <v>5564</v>
      </c>
      <c r="M2032" s="1"/>
      <c r="N2032" s="1"/>
      <c r="O2032" s="1"/>
      <c r="P2032" s="1"/>
      <c r="Q2032" s="1"/>
      <c r="R2032" s="1"/>
      <c r="S2032" s="1"/>
      <c r="T2032" s="1"/>
      <c r="U2032" s="1"/>
      <c r="V2032" s="1"/>
      <c r="W2032" s="1"/>
      <c r="X2032" s="1"/>
      <c r="Y2032" s="1"/>
      <c r="Z2032" s="1"/>
    </row>
    <row r="2033" spans="1:26" ht="33.75" customHeight="1">
      <c r="A2033" s="1">
        <v>1546</v>
      </c>
      <c r="B2033" s="1" t="s">
        <v>5565</v>
      </c>
      <c r="C2033" s="1" t="s">
        <v>5412</v>
      </c>
      <c r="D2033" s="4">
        <v>40042.280555555553</v>
      </c>
      <c r="E2033" s="1" t="s">
        <v>760</v>
      </c>
      <c r="F2033" s="1"/>
      <c r="G2033" s="5" t="s">
        <v>64</v>
      </c>
      <c r="H2033" s="5" t="s">
        <v>3663</v>
      </c>
      <c r="I2033" s="1" t="s">
        <v>3664</v>
      </c>
      <c r="J2033" s="1" t="s">
        <v>4993</v>
      </c>
      <c r="K2033" s="1" t="s">
        <v>5566</v>
      </c>
      <c r="L2033" s="2" t="s">
        <v>5567</v>
      </c>
      <c r="M2033" s="1"/>
      <c r="N2033" s="1"/>
      <c r="O2033" s="1"/>
      <c r="P2033" s="1"/>
      <c r="Q2033" s="1"/>
      <c r="R2033" s="1"/>
      <c r="S2033" s="1"/>
      <c r="T2033" s="1"/>
      <c r="U2033" s="1"/>
      <c r="V2033" s="1"/>
      <c r="W2033" s="1"/>
      <c r="X2033" s="1"/>
      <c r="Y2033" s="1"/>
      <c r="Z2033" s="1"/>
    </row>
    <row r="2034" spans="1:26" ht="33.75" customHeight="1">
      <c r="A2034" s="1">
        <v>1547</v>
      </c>
      <c r="B2034" s="1" t="s">
        <v>5568</v>
      </c>
      <c r="C2034" s="1" t="s">
        <v>5412</v>
      </c>
      <c r="D2034" s="4">
        <v>40105.620138888888</v>
      </c>
      <c r="E2034" s="1" t="s">
        <v>320</v>
      </c>
      <c r="F2034" s="1"/>
      <c r="G2034" s="5" t="s">
        <v>64</v>
      </c>
      <c r="H2034" s="5" t="s">
        <v>3663</v>
      </c>
      <c r="I2034" s="1" t="s">
        <v>3664</v>
      </c>
      <c r="J2034" s="1" t="s">
        <v>4847</v>
      </c>
      <c r="K2034" s="1"/>
      <c r="L2034" s="2" t="s">
        <v>5569</v>
      </c>
      <c r="M2034" s="1"/>
      <c r="N2034" s="1"/>
      <c r="O2034" s="1"/>
      <c r="P2034" s="1"/>
      <c r="Q2034" s="1"/>
      <c r="R2034" s="1"/>
      <c r="S2034" s="1"/>
      <c r="T2034" s="1"/>
      <c r="U2034" s="1"/>
      <c r="V2034" s="1"/>
      <c r="W2034" s="1"/>
      <c r="X2034" s="1"/>
      <c r="Y2034" s="1"/>
      <c r="Z2034" s="1"/>
    </row>
    <row r="2035" spans="1:26" ht="33.75" customHeight="1">
      <c r="A2035" s="1">
        <v>17</v>
      </c>
      <c r="B2035" s="1" t="s">
        <v>12</v>
      </c>
      <c r="C2035" s="1" t="s">
        <v>5570</v>
      </c>
      <c r="D2035" s="4">
        <v>40106.569826388892</v>
      </c>
      <c r="E2035" s="1" t="s">
        <v>14</v>
      </c>
      <c r="F2035" s="1"/>
      <c r="G2035" s="5" t="s">
        <v>64</v>
      </c>
      <c r="H2035" s="5" t="s">
        <v>3663</v>
      </c>
      <c r="I2035" s="1" t="s">
        <v>3664</v>
      </c>
      <c r="J2035" s="1" t="s">
        <v>4847</v>
      </c>
      <c r="K2035" s="1"/>
      <c r="L2035" s="2" t="s">
        <v>5571</v>
      </c>
      <c r="M2035" s="1"/>
      <c r="N2035" s="1"/>
      <c r="O2035" s="1"/>
      <c r="P2035" s="1"/>
      <c r="Q2035" s="1"/>
      <c r="R2035" s="1"/>
      <c r="S2035" s="1"/>
      <c r="T2035" s="1"/>
      <c r="U2035" s="1"/>
      <c r="V2035" s="1"/>
      <c r="W2035" s="1"/>
      <c r="X2035" s="1"/>
      <c r="Y2035" s="1"/>
      <c r="Z2035" s="1"/>
    </row>
    <row r="2036" spans="1:26" ht="33.75" customHeight="1">
      <c r="A2036" s="1">
        <v>1548</v>
      </c>
      <c r="B2036" s="1" t="s">
        <v>5572</v>
      </c>
      <c r="C2036" s="1" t="s">
        <v>5412</v>
      </c>
      <c r="D2036" s="4">
        <v>40107.409722222219</v>
      </c>
      <c r="E2036" s="1" t="s">
        <v>381</v>
      </c>
      <c r="F2036" s="1"/>
      <c r="G2036" s="5" t="s">
        <v>64</v>
      </c>
      <c r="H2036" s="5" t="s">
        <v>3663</v>
      </c>
      <c r="I2036" s="1" t="s">
        <v>3664</v>
      </c>
      <c r="J2036" s="1" t="s">
        <v>4993</v>
      </c>
      <c r="K2036" s="1"/>
      <c r="L2036" s="2" t="s">
        <v>5573</v>
      </c>
      <c r="M2036" s="1"/>
      <c r="N2036" s="1"/>
      <c r="O2036" s="1"/>
      <c r="P2036" s="1"/>
      <c r="Q2036" s="1"/>
      <c r="R2036" s="1"/>
      <c r="S2036" s="1"/>
      <c r="T2036" s="1"/>
      <c r="U2036" s="1"/>
      <c r="V2036" s="1"/>
      <c r="W2036" s="1"/>
      <c r="X2036" s="1"/>
      <c r="Y2036" s="1"/>
      <c r="Z2036" s="1"/>
    </row>
    <row r="2037" spans="1:26" ht="33.75" customHeight="1">
      <c r="A2037" s="1">
        <v>1549</v>
      </c>
      <c r="B2037" s="1" t="s">
        <v>5574</v>
      </c>
      <c r="C2037" s="1" t="s">
        <v>5412</v>
      </c>
      <c r="D2037" s="4">
        <v>40107.701388888891</v>
      </c>
      <c r="E2037" s="1" t="s">
        <v>320</v>
      </c>
      <c r="F2037" s="1"/>
      <c r="G2037" s="5" t="s">
        <v>64</v>
      </c>
      <c r="H2037" s="5" t="s">
        <v>3663</v>
      </c>
      <c r="I2037" s="1" t="s">
        <v>3664</v>
      </c>
      <c r="J2037" s="1" t="s">
        <v>4993</v>
      </c>
      <c r="K2037" s="1"/>
      <c r="L2037" s="2" t="s">
        <v>5575</v>
      </c>
      <c r="M2037" s="1"/>
      <c r="N2037" s="1"/>
      <c r="O2037" s="1"/>
      <c r="P2037" s="1"/>
      <c r="Q2037" s="1"/>
      <c r="R2037" s="1"/>
      <c r="S2037" s="1"/>
      <c r="T2037" s="1"/>
      <c r="U2037" s="1"/>
      <c r="V2037" s="1"/>
      <c r="W2037" s="1"/>
      <c r="X2037" s="1"/>
      <c r="Y2037" s="1"/>
      <c r="Z2037" s="1"/>
    </row>
    <row r="2038" spans="1:26" ht="33.75" customHeight="1">
      <c r="A2038" s="1">
        <v>1536</v>
      </c>
      <c r="B2038" s="1" t="s">
        <v>5576</v>
      </c>
      <c r="C2038" s="1" t="s">
        <v>4151</v>
      </c>
      <c r="D2038" s="4">
        <v>40107.832638888889</v>
      </c>
      <c r="E2038" s="1" t="s">
        <v>5577</v>
      </c>
      <c r="F2038" s="1"/>
      <c r="G2038" s="5" t="s">
        <v>15</v>
      </c>
      <c r="H2038" s="5" t="s">
        <v>50</v>
      </c>
      <c r="I2038" s="1" t="s">
        <v>35</v>
      </c>
      <c r="J2038" s="1"/>
      <c r="K2038" s="1"/>
      <c r="L2038" s="2" t="s">
        <v>5578</v>
      </c>
      <c r="M2038" s="1"/>
      <c r="N2038" s="1"/>
      <c r="O2038" s="1"/>
      <c r="P2038" s="1"/>
      <c r="Q2038" s="1"/>
      <c r="R2038" s="1"/>
      <c r="S2038" s="1"/>
      <c r="T2038" s="1"/>
      <c r="U2038" s="1"/>
      <c r="V2038" s="1"/>
      <c r="W2038" s="1"/>
      <c r="X2038" s="1"/>
      <c r="Y2038" s="1"/>
      <c r="Z2038" s="1"/>
    </row>
    <row r="2039" spans="1:26" ht="33.75" customHeight="1">
      <c r="A2039" s="1">
        <v>2408</v>
      </c>
      <c r="B2039" s="1" t="s">
        <v>5579</v>
      </c>
      <c r="C2039" s="1" t="s">
        <v>5580</v>
      </c>
      <c r="D2039" s="4">
        <v>40108.63958333333</v>
      </c>
      <c r="E2039" s="1" t="s">
        <v>1768</v>
      </c>
      <c r="F2039" s="1"/>
      <c r="G2039" s="5" t="s">
        <v>26</v>
      </c>
      <c r="H2039" s="5" t="s">
        <v>27</v>
      </c>
      <c r="I2039" s="1" t="s">
        <v>5581</v>
      </c>
      <c r="J2039" s="1"/>
      <c r="K2039" s="1"/>
      <c r="L2039" s="2" t="s">
        <v>5582</v>
      </c>
      <c r="M2039" s="1"/>
      <c r="N2039" s="1"/>
      <c r="O2039" s="1"/>
      <c r="P2039" s="1"/>
      <c r="Q2039" s="1"/>
      <c r="R2039" s="1"/>
      <c r="S2039" s="1"/>
      <c r="T2039" s="1"/>
      <c r="U2039" s="1"/>
      <c r="V2039" s="1"/>
      <c r="W2039" s="1"/>
      <c r="X2039" s="1"/>
      <c r="Y2039" s="1"/>
      <c r="Z2039" s="1"/>
    </row>
    <row r="2040" spans="1:26" ht="33.75" customHeight="1">
      <c r="A2040" s="1">
        <v>2409</v>
      </c>
      <c r="B2040" s="1" t="s">
        <v>5583</v>
      </c>
      <c r="C2040" s="1" t="s">
        <v>5580</v>
      </c>
      <c r="D2040" s="4">
        <v>40108.645833333336</v>
      </c>
      <c r="E2040" s="1" t="s">
        <v>1768</v>
      </c>
      <c r="F2040" s="1"/>
      <c r="G2040" s="5" t="s">
        <v>26</v>
      </c>
      <c r="H2040" s="5" t="s">
        <v>179</v>
      </c>
      <c r="I2040" s="1" t="s">
        <v>5581</v>
      </c>
      <c r="J2040" s="1"/>
      <c r="K2040" s="1"/>
      <c r="L2040" s="2" t="s">
        <v>5584</v>
      </c>
      <c r="M2040" s="1"/>
      <c r="N2040" s="1"/>
      <c r="O2040" s="1"/>
      <c r="P2040" s="1"/>
      <c r="Q2040" s="1"/>
      <c r="R2040" s="1"/>
      <c r="S2040" s="1"/>
      <c r="T2040" s="1"/>
      <c r="U2040" s="1"/>
      <c r="V2040" s="1"/>
      <c r="W2040" s="1"/>
      <c r="X2040" s="1"/>
      <c r="Y2040" s="1"/>
      <c r="Z2040" s="1"/>
    </row>
    <row r="2041" spans="1:26" ht="33.75" customHeight="1">
      <c r="A2041" s="1">
        <v>2411</v>
      </c>
      <c r="B2041" s="1" t="s">
        <v>5585</v>
      </c>
      <c r="C2041" s="1" t="s">
        <v>5580</v>
      </c>
      <c r="D2041" s="4">
        <v>40108.686805555553</v>
      </c>
      <c r="E2041" s="1" t="s">
        <v>1887</v>
      </c>
      <c r="F2041" s="1"/>
      <c r="G2041" s="5" t="s">
        <v>64</v>
      </c>
      <c r="H2041" s="5" t="s">
        <v>3663</v>
      </c>
      <c r="I2041" s="1" t="s">
        <v>35</v>
      </c>
      <c r="J2041" s="1" t="s">
        <v>3664</v>
      </c>
      <c r="K2041" s="1"/>
      <c r="L2041" s="2" t="s">
        <v>5586</v>
      </c>
      <c r="M2041" s="1"/>
      <c r="N2041" s="1"/>
      <c r="O2041" s="1"/>
      <c r="P2041" s="1"/>
      <c r="Q2041" s="1"/>
      <c r="R2041" s="1"/>
      <c r="S2041" s="1"/>
      <c r="T2041" s="1"/>
      <c r="U2041" s="1"/>
      <c r="V2041" s="1"/>
      <c r="W2041" s="1"/>
      <c r="X2041" s="1"/>
      <c r="Y2041" s="1"/>
      <c r="Z2041" s="1"/>
    </row>
    <row r="2042" spans="1:26" ht="33.75" customHeight="1">
      <c r="A2042" s="1">
        <v>2413</v>
      </c>
      <c r="B2042" s="1" t="s">
        <v>5587</v>
      </c>
      <c r="C2042" s="1" t="s">
        <v>5580</v>
      </c>
      <c r="D2042" s="4">
        <v>40108.746527777781</v>
      </c>
      <c r="E2042" s="1" t="s">
        <v>54</v>
      </c>
      <c r="F2042" s="1"/>
      <c r="G2042" s="5" t="s">
        <v>64</v>
      </c>
      <c r="H2042" s="5" t="s">
        <v>3663</v>
      </c>
      <c r="I2042" s="1" t="s">
        <v>35</v>
      </c>
      <c r="J2042" s="1" t="s">
        <v>3664</v>
      </c>
      <c r="K2042" s="1"/>
      <c r="L2042" s="2" t="s">
        <v>5588</v>
      </c>
      <c r="M2042" s="1"/>
      <c r="N2042" s="1"/>
      <c r="O2042" s="1"/>
      <c r="P2042" s="1"/>
      <c r="Q2042" s="1"/>
      <c r="R2042" s="1"/>
      <c r="S2042" s="1"/>
      <c r="T2042" s="1"/>
      <c r="U2042" s="1"/>
      <c r="V2042" s="1"/>
      <c r="W2042" s="1"/>
      <c r="X2042" s="1"/>
      <c r="Y2042" s="1"/>
      <c r="Z2042" s="1"/>
    </row>
    <row r="2043" spans="1:26" ht="33.75" customHeight="1">
      <c r="A2043" s="1">
        <v>2410</v>
      </c>
      <c r="B2043" s="1" t="s">
        <v>5589</v>
      </c>
      <c r="C2043" s="1" t="s">
        <v>5580</v>
      </c>
      <c r="D2043" s="4">
        <v>40108.747916666667</v>
      </c>
      <c r="E2043" s="1" t="s">
        <v>320</v>
      </c>
      <c r="F2043" s="1"/>
      <c r="G2043" s="7" t="s">
        <v>15</v>
      </c>
      <c r="H2043" s="5" t="s">
        <v>55</v>
      </c>
      <c r="I2043" s="1" t="s">
        <v>3234</v>
      </c>
      <c r="J2043" s="1"/>
      <c r="K2043" s="1"/>
      <c r="L2043" s="2" t="s">
        <v>5590</v>
      </c>
      <c r="M2043" s="1"/>
      <c r="N2043" s="1"/>
      <c r="O2043" s="1"/>
      <c r="P2043" s="1"/>
      <c r="Q2043" s="1"/>
      <c r="R2043" s="1"/>
      <c r="S2043" s="1"/>
      <c r="T2043" s="1"/>
      <c r="U2043" s="1"/>
      <c r="V2043" s="1"/>
      <c r="W2043" s="1"/>
      <c r="X2043" s="1"/>
      <c r="Y2043" s="1"/>
      <c r="Z2043" s="1"/>
    </row>
    <row r="2044" spans="1:26" ht="33.75" customHeight="1">
      <c r="A2044" s="1">
        <v>2414</v>
      </c>
      <c r="B2044" s="1" t="s">
        <v>5591</v>
      </c>
      <c r="C2044" s="1" t="s">
        <v>5580</v>
      </c>
      <c r="D2044" s="4">
        <v>40108.750694444447</v>
      </c>
      <c r="E2044" s="1" t="s">
        <v>320</v>
      </c>
      <c r="F2044" s="1"/>
      <c r="G2044" s="5" t="s">
        <v>64</v>
      </c>
      <c r="H2044" s="5" t="s">
        <v>3663</v>
      </c>
      <c r="I2044" s="1" t="s">
        <v>3664</v>
      </c>
      <c r="J2044" s="1" t="s">
        <v>4993</v>
      </c>
      <c r="K2044" s="1"/>
      <c r="L2044" s="2" t="s">
        <v>5592</v>
      </c>
      <c r="M2044" s="1"/>
      <c r="N2044" s="1"/>
      <c r="O2044" s="1"/>
      <c r="P2044" s="1"/>
      <c r="Q2044" s="1"/>
      <c r="R2044" s="1"/>
      <c r="S2044" s="1"/>
      <c r="T2044" s="1"/>
      <c r="U2044" s="1"/>
      <c r="V2044" s="1"/>
      <c r="W2044" s="1"/>
      <c r="X2044" s="1"/>
      <c r="Y2044" s="1"/>
      <c r="Z2044" s="1"/>
    </row>
    <row r="2045" spans="1:26" ht="33.75" customHeight="1">
      <c r="A2045" s="1">
        <v>1586</v>
      </c>
      <c r="B2045" s="1" t="s">
        <v>12</v>
      </c>
      <c r="C2045" s="1" t="s">
        <v>5580</v>
      </c>
      <c r="D2045" s="4">
        <v>40108.936168981483</v>
      </c>
      <c r="E2045" s="1" t="s">
        <v>175</v>
      </c>
      <c r="F2045" s="1"/>
      <c r="G2045" s="5" t="s">
        <v>64</v>
      </c>
      <c r="H2045" s="5" t="s">
        <v>3663</v>
      </c>
      <c r="I2045" s="1" t="s">
        <v>3664</v>
      </c>
      <c r="J2045" s="1" t="s">
        <v>4847</v>
      </c>
      <c r="K2045" s="1"/>
      <c r="L2045" s="2" t="s">
        <v>5593</v>
      </c>
      <c r="M2045" s="1"/>
      <c r="N2045" s="1"/>
      <c r="O2045" s="1"/>
      <c r="P2045" s="1"/>
      <c r="Q2045" s="1"/>
      <c r="R2045" s="1"/>
      <c r="S2045" s="1"/>
      <c r="T2045" s="1"/>
      <c r="U2045" s="1"/>
      <c r="V2045" s="1"/>
      <c r="W2045" s="1"/>
      <c r="X2045" s="1"/>
      <c r="Y2045" s="1"/>
      <c r="Z2045" s="1"/>
    </row>
    <row r="2046" spans="1:26" ht="33.75" customHeight="1">
      <c r="A2046" s="1">
        <v>2415</v>
      </c>
      <c r="B2046" s="1" t="s">
        <v>5594</v>
      </c>
      <c r="C2046" s="1" t="s">
        <v>5580</v>
      </c>
      <c r="D2046" s="4">
        <v>40109.531944444447</v>
      </c>
      <c r="E2046" s="1" t="s">
        <v>5595</v>
      </c>
      <c r="F2046" s="1"/>
      <c r="G2046" s="5" t="s">
        <v>39</v>
      </c>
      <c r="H2046" s="5" t="s">
        <v>3453</v>
      </c>
      <c r="I2046" s="1" t="s">
        <v>5596</v>
      </c>
      <c r="J2046" s="1"/>
      <c r="K2046" s="1" t="s">
        <v>5597</v>
      </c>
      <c r="L2046" s="2" t="s">
        <v>5598</v>
      </c>
      <c r="M2046" s="1"/>
      <c r="N2046" s="1"/>
      <c r="O2046" s="1"/>
      <c r="P2046" s="1"/>
      <c r="Q2046" s="1"/>
      <c r="R2046" s="1"/>
      <c r="S2046" s="1"/>
      <c r="T2046" s="1"/>
      <c r="U2046" s="1"/>
      <c r="V2046" s="1"/>
      <c r="W2046" s="1"/>
      <c r="X2046" s="1"/>
      <c r="Y2046" s="1"/>
      <c r="Z2046" s="1"/>
    </row>
    <row r="2047" spans="1:26" ht="33.75" customHeight="1">
      <c r="A2047" s="1">
        <v>2402</v>
      </c>
      <c r="B2047" s="1" t="s">
        <v>5599</v>
      </c>
      <c r="C2047" s="1" t="s">
        <v>5514</v>
      </c>
      <c r="D2047" s="4">
        <v>40122.979861111111</v>
      </c>
      <c r="E2047" s="1" t="s">
        <v>760</v>
      </c>
      <c r="F2047" s="1"/>
      <c r="G2047" s="5" t="s">
        <v>26</v>
      </c>
      <c r="H2047" s="5" t="s">
        <v>133</v>
      </c>
      <c r="I2047" s="1" t="s">
        <v>5581</v>
      </c>
      <c r="J2047" s="1"/>
      <c r="K2047" s="1"/>
      <c r="L2047" s="2" t="s">
        <v>5600</v>
      </c>
      <c r="M2047" s="1"/>
      <c r="N2047" s="1"/>
      <c r="O2047" s="1"/>
      <c r="P2047" s="1"/>
      <c r="Q2047" s="1"/>
      <c r="R2047" s="1"/>
      <c r="S2047" s="1"/>
      <c r="T2047" s="1"/>
      <c r="U2047" s="1"/>
      <c r="V2047" s="1"/>
      <c r="W2047" s="1"/>
      <c r="X2047" s="1"/>
      <c r="Y2047" s="1"/>
      <c r="Z2047" s="1"/>
    </row>
    <row r="2048" spans="1:26" ht="33.75" customHeight="1">
      <c r="A2048" s="1">
        <v>2403</v>
      </c>
      <c r="B2048" s="1" t="s">
        <v>5601</v>
      </c>
      <c r="C2048" s="1" t="s">
        <v>5514</v>
      </c>
      <c r="D2048" s="4">
        <v>40123.702777777777</v>
      </c>
      <c r="E2048" s="1" t="s">
        <v>54</v>
      </c>
      <c r="F2048" s="1"/>
      <c r="G2048" s="5" t="s">
        <v>26</v>
      </c>
      <c r="H2048" s="5" t="s">
        <v>133</v>
      </c>
      <c r="I2048" s="1" t="s">
        <v>5581</v>
      </c>
      <c r="J2048" s="1"/>
      <c r="K2048" s="1"/>
      <c r="L2048" s="2" t="s">
        <v>5602</v>
      </c>
      <c r="M2048" s="1"/>
      <c r="N2048" s="1"/>
      <c r="O2048" s="1"/>
      <c r="P2048" s="1"/>
      <c r="Q2048" s="1"/>
      <c r="R2048" s="1"/>
      <c r="S2048" s="1"/>
      <c r="T2048" s="1"/>
      <c r="U2048" s="1"/>
      <c r="V2048" s="1"/>
      <c r="W2048" s="1"/>
      <c r="X2048" s="1"/>
      <c r="Y2048" s="1"/>
      <c r="Z2048" s="1"/>
    </row>
    <row r="2049" spans="1:26" ht="33.75" customHeight="1">
      <c r="A2049" s="1">
        <v>2406</v>
      </c>
      <c r="B2049" s="1" t="s">
        <v>5603</v>
      </c>
      <c r="C2049" s="1" t="s">
        <v>5514</v>
      </c>
      <c r="D2049" s="4">
        <v>40124.419444444444</v>
      </c>
      <c r="E2049" s="1" t="s">
        <v>772</v>
      </c>
      <c r="F2049" s="1"/>
      <c r="G2049" s="6" t="s">
        <v>78</v>
      </c>
      <c r="H2049" s="5" t="s">
        <v>79</v>
      </c>
      <c r="I2049" s="1" t="s">
        <v>5581</v>
      </c>
      <c r="J2049" s="1"/>
      <c r="K2049" s="1"/>
      <c r="L2049" s="2" t="s">
        <v>5604</v>
      </c>
      <c r="M2049" s="1"/>
      <c r="N2049" s="1"/>
      <c r="O2049" s="1"/>
      <c r="P2049" s="1"/>
      <c r="Q2049" s="1"/>
      <c r="R2049" s="1"/>
      <c r="S2049" s="1"/>
      <c r="T2049" s="1"/>
      <c r="U2049" s="1"/>
      <c r="V2049" s="1"/>
      <c r="W2049" s="1"/>
      <c r="X2049" s="1"/>
      <c r="Y2049" s="1"/>
      <c r="Z2049" s="1"/>
    </row>
    <row r="2050" spans="1:26" ht="33.75" customHeight="1">
      <c r="A2050" s="1">
        <v>2404</v>
      </c>
      <c r="B2050" s="1" t="s">
        <v>5605</v>
      </c>
      <c r="C2050" s="1" t="s">
        <v>5514</v>
      </c>
      <c r="D2050" s="4">
        <v>40124.714583333334</v>
      </c>
      <c r="E2050" s="1" t="s">
        <v>760</v>
      </c>
      <c r="F2050" s="1"/>
      <c r="G2050" s="6" t="s">
        <v>78</v>
      </c>
      <c r="H2050" s="5" t="s">
        <v>79</v>
      </c>
      <c r="I2050" s="1" t="s">
        <v>5581</v>
      </c>
      <c r="J2050" s="1"/>
      <c r="K2050" s="1"/>
      <c r="L2050" s="2" t="s">
        <v>5606</v>
      </c>
      <c r="M2050" s="1"/>
      <c r="N2050" s="1"/>
      <c r="O2050" s="1"/>
      <c r="P2050" s="1"/>
      <c r="Q2050" s="1"/>
      <c r="R2050" s="1"/>
      <c r="S2050" s="1"/>
      <c r="T2050" s="1"/>
      <c r="U2050" s="1"/>
      <c r="V2050" s="1"/>
      <c r="W2050" s="1"/>
      <c r="X2050" s="1"/>
      <c r="Y2050" s="1"/>
      <c r="Z2050" s="1"/>
    </row>
    <row r="2051" spans="1:26" ht="33.75" customHeight="1">
      <c r="A2051" s="1">
        <v>2405</v>
      </c>
      <c r="B2051" s="1" t="s">
        <v>5607</v>
      </c>
      <c r="C2051" s="1" t="s">
        <v>5514</v>
      </c>
      <c r="D2051" s="4">
        <v>40125.057638888888</v>
      </c>
      <c r="E2051" s="1" t="s">
        <v>1887</v>
      </c>
      <c r="F2051" s="1"/>
      <c r="G2051" s="6" t="s">
        <v>78</v>
      </c>
      <c r="H2051" s="5" t="s">
        <v>79</v>
      </c>
      <c r="I2051" s="1" t="s">
        <v>5581</v>
      </c>
      <c r="J2051" s="1"/>
      <c r="K2051" s="1"/>
      <c r="L2051" s="2" t="s">
        <v>5608</v>
      </c>
      <c r="M2051" s="1"/>
      <c r="N2051" s="1"/>
      <c r="O2051" s="1"/>
      <c r="P2051" s="1"/>
      <c r="Q2051" s="1"/>
      <c r="R2051" s="1"/>
      <c r="S2051" s="1"/>
      <c r="T2051" s="1"/>
      <c r="U2051" s="1"/>
      <c r="V2051" s="1"/>
      <c r="W2051" s="1"/>
      <c r="X2051" s="1"/>
      <c r="Y2051" s="1"/>
      <c r="Z2051" s="1"/>
    </row>
    <row r="2052" spans="1:26" ht="33.75" customHeight="1">
      <c r="A2052" s="1">
        <v>2407</v>
      </c>
      <c r="B2052" s="1" t="s">
        <v>5609</v>
      </c>
      <c r="C2052" s="1" t="s">
        <v>5514</v>
      </c>
      <c r="D2052" s="4">
        <v>40152.821527777778</v>
      </c>
      <c r="E2052" s="1" t="s">
        <v>760</v>
      </c>
      <c r="F2052" s="1"/>
      <c r="G2052" s="6" t="s">
        <v>78</v>
      </c>
      <c r="H2052" s="5" t="s">
        <v>79</v>
      </c>
      <c r="I2052" s="1" t="s">
        <v>5581</v>
      </c>
      <c r="J2052" s="1"/>
      <c r="K2052" s="1"/>
      <c r="L2052" s="2" t="s">
        <v>5610</v>
      </c>
      <c r="M2052" s="1"/>
      <c r="N2052" s="1"/>
      <c r="O2052" s="1"/>
      <c r="P2052" s="1"/>
      <c r="Q2052" s="1"/>
      <c r="R2052" s="1"/>
      <c r="S2052" s="1"/>
      <c r="T2052" s="1"/>
      <c r="U2052" s="1"/>
      <c r="V2052" s="1"/>
      <c r="W2052" s="1"/>
      <c r="X2052" s="1"/>
      <c r="Y2052" s="1"/>
      <c r="Z2052" s="1"/>
    </row>
    <row r="2053" spans="1:26" ht="33.75" customHeight="1">
      <c r="A2053" s="1">
        <v>1537</v>
      </c>
      <c r="B2053" s="1" t="s">
        <v>5611</v>
      </c>
      <c r="C2053" s="1" t="s">
        <v>4151</v>
      </c>
      <c r="D2053" s="4">
        <v>40175.927083333336</v>
      </c>
      <c r="E2053" s="1" t="s">
        <v>5612</v>
      </c>
      <c r="F2053" s="1"/>
      <c r="G2053" s="5" t="s">
        <v>33</v>
      </c>
      <c r="H2053" s="5" t="s">
        <v>34</v>
      </c>
      <c r="I2053" s="1" t="s">
        <v>35</v>
      </c>
      <c r="J2053" s="1"/>
      <c r="K2053" s="1"/>
      <c r="L2053" s="2" t="s">
        <v>5613</v>
      </c>
      <c r="M2053" s="1"/>
      <c r="N2053" s="1"/>
      <c r="O2053" s="1"/>
      <c r="P2053" s="1"/>
      <c r="Q2053" s="1"/>
      <c r="R2053" s="1"/>
      <c r="S2053" s="1"/>
      <c r="T2053" s="1"/>
      <c r="U2053" s="1"/>
      <c r="V2053" s="1"/>
      <c r="W2053" s="1"/>
      <c r="X2053" s="1"/>
      <c r="Y2053" s="1"/>
      <c r="Z2053" s="1"/>
    </row>
    <row r="2054" spans="1:26" ht="33.75" customHeight="1">
      <c r="A2054" s="1">
        <v>2419</v>
      </c>
      <c r="B2054" s="1" t="s">
        <v>5614</v>
      </c>
      <c r="C2054" s="1" t="s">
        <v>5615</v>
      </c>
      <c r="D2054" s="4">
        <v>40194.015972222223</v>
      </c>
      <c r="E2054" s="1" t="s">
        <v>59</v>
      </c>
      <c r="F2054" s="1"/>
      <c r="G2054" s="5" t="s">
        <v>64</v>
      </c>
      <c r="H2054" s="5" t="s">
        <v>263</v>
      </c>
      <c r="I2054" s="1" t="s">
        <v>5581</v>
      </c>
      <c r="J2054" s="1"/>
      <c r="K2054" s="1"/>
      <c r="L2054" s="2" t="s">
        <v>5616</v>
      </c>
      <c r="M2054" s="1"/>
      <c r="N2054" s="1"/>
      <c r="O2054" s="1"/>
      <c r="P2054" s="1"/>
      <c r="Q2054" s="1"/>
      <c r="R2054" s="1"/>
      <c r="S2054" s="1"/>
      <c r="T2054" s="1"/>
      <c r="U2054" s="1"/>
      <c r="V2054" s="1"/>
      <c r="W2054" s="1"/>
      <c r="X2054" s="1"/>
      <c r="Y2054" s="1"/>
      <c r="Z2054" s="1"/>
    </row>
    <row r="2055" spans="1:26" ht="33.75" customHeight="1">
      <c r="A2055" s="1">
        <v>2420</v>
      </c>
      <c r="B2055" s="1" t="s">
        <v>5617</v>
      </c>
      <c r="C2055" s="1" t="s">
        <v>5615</v>
      </c>
      <c r="D2055" s="4">
        <v>40194.038194444445</v>
      </c>
      <c r="E2055" s="1" t="s">
        <v>5618</v>
      </c>
      <c r="F2055" s="1"/>
      <c r="G2055" s="6" t="s">
        <v>78</v>
      </c>
      <c r="H2055" s="5" t="s">
        <v>197</v>
      </c>
      <c r="I2055" s="1" t="s">
        <v>5581</v>
      </c>
      <c r="J2055" s="1"/>
      <c r="K2055" s="1"/>
      <c r="L2055" s="2" t="s">
        <v>5619</v>
      </c>
      <c r="M2055" s="1"/>
      <c r="N2055" s="1"/>
      <c r="O2055" s="1"/>
      <c r="P2055" s="1"/>
      <c r="Q2055" s="1"/>
      <c r="R2055" s="1"/>
      <c r="S2055" s="1"/>
      <c r="T2055" s="1"/>
      <c r="U2055" s="1"/>
      <c r="V2055" s="1"/>
      <c r="W2055" s="1"/>
      <c r="X2055" s="1"/>
      <c r="Y2055" s="1"/>
      <c r="Z2055" s="1"/>
    </row>
    <row r="2056" spans="1:26" ht="33.75" customHeight="1">
      <c r="A2056" s="1">
        <v>2422</v>
      </c>
      <c r="B2056" s="1" t="s">
        <v>5620</v>
      </c>
      <c r="C2056" s="1" t="s">
        <v>5615</v>
      </c>
      <c r="D2056" s="4">
        <v>40194.147222222222</v>
      </c>
      <c r="E2056" s="1" t="s">
        <v>5621</v>
      </c>
      <c r="F2056" s="1"/>
      <c r="G2056" s="6" t="s">
        <v>78</v>
      </c>
      <c r="H2056" s="5" t="s">
        <v>79</v>
      </c>
      <c r="I2056" s="1" t="s">
        <v>5581</v>
      </c>
      <c r="J2056" s="1"/>
      <c r="K2056" s="1"/>
      <c r="L2056" s="2" t="s">
        <v>5622</v>
      </c>
      <c r="M2056" s="1"/>
      <c r="N2056" s="1"/>
      <c r="O2056" s="1"/>
      <c r="P2056" s="1"/>
      <c r="Q2056" s="1"/>
      <c r="R2056" s="1"/>
      <c r="S2056" s="1"/>
      <c r="T2056" s="1"/>
      <c r="U2056" s="1"/>
      <c r="V2056" s="1"/>
      <c r="W2056" s="1"/>
      <c r="X2056" s="1"/>
      <c r="Y2056" s="1"/>
      <c r="Z2056" s="1"/>
    </row>
    <row r="2057" spans="1:26" ht="33.75" customHeight="1">
      <c r="A2057" s="1">
        <v>1587</v>
      </c>
      <c r="B2057" s="1" t="s">
        <v>12</v>
      </c>
      <c r="C2057" s="1" t="s">
        <v>5615</v>
      </c>
      <c r="D2057" s="4">
        <v>40194.307453703703</v>
      </c>
      <c r="E2057" s="1" t="s">
        <v>175</v>
      </c>
      <c r="F2057" s="1"/>
      <c r="G2057" s="5" t="s">
        <v>64</v>
      </c>
      <c r="H2057" s="5" t="s">
        <v>3663</v>
      </c>
      <c r="I2057" s="1" t="s">
        <v>3664</v>
      </c>
      <c r="J2057" s="1" t="s">
        <v>4847</v>
      </c>
      <c r="K2057" s="1"/>
      <c r="L2057" s="2" t="s">
        <v>5623</v>
      </c>
      <c r="M2057" s="1"/>
      <c r="N2057" s="1"/>
      <c r="O2057" s="1"/>
      <c r="P2057" s="1"/>
      <c r="Q2057" s="1"/>
      <c r="R2057" s="1"/>
      <c r="S2057" s="1"/>
      <c r="T2057" s="1"/>
      <c r="U2057" s="1"/>
      <c r="V2057" s="1"/>
      <c r="W2057" s="1"/>
      <c r="X2057" s="1"/>
      <c r="Y2057" s="1"/>
      <c r="Z2057" s="1"/>
    </row>
    <row r="2058" spans="1:26" ht="33.75" customHeight="1">
      <c r="A2058" s="1">
        <v>2423</v>
      </c>
      <c r="B2058" s="1" t="s">
        <v>5624</v>
      </c>
      <c r="C2058" s="1" t="s">
        <v>5615</v>
      </c>
      <c r="D2058" s="4">
        <v>40194.38958333333</v>
      </c>
      <c r="E2058" s="1" t="s">
        <v>196</v>
      </c>
      <c r="F2058" s="1"/>
      <c r="G2058" s="5" t="s">
        <v>26</v>
      </c>
      <c r="H2058" s="5" t="s">
        <v>179</v>
      </c>
      <c r="I2058" s="1" t="s">
        <v>5581</v>
      </c>
      <c r="J2058" s="1"/>
      <c r="K2058" s="1"/>
      <c r="L2058" s="2" t="s">
        <v>5625</v>
      </c>
      <c r="M2058" s="1"/>
      <c r="N2058" s="1"/>
      <c r="O2058" s="1"/>
      <c r="P2058" s="1"/>
      <c r="Q2058" s="1"/>
      <c r="R2058" s="1"/>
      <c r="S2058" s="1"/>
      <c r="T2058" s="1"/>
      <c r="U2058" s="1"/>
      <c r="V2058" s="1"/>
      <c r="W2058" s="1"/>
      <c r="X2058" s="1"/>
      <c r="Y2058" s="1"/>
      <c r="Z2058" s="1"/>
    </row>
    <row r="2059" spans="1:26" ht="33.75" customHeight="1">
      <c r="A2059" s="1">
        <v>2425</v>
      </c>
      <c r="B2059" s="1" t="s">
        <v>5626</v>
      </c>
      <c r="C2059" s="1" t="s">
        <v>5615</v>
      </c>
      <c r="D2059" s="4">
        <v>40194.51458333333</v>
      </c>
      <c r="E2059" s="1" t="s">
        <v>772</v>
      </c>
      <c r="F2059" s="1"/>
      <c r="G2059" s="6" t="s">
        <v>78</v>
      </c>
      <c r="H2059" s="5" t="s">
        <v>79</v>
      </c>
      <c r="I2059" s="1" t="s">
        <v>5581</v>
      </c>
      <c r="J2059" s="1"/>
      <c r="K2059" s="1"/>
      <c r="L2059" s="2" t="s">
        <v>5627</v>
      </c>
      <c r="M2059" s="1"/>
      <c r="N2059" s="1"/>
      <c r="O2059" s="1"/>
      <c r="P2059" s="1"/>
      <c r="Q2059" s="1"/>
      <c r="R2059" s="1"/>
      <c r="S2059" s="1"/>
      <c r="T2059" s="1"/>
      <c r="U2059" s="1"/>
      <c r="V2059" s="1"/>
      <c r="W2059" s="1"/>
      <c r="X2059" s="1"/>
      <c r="Y2059" s="1"/>
      <c r="Z2059" s="1"/>
    </row>
    <row r="2060" spans="1:26" ht="33.75" customHeight="1">
      <c r="A2060" s="1">
        <v>2428</v>
      </c>
      <c r="B2060" s="1" t="s">
        <v>5628</v>
      </c>
      <c r="C2060" s="1" t="s">
        <v>5615</v>
      </c>
      <c r="D2060" s="4">
        <v>40195.592361111114</v>
      </c>
      <c r="E2060" s="1" t="s">
        <v>772</v>
      </c>
      <c r="F2060" s="1"/>
      <c r="G2060" s="5" t="s">
        <v>64</v>
      </c>
      <c r="H2060" s="5" t="s">
        <v>3663</v>
      </c>
      <c r="I2060" s="1" t="s">
        <v>35</v>
      </c>
      <c r="J2060" s="1" t="s">
        <v>3664</v>
      </c>
      <c r="K2060" s="1"/>
      <c r="L2060" s="2" t="s">
        <v>5629</v>
      </c>
      <c r="M2060" s="1"/>
      <c r="N2060" s="1"/>
      <c r="O2060" s="1"/>
      <c r="P2060" s="1"/>
      <c r="Q2060" s="1"/>
      <c r="R2060" s="1"/>
      <c r="S2060" s="1"/>
      <c r="T2060" s="1"/>
      <c r="U2060" s="1"/>
      <c r="V2060" s="1"/>
      <c r="W2060" s="1"/>
      <c r="X2060" s="1"/>
      <c r="Y2060" s="1"/>
      <c r="Z2060" s="1"/>
    </row>
    <row r="2061" spans="1:26" ht="33.75" customHeight="1">
      <c r="A2061" s="1">
        <v>2429</v>
      </c>
      <c r="B2061" s="1" t="s">
        <v>5630</v>
      </c>
      <c r="C2061" s="1" t="s">
        <v>5615</v>
      </c>
      <c r="D2061" s="4">
        <v>40196.040972222225</v>
      </c>
      <c r="E2061" s="1" t="s">
        <v>1887</v>
      </c>
      <c r="F2061" s="1" t="s">
        <v>5628</v>
      </c>
      <c r="G2061" s="5" t="s">
        <v>64</v>
      </c>
      <c r="H2061" s="5" t="s">
        <v>431</v>
      </c>
      <c r="I2061" s="1" t="s">
        <v>35</v>
      </c>
      <c r="J2061" s="1"/>
      <c r="K2061" s="1"/>
      <c r="L2061" s="2" t="s">
        <v>5631</v>
      </c>
      <c r="M2061" s="1"/>
      <c r="N2061" s="1"/>
      <c r="O2061" s="1"/>
      <c r="P2061" s="1"/>
      <c r="Q2061" s="1"/>
      <c r="R2061" s="1"/>
      <c r="S2061" s="1"/>
      <c r="T2061" s="1"/>
      <c r="U2061" s="1"/>
      <c r="V2061" s="1"/>
      <c r="W2061" s="1"/>
      <c r="X2061" s="1"/>
      <c r="Y2061" s="1"/>
      <c r="Z2061" s="1"/>
    </row>
    <row r="2062" spans="1:26" ht="33.75" customHeight="1">
      <c r="A2062" s="1">
        <v>2430</v>
      </c>
      <c r="B2062" s="1" t="s">
        <v>5632</v>
      </c>
      <c r="C2062" s="1" t="s">
        <v>5615</v>
      </c>
      <c r="D2062" s="4">
        <v>40196.794444444444</v>
      </c>
      <c r="E2062" s="1" t="s">
        <v>772</v>
      </c>
      <c r="F2062" s="1" t="s">
        <v>5630</v>
      </c>
      <c r="G2062" s="5" t="s">
        <v>64</v>
      </c>
      <c r="H2062" s="5" t="s">
        <v>431</v>
      </c>
      <c r="I2062" s="1" t="s">
        <v>35</v>
      </c>
      <c r="J2062" s="1"/>
      <c r="K2062" s="1"/>
      <c r="L2062" s="2" t="s">
        <v>5633</v>
      </c>
      <c r="M2062" s="1"/>
      <c r="N2062" s="1"/>
      <c r="O2062" s="1"/>
      <c r="P2062" s="1"/>
      <c r="Q2062" s="1"/>
      <c r="R2062" s="1"/>
      <c r="S2062" s="1"/>
      <c r="T2062" s="1"/>
      <c r="U2062" s="1"/>
      <c r="V2062" s="1"/>
      <c r="W2062" s="1"/>
      <c r="X2062" s="1"/>
      <c r="Y2062" s="1"/>
      <c r="Z2062" s="1"/>
    </row>
    <row r="2063" spans="1:26" ht="33.75" customHeight="1">
      <c r="A2063" s="1">
        <v>2421</v>
      </c>
      <c r="B2063" s="1" t="s">
        <v>5634</v>
      </c>
      <c r="C2063" s="1" t="s">
        <v>5615</v>
      </c>
      <c r="D2063" s="4">
        <v>40196.867361111108</v>
      </c>
      <c r="E2063" s="1" t="s">
        <v>5635</v>
      </c>
      <c r="F2063" s="1"/>
      <c r="G2063" s="6" t="s">
        <v>78</v>
      </c>
      <c r="H2063" s="5" t="s">
        <v>79</v>
      </c>
      <c r="I2063" s="1" t="s">
        <v>5581</v>
      </c>
      <c r="J2063" s="1"/>
      <c r="K2063" s="1"/>
      <c r="L2063" s="2" t="s">
        <v>5636</v>
      </c>
      <c r="M2063" s="1"/>
      <c r="N2063" s="1"/>
      <c r="O2063" s="1"/>
      <c r="P2063" s="1"/>
      <c r="Q2063" s="1"/>
      <c r="R2063" s="1"/>
      <c r="S2063" s="1"/>
      <c r="T2063" s="1"/>
      <c r="U2063" s="1"/>
      <c r="V2063" s="1"/>
      <c r="W2063" s="1"/>
      <c r="X2063" s="1"/>
      <c r="Y2063" s="1"/>
      <c r="Z2063" s="1"/>
    </row>
    <row r="2064" spans="1:26" ht="33.75" customHeight="1">
      <c r="A2064" s="1">
        <v>2431</v>
      </c>
      <c r="B2064" s="1" t="s">
        <v>5637</v>
      </c>
      <c r="C2064" s="1" t="s">
        <v>5615</v>
      </c>
      <c r="D2064" s="4">
        <v>40196.875</v>
      </c>
      <c r="E2064" s="1" t="s">
        <v>5635</v>
      </c>
      <c r="F2064" s="1"/>
      <c r="G2064" s="5" t="s">
        <v>64</v>
      </c>
      <c r="H2064" s="5" t="s">
        <v>3663</v>
      </c>
      <c r="I2064" s="1" t="s">
        <v>3664</v>
      </c>
      <c r="J2064" s="1" t="s">
        <v>4993</v>
      </c>
      <c r="K2064" s="1"/>
      <c r="L2064" s="2" t="s">
        <v>5638</v>
      </c>
      <c r="M2064" s="1"/>
      <c r="N2064" s="1"/>
      <c r="O2064" s="1"/>
      <c r="P2064" s="1"/>
      <c r="Q2064" s="1"/>
      <c r="R2064" s="1"/>
      <c r="S2064" s="1"/>
      <c r="T2064" s="1"/>
      <c r="U2064" s="1"/>
      <c r="V2064" s="1"/>
      <c r="W2064" s="1"/>
      <c r="X2064" s="1"/>
      <c r="Y2064" s="1"/>
      <c r="Z2064" s="1"/>
    </row>
    <row r="2065" spans="1:26" ht="33.75" customHeight="1">
      <c r="A2065" s="1">
        <v>2432</v>
      </c>
      <c r="B2065" s="1" t="s">
        <v>5639</v>
      </c>
      <c r="C2065" s="1" t="s">
        <v>5615</v>
      </c>
      <c r="D2065" s="4">
        <v>40196.876388888886</v>
      </c>
      <c r="E2065" s="1" t="s">
        <v>5635</v>
      </c>
      <c r="F2065" s="1"/>
      <c r="G2065" s="5" t="s">
        <v>64</v>
      </c>
      <c r="H2065" s="5" t="s">
        <v>3663</v>
      </c>
      <c r="I2065" s="1" t="s">
        <v>3664</v>
      </c>
      <c r="J2065" s="1" t="s">
        <v>4993</v>
      </c>
      <c r="K2065" s="1"/>
      <c r="L2065" s="2" t="s">
        <v>5640</v>
      </c>
      <c r="M2065" s="1"/>
      <c r="N2065" s="1"/>
      <c r="O2065" s="1"/>
      <c r="P2065" s="1"/>
      <c r="Q2065" s="1"/>
      <c r="R2065" s="1"/>
      <c r="S2065" s="1"/>
      <c r="T2065" s="1"/>
      <c r="U2065" s="1"/>
      <c r="V2065" s="1"/>
      <c r="W2065" s="1"/>
      <c r="X2065" s="1"/>
      <c r="Y2065" s="1"/>
      <c r="Z2065" s="1"/>
    </row>
    <row r="2066" spans="1:26" ht="33.75" customHeight="1">
      <c r="A2066" s="1">
        <v>2433</v>
      </c>
      <c r="B2066" s="1" t="s">
        <v>5641</v>
      </c>
      <c r="C2066" s="1" t="s">
        <v>5615</v>
      </c>
      <c r="D2066" s="4">
        <v>40196.879166666666</v>
      </c>
      <c r="E2066" s="1" t="s">
        <v>5635</v>
      </c>
      <c r="F2066" s="1"/>
      <c r="G2066" s="5" t="s">
        <v>64</v>
      </c>
      <c r="H2066" s="5" t="s">
        <v>3663</v>
      </c>
      <c r="I2066" s="1" t="s">
        <v>3664</v>
      </c>
      <c r="J2066" s="1" t="s">
        <v>4993</v>
      </c>
      <c r="K2066" s="1"/>
      <c r="L2066" s="2" t="s">
        <v>5642</v>
      </c>
      <c r="M2066" s="1"/>
      <c r="N2066" s="1"/>
      <c r="O2066" s="1"/>
      <c r="P2066" s="1"/>
      <c r="Q2066" s="1"/>
      <c r="R2066" s="1"/>
      <c r="S2066" s="1"/>
      <c r="T2066" s="1"/>
      <c r="U2066" s="1"/>
      <c r="V2066" s="1"/>
      <c r="W2066" s="1"/>
      <c r="X2066" s="1"/>
      <c r="Y2066" s="1"/>
      <c r="Z2066" s="1"/>
    </row>
    <row r="2067" spans="1:26" ht="33.75" customHeight="1">
      <c r="A2067" s="1">
        <v>2434</v>
      </c>
      <c r="B2067" s="1" t="s">
        <v>5643</v>
      </c>
      <c r="C2067" s="1" t="s">
        <v>5615</v>
      </c>
      <c r="D2067" s="4">
        <v>40196.881249999999</v>
      </c>
      <c r="E2067" s="1" t="s">
        <v>5635</v>
      </c>
      <c r="F2067" s="1"/>
      <c r="G2067" s="5" t="s">
        <v>64</v>
      </c>
      <c r="H2067" s="5" t="s">
        <v>3663</v>
      </c>
      <c r="I2067" s="1" t="s">
        <v>3664</v>
      </c>
      <c r="J2067" s="1" t="s">
        <v>4993</v>
      </c>
      <c r="K2067" s="1"/>
      <c r="L2067" s="2" t="s">
        <v>5644</v>
      </c>
      <c r="M2067" s="1"/>
      <c r="N2067" s="1"/>
      <c r="O2067" s="1"/>
      <c r="P2067" s="1"/>
      <c r="Q2067" s="1"/>
      <c r="R2067" s="1"/>
      <c r="S2067" s="1"/>
      <c r="T2067" s="1"/>
      <c r="U2067" s="1"/>
      <c r="V2067" s="1"/>
      <c r="W2067" s="1"/>
      <c r="X2067" s="1"/>
      <c r="Y2067" s="1"/>
      <c r="Z2067" s="1"/>
    </row>
    <row r="2068" spans="1:26" ht="33.75" customHeight="1">
      <c r="A2068" s="1">
        <v>2435</v>
      </c>
      <c r="B2068" s="1" t="s">
        <v>5645</v>
      </c>
      <c r="C2068" s="1" t="s">
        <v>5615</v>
      </c>
      <c r="D2068" s="4">
        <v>40196.883333333331</v>
      </c>
      <c r="E2068" s="1" t="s">
        <v>5635</v>
      </c>
      <c r="F2068" s="1"/>
      <c r="G2068" s="5" t="s">
        <v>64</v>
      </c>
      <c r="H2068" s="5" t="s">
        <v>3663</v>
      </c>
      <c r="I2068" s="1" t="s">
        <v>3664</v>
      </c>
      <c r="J2068" s="1" t="s">
        <v>4847</v>
      </c>
      <c r="K2068" s="1" t="s">
        <v>5646</v>
      </c>
      <c r="L2068" s="2" t="s">
        <v>5647</v>
      </c>
      <c r="M2068" s="1"/>
      <c r="N2068" s="1"/>
      <c r="O2068" s="1"/>
      <c r="P2068" s="1"/>
      <c r="Q2068" s="1"/>
      <c r="R2068" s="1"/>
      <c r="S2068" s="1"/>
      <c r="T2068" s="1"/>
      <c r="U2068" s="1"/>
      <c r="V2068" s="1"/>
      <c r="W2068" s="1"/>
      <c r="X2068" s="1"/>
      <c r="Y2068" s="1"/>
      <c r="Z2068" s="1"/>
    </row>
    <row r="2069" spans="1:26" ht="33.75" customHeight="1">
      <c r="A2069" s="1">
        <v>2437</v>
      </c>
      <c r="B2069" s="1" t="s">
        <v>5648</v>
      </c>
      <c r="C2069" s="1" t="s">
        <v>5615</v>
      </c>
      <c r="D2069" s="4">
        <v>40196.914583333331</v>
      </c>
      <c r="E2069" s="1" t="s">
        <v>5635</v>
      </c>
      <c r="F2069" s="1"/>
      <c r="G2069" s="5" t="s">
        <v>64</v>
      </c>
      <c r="H2069" s="5" t="s">
        <v>3663</v>
      </c>
      <c r="I2069" s="1" t="s">
        <v>3664</v>
      </c>
      <c r="J2069" s="1" t="s">
        <v>4993</v>
      </c>
      <c r="K2069" s="1"/>
      <c r="L2069" s="2" t="s">
        <v>5649</v>
      </c>
      <c r="M2069" s="1"/>
      <c r="N2069" s="1"/>
      <c r="O2069" s="1"/>
      <c r="P2069" s="1"/>
      <c r="Q2069" s="1"/>
      <c r="R2069" s="1"/>
      <c r="S2069" s="1"/>
      <c r="T2069" s="1"/>
      <c r="U2069" s="1"/>
      <c r="V2069" s="1"/>
      <c r="W2069" s="1"/>
      <c r="X2069" s="1"/>
      <c r="Y2069" s="1"/>
      <c r="Z2069" s="1"/>
    </row>
    <row r="2070" spans="1:26" ht="33.75" customHeight="1">
      <c r="A2070" s="1">
        <v>2438</v>
      </c>
      <c r="B2070" s="1" t="s">
        <v>5650</v>
      </c>
      <c r="C2070" s="1" t="s">
        <v>5615</v>
      </c>
      <c r="D2070" s="4">
        <v>40196.915972222225</v>
      </c>
      <c r="E2070" s="1" t="s">
        <v>5635</v>
      </c>
      <c r="F2070" s="1"/>
      <c r="G2070" s="5" t="s">
        <v>64</v>
      </c>
      <c r="H2070" s="5" t="s">
        <v>3663</v>
      </c>
      <c r="I2070" s="1" t="s">
        <v>3664</v>
      </c>
      <c r="J2070" s="1" t="s">
        <v>4993</v>
      </c>
      <c r="K2070" s="1"/>
      <c r="L2070" s="2" t="s">
        <v>5651</v>
      </c>
      <c r="M2070" s="1"/>
      <c r="N2070" s="1"/>
      <c r="O2070" s="1"/>
      <c r="P2070" s="1"/>
      <c r="Q2070" s="1"/>
      <c r="R2070" s="1"/>
      <c r="S2070" s="1"/>
      <c r="T2070" s="1"/>
      <c r="U2070" s="1"/>
      <c r="V2070" s="1"/>
      <c r="W2070" s="1"/>
      <c r="X2070" s="1"/>
      <c r="Y2070" s="1"/>
      <c r="Z2070" s="1"/>
    </row>
    <row r="2071" spans="1:26" ht="33.75" customHeight="1">
      <c r="A2071" s="1">
        <v>2436</v>
      </c>
      <c r="B2071" s="1" t="s">
        <v>5652</v>
      </c>
      <c r="C2071" s="1" t="s">
        <v>5615</v>
      </c>
      <c r="D2071" s="4">
        <v>40197.48541666667</v>
      </c>
      <c r="E2071" s="1" t="s">
        <v>772</v>
      </c>
      <c r="F2071" s="1" t="s">
        <v>5645</v>
      </c>
      <c r="G2071" s="5" t="s">
        <v>64</v>
      </c>
      <c r="H2071" s="5" t="s">
        <v>3663</v>
      </c>
      <c r="I2071" s="1" t="s">
        <v>3664</v>
      </c>
      <c r="J2071" s="1" t="s">
        <v>4847</v>
      </c>
      <c r="K2071" s="1" t="s">
        <v>5646</v>
      </c>
      <c r="L2071" s="2" t="s">
        <v>5653</v>
      </c>
      <c r="M2071" s="1"/>
      <c r="N2071" s="1"/>
      <c r="O2071" s="1"/>
      <c r="P2071" s="1"/>
      <c r="Q2071" s="1"/>
      <c r="R2071" s="1"/>
      <c r="S2071" s="1"/>
      <c r="T2071" s="1"/>
      <c r="U2071" s="1"/>
      <c r="V2071" s="1"/>
      <c r="W2071" s="1"/>
      <c r="X2071" s="1"/>
      <c r="Y2071" s="1"/>
      <c r="Z2071" s="1"/>
    </row>
    <row r="2072" spans="1:26" ht="33.75" customHeight="1">
      <c r="A2072" s="1">
        <v>2439</v>
      </c>
      <c r="B2072" s="1" t="s">
        <v>5654</v>
      </c>
      <c r="C2072" s="1" t="s">
        <v>5615</v>
      </c>
      <c r="D2072" s="4">
        <v>40197.78125</v>
      </c>
      <c r="E2072" s="1" t="s">
        <v>54</v>
      </c>
      <c r="F2072" s="1"/>
      <c r="G2072" s="5" t="s">
        <v>64</v>
      </c>
      <c r="H2072" s="5" t="s">
        <v>3663</v>
      </c>
      <c r="I2072" s="1" t="s">
        <v>3664</v>
      </c>
      <c r="J2072" s="1" t="s">
        <v>4993</v>
      </c>
      <c r="K2072" s="1"/>
      <c r="L2072" s="2" t="s">
        <v>5655</v>
      </c>
      <c r="M2072" s="1"/>
      <c r="N2072" s="1"/>
      <c r="O2072" s="1"/>
      <c r="P2072" s="1"/>
      <c r="Q2072" s="1"/>
      <c r="R2072" s="1"/>
      <c r="S2072" s="1"/>
      <c r="T2072" s="1"/>
      <c r="U2072" s="1"/>
      <c r="V2072" s="1"/>
      <c r="W2072" s="1"/>
      <c r="X2072" s="1"/>
      <c r="Y2072" s="1"/>
      <c r="Z2072" s="1"/>
    </row>
    <row r="2073" spans="1:26" ht="33.75" customHeight="1">
      <c r="A2073" s="1">
        <v>2440</v>
      </c>
      <c r="B2073" s="1" t="s">
        <v>5656</v>
      </c>
      <c r="C2073" s="1" t="s">
        <v>5615</v>
      </c>
      <c r="D2073" s="4">
        <v>40198.447222222225</v>
      </c>
      <c r="E2073" s="1" t="s">
        <v>772</v>
      </c>
      <c r="F2073" s="1"/>
      <c r="G2073" s="5" t="s">
        <v>64</v>
      </c>
      <c r="H2073" s="5" t="s">
        <v>179</v>
      </c>
      <c r="I2073" s="1" t="s">
        <v>4723</v>
      </c>
      <c r="J2073" s="1"/>
      <c r="K2073" s="1"/>
      <c r="L2073" s="2" t="s">
        <v>5657</v>
      </c>
      <c r="M2073" s="1"/>
      <c r="N2073" s="1"/>
      <c r="O2073" s="1"/>
      <c r="P2073" s="1"/>
      <c r="Q2073" s="1"/>
      <c r="R2073" s="1"/>
      <c r="S2073" s="1"/>
      <c r="T2073" s="1"/>
      <c r="U2073" s="1"/>
      <c r="V2073" s="1"/>
      <c r="W2073" s="1"/>
      <c r="X2073" s="1"/>
      <c r="Y2073" s="1"/>
      <c r="Z2073" s="1"/>
    </row>
    <row r="2074" spans="1:26" ht="33.75" customHeight="1">
      <c r="A2074" s="1">
        <v>2441</v>
      </c>
      <c r="B2074" s="1" t="s">
        <v>5658</v>
      </c>
      <c r="C2074" s="1" t="s">
        <v>5615</v>
      </c>
      <c r="D2074" s="4">
        <v>40199.038888888892</v>
      </c>
      <c r="E2074" s="1" t="s">
        <v>5635</v>
      </c>
      <c r="F2074" s="1"/>
      <c r="G2074" s="5" t="s">
        <v>64</v>
      </c>
      <c r="H2074" s="5" t="s">
        <v>3663</v>
      </c>
      <c r="I2074" s="1" t="s">
        <v>3664</v>
      </c>
      <c r="J2074" s="1" t="s">
        <v>4993</v>
      </c>
      <c r="K2074" s="1"/>
      <c r="L2074" s="2" t="s">
        <v>5659</v>
      </c>
      <c r="M2074" s="1"/>
      <c r="N2074" s="1"/>
      <c r="O2074" s="1"/>
      <c r="P2074" s="1"/>
      <c r="Q2074" s="1"/>
      <c r="R2074" s="1"/>
      <c r="S2074" s="1"/>
      <c r="T2074" s="1"/>
      <c r="U2074" s="1"/>
      <c r="V2074" s="1"/>
      <c r="W2074" s="1"/>
      <c r="X2074" s="1"/>
      <c r="Y2074" s="1"/>
      <c r="Z2074" s="1"/>
    </row>
    <row r="2075" spans="1:26" ht="33.75" customHeight="1">
      <c r="A2075" s="1">
        <v>2442</v>
      </c>
      <c r="B2075" s="1" t="s">
        <v>5660</v>
      </c>
      <c r="C2075" s="1" t="s">
        <v>5615</v>
      </c>
      <c r="D2075" s="4">
        <v>40201</v>
      </c>
      <c r="E2075" s="1" t="s">
        <v>54</v>
      </c>
      <c r="F2075" s="1"/>
      <c r="G2075" s="5" t="s">
        <v>64</v>
      </c>
      <c r="H2075" s="5" t="s">
        <v>3663</v>
      </c>
      <c r="I2075" s="1" t="s">
        <v>3664</v>
      </c>
      <c r="J2075" s="1" t="s">
        <v>4847</v>
      </c>
      <c r="K2075" s="1"/>
      <c r="L2075" s="2" t="s">
        <v>5661</v>
      </c>
      <c r="M2075" s="1"/>
      <c r="N2075" s="1"/>
      <c r="O2075" s="1"/>
      <c r="P2075" s="1"/>
      <c r="Q2075" s="1"/>
      <c r="R2075" s="1"/>
      <c r="S2075" s="1"/>
      <c r="T2075" s="1"/>
      <c r="U2075" s="1"/>
      <c r="V2075" s="1"/>
      <c r="W2075" s="1"/>
      <c r="X2075" s="1"/>
      <c r="Y2075" s="1"/>
      <c r="Z2075" s="1"/>
    </row>
    <row r="2076" spans="1:26" ht="33.75" customHeight="1">
      <c r="A2076" s="1">
        <v>2443</v>
      </c>
      <c r="B2076" s="1" t="s">
        <v>5662</v>
      </c>
      <c r="C2076" s="1" t="s">
        <v>5615</v>
      </c>
      <c r="D2076" s="4">
        <v>40201.356944444444</v>
      </c>
      <c r="E2076" s="1" t="s">
        <v>54</v>
      </c>
      <c r="F2076" s="1"/>
      <c r="G2076" s="5" t="s">
        <v>64</v>
      </c>
      <c r="H2076" s="5" t="s">
        <v>3663</v>
      </c>
      <c r="I2076" s="1" t="s">
        <v>3664</v>
      </c>
      <c r="J2076" s="1" t="s">
        <v>4847</v>
      </c>
      <c r="K2076" s="1"/>
      <c r="L2076" s="2" t="s">
        <v>5663</v>
      </c>
      <c r="M2076" s="1"/>
      <c r="N2076" s="1"/>
      <c r="O2076" s="1"/>
      <c r="P2076" s="1"/>
      <c r="Q2076" s="1"/>
      <c r="R2076" s="1"/>
      <c r="S2076" s="1"/>
      <c r="T2076" s="1"/>
      <c r="U2076" s="1"/>
      <c r="V2076" s="1"/>
      <c r="W2076" s="1"/>
      <c r="X2076" s="1"/>
      <c r="Y2076" s="1"/>
      <c r="Z2076" s="1"/>
    </row>
    <row r="2077" spans="1:26" ht="33.75" customHeight="1">
      <c r="A2077" s="1">
        <v>2444</v>
      </c>
      <c r="B2077" s="1" t="s">
        <v>5664</v>
      </c>
      <c r="C2077" s="1" t="s">
        <v>5615</v>
      </c>
      <c r="D2077" s="4">
        <v>40201.379861111112</v>
      </c>
      <c r="E2077" s="1" t="s">
        <v>5665</v>
      </c>
      <c r="F2077" s="1"/>
      <c r="G2077" s="5" t="s">
        <v>64</v>
      </c>
      <c r="H2077" s="5" t="s">
        <v>3663</v>
      </c>
      <c r="I2077" s="1" t="s">
        <v>3664</v>
      </c>
      <c r="J2077" s="1" t="s">
        <v>4847</v>
      </c>
      <c r="K2077" s="1"/>
      <c r="L2077" s="2" t="s">
        <v>5666</v>
      </c>
      <c r="M2077" s="1"/>
      <c r="N2077" s="1"/>
      <c r="O2077" s="1"/>
      <c r="P2077" s="1"/>
      <c r="Q2077" s="1"/>
      <c r="R2077" s="1"/>
      <c r="S2077" s="1"/>
      <c r="T2077" s="1"/>
      <c r="U2077" s="1"/>
      <c r="V2077" s="1"/>
      <c r="W2077" s="1"/>
      <c r="X2077" s="1"/>
      <c r="Y2077" s="1"/>
      <c r="Z2077" s="1"/>
    </row>
    <row r="2078" spans="1:26" ht="33.75" customHeight="1">
      <c r="A2078" s="1">
        <v>2445</v>
      </c>
      <c r="B2078" s="1" t="s">
        <v>5667</v>
      </c>
      <c r="C2078" s="1" t="s">
        <v>5615</v>
      </c>
      <c r="D2078" s="4">
        <v>40203.824999999997</v>
      </c>
      <c r="E2078" s="1" t="s">
        <v>54</v>
      </c>
      <c r="F2078" s="1"/>
      <c r="G2078" s="5" t="s">
        <v>64</v>
      </c>
      <c r="H2078" s="5" t="s">
        <v>3663</v>
      </c>
      <c r="I2078" s="1" t="s">
        <v>3664</v>
      </c>
      <c r="J2078" s="1" t="s">
        <v>4847</v>
      </c>
      <c r="K2078" s="1"/>
      <c r="L2078" s="2" t="s">
        <v>5668</v>
      </c>
      <c r="M2078" s="1"/>
      <c r="N2078" s="1"/>
      <c r="O2078" s="1"/>
      <c r="P2078" s="1"/>
      <c r="Q2078" s="1"/>
      <c r="R2078" s="1"/>
      <c r="S2078" s="1"/>
      <c r="T2078" s="1"/>
      <c r="U2078" s="1"/>
      <c r="V2078" s="1"/>
      <c r="W2078" s="1"/>
      <c r="X2078" s="1"/>
      <c r="Y2078" s="1"/>
      <c r="Z2078" s="1"/>
    </row>
    <row r="2079" spans="1:26" ht="33.75" customHeight="1">
      <c r="A2079" s="1">
        <v>2446</v>
      </c>
      <c r="B2079" s="1" t="s">
        <v>5669</v>
      </c>
      <c r="C2079" s="1" t="s">
        <v>5615</v>
      </c>
      <c r="D2079" s="4">
        <v>40206.426388888889</v>
      </c>
      <c r="E2079" s="1" t="s">
        <v>5665</v>
      </c>
      <c r="F2079" s="1"/>
      <c r="G2079" s="5" t="s">
        <v>64</v>
      </c>
      <c r="H2079" s="5" t="s">
        <v>3663</v>
      </c>
      <c r="I2079" s="1" t="s">
        <v>3664</v>
      </c>
      <c r="J2079" s="1" t="s">
        <v>4993</v>
      </c>
      <c r="K2079" s="1"/>
      <c r="L2079" s="2" t="s">
        <v>5670</v>
      </c>
      <c r="M2079" s="1"/>
      <c r="N2079" s="1"/>
      <c r="O2079" s="1"/>
      <c r="P2079" s="1"/>
      <c r="Q2079" s="1"/>
      <c r="R2079" s="1"/>
      <c r="S2079" s="1"/>
      <c r="T2079" s="1"/>
      <c r="U2079" s="1"/>
      <c r="V2079" s="1"/>
      <c r="W2079" s="1"/>
      <c r="X2079" s="1"/>
      <c r="Y2079" s="1"/>
      <c r="Z2079" s="1"/>
    </row>
    <row r="2080" spans="1:26" ht="33.75" customHeight="1">
      <c r="A2080" s="1">
        <v>2447</v>
      </c>
      <c r="B2080" s="1" t="s">
        <v>5671</v>
      </c>
      <c r="C2080" s="1" t="s">
        <v>5615</v>
      </c>
      <c r="D2080" s="4">
        <v>40206.615972222222</v>
      </c>
      <c r="E2080" s="1" t="s">
        <v>5672</v>
      </c>
      <c r="F2080" s="1"/>
      <c r="G2080" s="5" t="s">
        <v>64</v>
      </c>
      <c r="H2080" s="5" t="s">
        <v>3663</v>
      </c>
      <c r="I2080" s="1" t="s">
        <v>3664</v>
      </c>
      <c r="J2080" s="1" t="s">
        <v>4993</v>
      </c>
      <c r="K2080" s="1" t="s">
        <v>28</v>
      </c>
      <c r="L2080" s="2" t="s">
        <v>5673</v>
      </c>
      <c r="M2080" s="1"/>
      <c r="N2080" s="1"/>
      <c r="O2080" s="1"/>
      <c r="P2080" s="1"/>
      <c r="Q2080" s="1"/>
      <c r="R2080" s="1"/>
      <c r="S2080" s="1"/>
      <c r="T2080" s="1"/>
      <c r="U2080" s="1"/>
      <c r="V2080" s="1"/>
      <c r="W2080" s="1"/>
      <c r="X2080" s="1"/>
      <c r="Y2080" s="1"/>
      <c r="Z2080" s="1"/>
    </row>
    <row r="2081" spans="1:26" ht="33.75" customHeight="1">
      <c r="A2081" s="1">
        <v>2448</v>
      </c>
      <c r="B2081" s="1" t="s">
        <v>5674</v>
      </c>
      <c r="C2081" s="1" t="s">
        <v>5615</v>
      </c>
      <c r="D2081" s="4">
        <v>40206.770833333336</v>
      </c>
      <c r="E2081" s="1" t="s">
        <v>54</v>
      </c>
      <c r="F2081" s="1"/>
      <c r="G2081" s="5" t="s">
        <v>64</v>
      </c>
      <c r="H2081" s="5" t="s">
        <v>3663</v>
      </c>
      <c r="I2081" s="1" t="s">
        <v>3664</v>
      </c>
      <c r="J2081" s="1" t="s">
        <v>4847</v>
      </c>
      <c r="K2081" s="1"/>
      <c r="L2081" s="2" t="s">
        <v>5675</v>
      </c>
      <c r="M2081" s="1"/>
      <c r="N2081" s="1"/>
      <c r="O2081" s="1"/>
      <c r="P2081" s="1"/>
      <c r="Q2081" s="1"/>
      <c r="R2081" s="1"/>
      <c r="S2081" s="1"/>
      <c r="T2081" s="1"/>
      <c r="U2081" s="1"/>
      <c r="V2081" s="1"/>
      <c r="W2081" s="1"/>
      <c r="X2081" s="1"/>
      <c r="Y2081" s="1"/>
      <c r="Z2081" s="1"/>
    </row>
    <row r="2082" spans="1:26" ht="33.75" customHeight="1">
      <c r="A2082" s="1">
        <v>2449</v>
      </c>
      <c r="B2082" s="1" t="s">
        <v>5676</v>
      </c>
      <c r="C2082" s="1" t="s">
        <v>5615</v>
      </c>
      <c r="D2082" s="4">
        <v>40206.77847222222</v>
      </c>
      <c r="E2082" s="1" t="s">
        <v>3610</v>
      </c>
      <c r="F2082" s="1"/>
      <c r="G2082" s="5" t="s">
        <v>64</v>
      </c>
      <c r="H2082" s="5" t="s">
        <v>3663</v>
      </c>
      <c r="I2082" s="1" t="s">
        <v>3664</v>
      </c>
      <c r="J2082" s="1" t="s">
        <v>4993</v>
      </c>
      <c r="K2082" s="1"/>
      <c r="L2082" s="2" t="s">
        <v>5677</v>
      </c>
      <c r="M2082" s="1"/>
      <c r="N2082" s="1"/>
      <c r="O2082" s="1"/>
      <c r="P2082" s="1"/>
      <c r="Q2082" s="1"/>
      <c r="R2082" s="1"/>
      <c r="S2082" s="1"/>
      <c r="T2082" s="1"/>
      <c r="U2082" s="1"/>
      <c r="V2082" s="1"/>
      <c r="W2082" s="1"/>
      <c r="X2082" s="1"/>
      <c r="Y2082" s="1"/>
      <c r="Z2082" s="1"/>
    </row>
    <row r="2083" spans="1:26" ht="33.75" customHeight="1">
      <c r="A2083" s="1">
        <v>2450</v>
      </c>
      <c r="B2083" s="1" t="s">
        <v>5678</v>
      </c>
      <c r="C2083" s="1" t="s">
        <v>5615</v>
      </c>
      <c r="D2083" s="4">
        <v>40206.794444444444</v>
      </c>
      <c r="E2083" s="1" t="s">
        <v>5672</v>
      </c>
      <c r="F2083" s="1"/>
      <c r="G2083" s="5" t="s">
        <v>64</v>
      </c>
      <c r="H2083" s="5" t="s">
        <v>3663</v>
      </c>
      <c r="I2083" s="1" t="s">
        <v>3664</v>
      </c>
      <c r="J2083" s="1" t="s">
        <v>4993</v>
      </c>
      <c r="K2083" s="1"/>
      <c r="L2083" s="2" t="s">
        <v>5679</v>
      </c>
      <c r="M2083" s="1"/>
      <c r="N2083" s="1"/>
      <c r="O2083" s="1"/>
      <c r="P2083" s="1"/>
      <c r="Q2083" s="1"/>
      <c r="R2083" s="1"/>
      <c r="S2083" s="1"/>
      <c r="T2083" s="1"/>
      <c r="U2083" s="1"/>
      <c r="V2083" s="1"/>
      <c r="W2083" s="1"/>
      <c r="X2083" s="1"/>
      <c r="Y2083" s="1"/>
      <c r="Z2083" s="1"/>
    </row>
    <row r="2084" spans="1:26" ht="33.75" customHeight="1">
      <c r="A2084" s="1">
        <v>2451</v>
      </c>
      <c r="B2084" s="1" t="s">
        <v>5680</v>
      </c>
      <c r="C2084" s="1" t="s">
        <v>5615</v>
      </c>
      <c r="D2084" s="4">
        <v>40209.395833333336</v>
      </c>
      <c r="E2084" s="1" t="s">
        <v>54</v>
      </c>
      <c r="F2084" s="1"/>
      <c r="G2084" s="6" t="s">
        <v>78</v>
      </c>
      <c r="H2084" s="5" t="s">
        <v>79</v>
      </c>
      <c r="I2084" s="1" t="s">
        <v>5581</v>
      </c>
      <c r="J2084" s="1"/>
      <c r="K2084" s="1"/>
      <c r="L2084" s="2" t="s">
        <v>5681</v>
      </c>
      <c r="M2084" s="1"/>
      <c r="N2084" s="1"/>
      <c r="O2084" s="1"/>
      <c r="P2084" s="1"/>
      <c r="Q2084" s="1"/>
      <c r="R2084" s="1"/>
      <c r="S2084" s="1"/>
      <c r="T2084" s="1"/>
      <c r="U2084" s="1"/>
      <c r="V2084" s="1"/>
      <c r="W2084" s="1"/>
      <c r="X2084" s="1"/>
      <c r="Y2084" s="1"/>
      <c r="Z2084" s="1"/>
    </row>
    <row r="2085" spans="1:26" ht="33.75" customHeight="1">
      <c r="A2085" s="1">
        <v>2452</v>
      </c>
      <c r="B2085" s="1" t="s">
        <v>5682</v>
      </c>
      <c r="C2085" s="1" t="s">
        <v>5615</v>
      </c>
      <c r="D2085" s="4">
        <v>40209.443055555559</v>
      </c>
      <c r="E2085" s="1" t="s">
        <v>84</v>
      </c>
      <c r="F2085" s="1"/>
      <c r="G2085" s="6" t="s">
        <v>78</v>
      </c>
      <c r="H2085" s="5" t="s">
        <v>79</v>
      </c>
      <c r="I2085" s="1" t="s">
        <v>5581</v>
      </c>
      <c r="J2085" s="1"/>
      <c r="K2085" s="1"/>
      <c r="L2085" s="2" t="s">
        <v>5683</v>
      </c>
      <c r="M2085" s="1"/>
      <c r="N2085" s="1"/>
      <c r="O2085" s="1"/>
      <c r="P2085" s="1"/>
      <c r="Q2085" s="1"/>
      <c r="R2085" s="1"/>
      <c r="S2085" s="1"/>
      <c r="T2085" s="1"/>
      <c r="U2085" s="1"/>
      <c r="V2085" s="1"/>
      <c r="W2085" s="1"/>
      <c r="X2085" s="1"/>
      <c r="Y2085" s="1"/>
      <c r="Z2085" s="1"/>
    </row>
    <row r="2086" spans="1:26" ht="33.75" customHeight="1">
      <c r="A2086" s="1">
        <v>2453</v>
      </c>
      <c r="B2086" s="1" t="s">
        <v>5684</v>
      </c>
      <c r="C2086" s="1" t="s">
        <v>5615</v>
      </c>
      <c r="D2086" s="4">
        <v>40209.506249999999</v>
      </c>
      <c r="E2086" s="1" t="s">
        <v>1887</v>
      </c>
      <c r="F2086" s="1"/>
      <c r="G2086" s="5" t="s">
        <v>64</v>
      </c>
      <c r="H2086" s="5" t="s">
        <v>3663</v>
      </c>
      <c r="I2086" s="1" t="s">
        <v>3664</v>
      </c>
      <c r="J2086" s="1" t="s">
        <v>4993</v>
      </c>
      <c r="K2086" s="1"/>
      <c r="L2086" s="2" t="s">
        <v>5685</v>
      </c>
      <c r="M2086" s="1"/>
      <c r="N2086" s="1"/>
      <c r="O2086" s="1"/>
      <c r="P2086" s="1"/>
      <c r="Q2086" s="1"/>
      <c r="R2086" s="1"/>
      <c r="S2086" s="1"/>
      <c r="T2086" s="1"/>
      <c r="U2086" s="1"/>
      <c r="V2086" s="1"/>
      <c r="W2086" s="1"/>
      <c r="X2086" s="1"/>
      <c r="Y2086" s="1"/>
      <c r="Z2086" s="1"/>
    </row>
    <row r="2087" spans="1:26" ht="33.75" customHeight="1">
      <c r="A2087" s="1">
        <v>2454</v>
      </c>
      <c r="B2087" s="1" t="s">
        <v>5686</v>
      </c>
      <c r="C2087" s="1" t="s">
        <v>5615</v>
      </c>
      <c r="D2087" s="4">
        <v>40210.273611111108</v>
      </c>
      <c r="E2087" s="1" t="s">
        <v>5687</v>
      </c>
      <c r="F2087" s="1"/>
      <c r="G2087" s="5" t="s">
        <v>64</v>
      </c>
      <c r="H2087" s="5" t="s">
        <v>3663</v>
      </c>
      <c r="I2087" s="1" t="s">
        <v>3664</v>
      </c>
      <c r="J2087" s="1" t="s">
        <v>4847</v>
      </c>
      <c r="K2087" s="1" t="s">
        <v>5646</v>
      </c>
      <c r="L2087" s="2" t="s">
        <v>5688</v>
      </c>
      <c r="M2087" s="1"/>
      <c r="N2087" s="1"/>
      <c r="O2087" s="1"/>
      <c r="P2087" s="1"/>
      <c r="Q2087" s="1"/>
      <c r="R2087" s="1"/>
      <c r="S2087" s="1"/>
      <c r="T2087" s="1"/>
      <c r="U2087" s="1"/>
      <c r="V2087" s="1"/>
      <c r="W2087" s="1"/>
      <c r="X2087" s="1"/>
      <c r="Y2087" s="1"/>
      <c r="Z2087" s="1"/>
    </row>
    <row r="2088" spans="1:26" ht="33.75" customHeight="1">
      <c r="A2088" s="1">
        <v>2455</v>
      </c>
      <c r="B2088" s="1" t="s">
        <v>5689</v>
      </c>
      <c r="C2088" s="1" t="s">
        <v>5615</v>
      </c>
      <c r="D2088" s="4">
        <v>40210.286805555559</v>
      </c>
      <c r="E2088" s="1" t="s">
        <v>1887</v>
      </c>
      <c r="F2088" s="1"/>
      <c r="G2088" s="5" t="s">
        <v>64</v>
      </c>
      <c r="H2088" s="5" t="s">
        <v>3663</v>
      </c>
      <c r="I2088" s="1" t="s">
        <v>3664</v>
      </c>
      <c r="J2088" s="1" t="s">
        <v>4847</v>
      </c>
      <c r="K2088" s="1" t="s">
        <v>5646</v>
      </c>
      <c r="L2088" s="2" t="s">
        <v>5690</v>
      </c>
      <c r="M2088" s="1"/>
      <c r="N2088" s="1"/>
      <c r="O2088" s="1"/>
      <c r="P2088" s="1"/>
      <c r="Q2088" s="1"/>
      <c r="R2088" s="1"/>
      <c r="S2088" s="1"/>
      <c r="T2088" s="1"/>
      <c r="U2088" s="1"/>
      <c r="V2088" s="1"/>
      <c r="W2088" s="1"/>
      <c r="X2088" s="1"/>
      <c r="Y2088" s="1"/>
      <c r="Z2088" s="1"/>
    </row>
    <row r="2089" spans="1:26" ht="33.75" customHeight="1">
      <c r="A2089" s="1">
        <v>2456</v>
      </c>
      <c r="B2089" s="1" t="s">
        <v>5691</v>
      </c>
      <c r="C2089" s="1" t="s">
        <v>5615</v>
      </c>
      <c r="D2089" s="4">
        <v>40212.297222222223</v>
      </c>
      <c r="E2089" s="1" t="s">
        <v>5687</v>
      </c>
      <c r="F2089" s="1"/>
      <c r="G2089" s="5" t="s">
        <v>64</v>
      </c>
      <c r="H2089" s="5" t="s">
        <v>3663</v>
      </c>
      <c r="I2089" s="1" t="s">
        <v>3664</v>
      </c>
      <c r="J2089" s="1" t="s">
        <v>4847</v>
      </c>
      <c r="K2089" s="1" t="s">
        <v>5646</v>
      </c>
      <c r="L2089" s="2" t="s">
        <v>5692</v>
      </c>
      <c r="M2089" s="1"/>
      <c r="N2089" s="1"/>
      <c r="O2089" s="1"/>
      <c r="P2089" s="1"/>
      <c r="Q2089" s="1"/>
      <c r="R2089" s="1"/>
      <c r="S2089" s="1"/>
      <c r="T2089" s="1"/>
      <c r="U2089" s="1"/>
      <c r="V2089" s="1"/>
      <c r="W2089" s="1"/>
      <c r="X2089" s="1"/>
      <c r="Y2089" s="1"/>
      <c r="Z2089" s="1"/>
    </row>
    <row r="2090" spans="1:26" ht="33.75" customHeight="1">
      <c r="A2090" s="1">
        <v>141</v>
      </c>
      <c r="B2090" s="1" t="s">
        <v>5693</v>
      </c>
      <c r="C2090" s="3" t="s">
        <v>13</v>
      </c>
      <c r="D2090" s="4">
        <v>40216.932638888888</v>
      </c>
      <c r="E2090" s="1" t="s">
        <v>5694</v>
      </c>
      <c r="F2090" s="1"/>
      <c r="G2090" s="5" t="s">
        <v>15</v>
      </c>
      <c r="H2090" s="5" t="s">
        <v>50</v>
      </c>
      <c r="I2090" s="1" t="s">
        <v>5695</v>
      </c>
      <c r="J2090" s="1"/>
      <c r="K2090" s="1"/>
      <c r="L2090" s="2" t="s">
        <v>5696</v>
      </c>
      <c r="M2090" s="1"/>
      <c r="N2090" s="1"/>
      <c r="O2090" s="1"/>
      <c r="P2090" s="1"/>
      <c r="Q2090" s="1"/>
      <c r="R2090" s="1"/>
      <c r="S2090" s="1"/>
      <c r="T2090" s="1"/>
      <c r="U2090" s="1"/>
      <c r="V2090" s="1"/>
      <c r="W2090" s="1"/>
      <c r="X2090" s="1"/>
      <c r="Y2090" s="1"/>
      <c r="Z2090" s="1"/>
    </row>
    <row r="2091" spans="1:26" ht="33.75" customHeight="1">
      <c r="A2091" s="1">
        <v>18</v>
      </c>
      <c r="B2091" s="1" t="s">
        <v>12</v>
      </c>
      <c r="C2091" s="1" t="s">
        <v>5697</v>
      </c>
      <c r="D2091" s="4">
        <v>40226.009918981479</v>
      </c>
      <c r="E2091" s="1" t="s">
        <v>14</v>
      </c>
      <c r="F2091" s="1"/>
      <c r="G2091" s="5" t="s">
        <v>64</v>
      </c>
      <c r="H2091" s="5" t="s">
        <v>3663</v>
      </c>
      <c r="I2091" s="1" t="s">
        <v>3664</v>
      </c>
      <c r="J2091" s="1" t="s">
        <v>4847</v>
      </c>
      <c r="K2091" s="1"/>
      <c r="L2091" s="2" t="s">
        <v>5698</v>
      </c>
      <c r="M2091" s="1"/>
      <c r="N2091" s="1"/>
      <c r="O2091" s="1"/>
      <c r="P2091" s="1"/>
      <c r="Q2091" s="1"/>
      <c r="R2091" s="1"/>
      <c r="S2091" s="1"/>
      <c r="T2091" s="1"/>
      <c r="U2091" s="1"/>
      <c r="V2091" s="1"/>
      <c r="W2091" s="1"/>
      <c r="X2091" s="1"/>
      <c r="Y2091" s="1"/>
      <c r="Z2091" s="1"/>
    </row>
    <row r="2092" spans="1:26" ht="33.75" customHeight="1">
      <c r="A2092" s="1">
        <v>1551</v>
      </c>
      <c r="B2092" s="1" t="s">
        <v>5699</v>
      </c>
      <c r="C2092" s="1" t="s">
        <v>5697</v>
      </c>
      <c r="D2092" s="4">
        <v>40226.177777777775</v>
      </c>
      <c r="E2092" s="1" t="s">
        <v>3610</v>
      </c>
      <c r="F2092" s="1"/>
      <c r="G2092" s="5" t="s">
        <v>64</v>
      </c>
      <c r="H2092" s="5" t="s">
        <v>3663</v>
      </c>
      <c r="I2092" s="1" t="s">
        <v>3664</v>
      </c>
      <c r="J2092" s="1" t="s">
        <v>4993</v>
      </c>
      <c r="K2092" s="1"/>
      <c r="L2092" s="2" t="s">
        <v>5700</v>
      </c>
      <c r="M2092" s="1"/>
      <c r="N2092" s="1"/>
      <c r="O2092" s="1"/>
      <c r="P2092" s="1"/>
      <c r="Q2092" s="1"/>
      <c r="R2092" s="1"/>
      <c r="S2092" s="1"/>
      <c r="T2092" s="1"/>
      <c r="U2092" s="1"/>
      <c r="V2092" s="1"/>
      <c r="W2092" s="1"/>
      <c r="X2092" s="1"/>
      <c r="Y2092" s="1"/>
      <c r="Z2092" s="1"/>
    </row>
    <row r="2093" spans="1:26" ht="33.75" customHeight="1">
      <c r="A2093" s="1">
        <v>1552</v>
      </c>
      <c r="B2093" s="1" t="s">
        <v>5701</v>
      </c>
      <c r="C2093" s="1" t="s">
        <v>5697</v>
      </c>
      <c r="D2093" s="4">
        <v>40226.37777777778</v>
      </c>
      <c r="E2093" s="1" t="s">
        <v>14</v>
      </c>
      <c r="F2093" s="1"/>
      <c r="G2093" s="5" t="s">
        <v>64</v>
      </c>
      <c r="H2093" s="5" t="s">
        <v>3663</v>
      </c>
      <c r="I2093" s="1" t="s">
        <v>3664</v>
      </c>
      <c r="J2093" s="1" t="s">
        <v>4993</v>
      </c>
      <c r="K2093" s="1"/>
      <c r="L2093" s="2" t="s">
        <v>5702</v>
      </c>
      <c r="M2093" s="1"/>
      <c r="N2093" s="1"/>
      <c r="O2093" s="1"/>
      <c r="P2093" s="1"/>
      <c r="Q2093" s="1"/>
      <c r="R2093" s="1"/>
      <c r="S2093" s="1"/>
      <c r="T2093" s="1"/>
      <c r="U2093" s="1"/>
      <c r="V2093" s="1"/>
      <c r="W2093" s="1"/>
      <c r="X2093" s="1"/>
      <c r="Y2093" s="1"/>
      <c r="Z2093" s="1"/>
    </row>
    <row r="2094" spans="1:26" ht="33.75" customHeight="1">
      <c r="A2094" s="1">
        <v>2457</v>
      </c>
      <c r="B2094" s="1" t="s">
        <v>5703</v>
      </c>
      <c r="C2094" s="1" t="s">
        <v>5704</v>
      </c>
      <c r="D2094" s="4">
        <v>40290.411805555559</v>
      </c>
      <c r="E2094" s="1" t="s">
        <v>84</v>
      </c>
      <c r="F2094" s="1"/>
      <c r="G2094" s="5" t="s">
        <v>64</v>
      </c>
      <c r="H2094" s="5" t="s">
        <v>3663</v>
      </c>
      <c r="I2094" s="1" t="s">
        <v>3664</v>
      </c>
      <c r="J2094" s="1" t="s">
        <v>4847</v>
      </c>
      <c r="K2094" s="1" t="s">
        <v>5646</v>
      </c>
      <c r="L2094" s="2" t="s">
        <v>5705</v>
      </c>
      <c r="M2094" s="1"/>
      <c r="N2094" s="1"/>
      <c r="O2094" s="1"/>
      <c r="P2094" s="1"/>
      <c r="Q2094" s="1"/>
      <c r="R2094" s="1"/>
      <c r="S2094" s="1"/>
      <c r="T2094" s="1"/>
      <c r="U2094" s="1"/>
      <c r="V2094" s="1"/>
      <c r="W2094" s="1"/>
      <c r="X2094" s="1"/>
      <c r="Y2094" s="1"/>
      <c r="Z2094" s="1"/>
    </row>
    <row r="2095" spans="1:26" ht="33.75" customHeight="1">
      <c r="A2095" s="1">
        <v>2458</v>
      </c>
      <c r="B2095" s="1" t="s">
        <v>5706</v>
      </c>
      <c r="C2095" s="1" t="s">
        <v>5704</v>
      </c>
      <c r="D2095" s="4">
        <v>40290.454861111109</v>
      </c>
      <c r="E2095" s="1" t="s">
        <v>4170</v>
      </c>
      <c r="F2095" s="1"/>
      <c r="G2095" s="5" t="s">
        <v>64</v>
      </c>
      <c r="H2095" s="5" t="s">
        <v>3663</v>
      </c>
      <c r="I2095" s="1" t="s">
        <v>35</v>
      </c>
      <c r="J2095" s="1" t="s">
        <v>3664</v>
      </c>
      <c r="K2095" s="1"/>
      <c r="L2095" s="2" t="s">
        <v>5707</v>
      </c>
      <c r="M2095" s="1"/>
      <c r="N2095" s="1"/>
      <c r="O2095" s="1"/>
      <c r="P2095" s="1"/>
      <c r="Q2095" s="1"/>
      <c r="R2095" s="1"/>
      <c r="S2095" s="1"/>
      <c r="T2095" s="1"/>
      <c r="U2095" s="1"/>
      <c r="V2095" s="1"/>
      <c r="W2095" s="1"/>
      <c r="X2095" s="1"/>
      <c r="Y2095" s="1"/>
      <c r="Z2095" s="1"/>
    </row>
    <row r="2096" spans="1:26" ht="33.75" customHeight="1">
      <c r="A2096" s="1">
        <v>2459</v>
      </c>
      <c r="B2096" s="1" t="s">
        <v>5708</v>
      </c>
      <c r="C2096" s="1" t="s">
        <v>5704</v>
      </c>
      <c r="D2096" s="4">
        <v>40290.54583333333</v>
      </c>
      <c r="E2096" s="1" t="s">
        <v>2893</v>
      </c>
      <c r="F2096" s="1"/>
      <c r="G2096" s="5" t="s">
        <v>15</v>
      </c>
      <c r="H2096" s="5" t="s">
        <v>22</v>
      </c>
      <c r="I2096" s="1" t="s">
        <v>35</v>
      </c>
      <c r="J2096" s="1" t="s">
        <v>3664</v>
      </c>
      <c r="K2096" s="1"/>
      <c r="L2096" s="2" t="s">
        <v>5709</v>
      </c>
      <c r="M2096" s="1"/>
      <c r="N2096" s="1"/>
      <c r="O2096" s="1"/>
      <c r="P2096" s="1"/>
      <c r="Q2096" s="1"/>
      <c r="R2096" s="1"/>
      <c r="S2096" s="1"/>
      <c r="T2096" s="1"/>
      <c r="U2096" s="1"/>
      <c r="V2096" s="1"/>
      <c r="W2096" s="1"/>
      <c r="X2096" s="1"/>
      <c r="Y2096" s="1"/>
      <c r="Z2096" s="1"/>
    </row>
    <row r="2097" spans="1:26" ht="33.75" customHeight="1">
      <c r="A2097" s="1">
        <v>1588</v>
      </c>
      <c r="B2097" s="1" t="s">
        <v>12</v>
      </c>
      <c r="C2097" s="1" t="s">
        <v>5704</v>
      </c>
      <c r="D2097" s="4">
        <v>40290.726840277777</v>
      </c>
      <c r="E2097" s="1" t="s">
        <v>175</v>
      </c>
      <c r="F2097" s="1"/>
      <c r="G2097" s="5" t="s">
        <v>15</v>
      </c>
      <c r="H2097" s="5" t="s">
        <v>22</v>
      </c>
      <c r="I2097" s="1" t="s">
        <v>35</v>
      </c>
      <c r="J2097" s="1"/>
      <c r="K2097" s="1" t="s">
        <v>5710</v>
      </c>
      <c r="L2097" s="2" t="s">
        <v>5711</v>
      </c>
      <c r="M2097" s="1"/>
      <c r="N2097" s="1"/>
      <c r="O2097" s="1"/>
      <c r="P2097" s="1"/>
      <c r="Q2097" s="1"/>
      <c r="R2097" s="1"/>
      <c r="S2097" s="1"/>
      <c r="T2097" s="1"/>
      <c r="U2097" s="1"/>
      <c r="V2097" s="1"/>
      <c r="W2097" s="1"/>
      <c r="X2097" s="1"/>
      <c r="Y2097" s="1"/>
      <c r="Z2097" s="1"/>
    </row>
    <row r="2098" spans="1:26" ht="33.75" customHeight="1">
      <c r="A2098" s="1">
        <v>2460</v>
      </c>
      <c r="B2098" s="1" t="s">
        <v>5712</v>
      </c>
      <c r="C2098" s="1" t="s">
        <v>5704</v>
      </c>
      <c r="D2098" s="4">
        <v>40291.01666666667</v>
      </c>
      <c r="E2098" s="1" t="s">
        <v>381</v>
      </c>
      <c r="F2098" s="1"/>
      <c r="G2098" s="5" t="s">
        <v>15</v>
      </c>
      <c r="H2098" s="5" t="s">
        <v>22</v>
      </c>
      <c r="I2098" s="1" t="s">
        <v>23</v>
      </c>
      <c r="J2098" s="1"/>
      <c r="K2098" s="1"/>
      <c r="L2098" s="2" t="s">
        <v>5713</v>
      </c>
      <c r="M2098" s="1"/>
      <c r="N2098" s="1"/>
      <c r="O2098" s="1"/>
      <c r="P2098" s="1"/>
      <c r="Q2098" s="1"/>
      <c r="R2098" s="1"/>
      <c r="S2098" s="1"/>
      <c r="T2098" s="1"/>
      <c r="U2098" s="1"/>
      <c r="V2098" s="1"/>
      <c r="W2098" s="1"/>
      <c r="X2098" s="1"/>
      <c r="Y2098" s="1"/>
      <c r="Z2098" s="1"/>
    </row>
    <row r="2099" spans="1:26" ht="33.75" customHeight="1">
      <c r="A2099" s="1">
        <v>2461</v>
      </c>
      <c r="B2099" s="1" t="s">
        <v>5714</v>
      </c>
      <c r="C2099" s="1" t="s">
        <v>5704</v>
      </c>
      <c r="D2099" s="4">
        <v>40291.49722222222</v>
      </c>
      <c r="E2099" s="1" t="s">
        <v>1768</v>
      </c>
      <c r="F2099" s="1"/>
      <c r="G2099" s="5" t="s">
        <v>15</v>
      </c>
      <c r="H2099" s="5" t="s">
        <v>22</v>
      </c>
      <c r="I2099" s="1" t="s">
        <v>23</v>
      </c>
      <c r="J2099" s="1"/>
      <c r="K2099" s="1"/>
      <c r="L2099" s="2" t="s">
        <v>5715</v>
      </c>
      <c r="M2099" s="1"/>
      <c r="N2099" s="1"/>
      <c r="O2099" s="1"/>
      <c r="P2099" s="1"/>
      <c r="Q2099" s="1"/>
      <c r="R2099" s="1"/>
      <c r="S2099" s="1"/>
      <c r="T2099" s="1"/>
      <c r="U2099" s="1"/>
      <c r="V2099" s="1"/>
      <c r="W2099" s="1"/>
      <c r="X2099" s="1"/>
      <c r="Y2099" s="1"/>
      <c r="Z2099" s="1"/>
    </row>
    <row r="2100" spans="1:26" ht="33.75" customHeight="1">
      <c r="A2100" s="1">
        <v>2466</v>
      </c>
      <c r="B2100" s="1" t="s">
        <v>5716</v>
      </c>
      <c r="C2100" s="1" t="s">
        <v>5704</v>
      </c>
      <c r="D2100" s="4">
        <v>40291.53402777778</v>
      </c>
      <c r="E2100" s="1" t="s">
        <v>5717</v>
      </c>
      <c r="F2100" s="1"/>
      <c r="G2100" s="5" t="s">
        <v>15</v>
      </c>
      <c r="H2100" s="5" t="s">
        <v>22</v>
      </c>
      <c r="I2100" s="1" t="s">
        <v>23</v>
      </c>
      <c r="J2100" s="1"/>
      <c r="K2100" s="1"/>
      <c r="L2100" s="2" t="s">
        <v>5718</v>
      </c>
      <c r="M2100" s="1"/>
      <c r="N2100" s="1"/>
      <c r="O2100" s="1"/>
      <c r="P2100" s="1"/>
      <c r="Q2100" s="1"/>
      <c r="R2100" s="1"/>
      <c r="S2100" s="1"/>
      <c r="T2100" s="1"/>
      <c r="U2100" s="1"/>
      <c r="V2100" s="1"/>
      <c r="W2100" s="1"/>
      <c r="X2100" s="1"/>
      <c r="Y2100" s="1"/>
      <c r="Z2100" s="1"/>
    </row>
    <row r="2101" spans="1:26" ht="33.75" customHeight="1">
      <c r="A2101" s="1">
        <v>2467</v>
      </c>
      <c r="B2101" s="1" t="s">
        <v>5719</v>
      </c>
      <c r="C2101" s="1" t="s">
        <v>5704</v>
      </c>
      <c r="D2101" s="4">
        <v>40291.544444444444</v>
      </c>
      <c r="E2101" s="1" t="s">
        <v>54</v>
      </c>
      <c r="F2101" s="1"/>
      <c r="G2101" s="5" t="s">
        <v>64</v>
      </c>
      <c r="H2101" s="5" t="s">
        <v>3663</v>
      </c>
      <c r="I2101" s="1" t="s">
        <v>35</v>
      </c>
      <c r="J2101" s="1" t="s">
        <v>3664</v>
      </c>
      <c r="K2101" s="1"/>
      <c r="L2101" s="2" t="s">
        <v>5720</v>
      </c>
      <c r="M2101" s="1"/>
      <c r="N2101" s="1"/>
      <c r="O2101" s="1"/>
      <c r="P2101" s="1"/>
      <c r="Q2101" s="1"/>
      <c r="R2101" s="1"/>
      <c r="S2101" s="1"/>
      <c r="T2101" s="1"/>
      <c r="U2101" s="1"/>
      <c r="V2101" s="1"/>
      <c r="W2101" s="1"/>
      <c r="X2101" s="1"/>
      <c r="Y2101" s="1"/>
      <c r="Z2101" s="1"/>
    </row>
    <row r="2102" spans="1:26" ht="33.75" customHeight="1">
      <c r="A2102" s="1">
        <v>2468</v>
      </c>
      <c r="B2102" s="1" t="s">
        <v>5721</v>
      </c>
      <c r="C2102" s="1" t="s">
        <v>5704</v>
      </c>
      <c r="D2102" s="4">
        <v>40291.768750000003</v>
      </c>
      <c r="E2102" s="1" t="s">
        <v>110</v>
      </c>
      <c r="F2102" s="1"/>
      <c r="G2102" s="5" t="s">
        <v>33</v>
      </c>
      <c r="H2102" s="5" t="s">
        <v>34</v>
      </c>
      <c r="I2102" s="1" t="s">
        <v>5722</v>
      </c>
      <c r="J2102" s="1"/>
      <c r="K2102" s="1"/>
      <c r="L2102" s="2" t="s">
        <v>5723</v>
      </c>
      <c r="M2102" s="1"/>
      <c r="N2102" s="1"/>
      <c r="O2102" s="1"/>
      <c r="P2102" s="1"/>
      <c r="Q2102" s="1"/>
      <c r="R2102" s="1"/>
      <c r="S2102" s="1"/>
      <c r="T2102" s="1"/>
      <c r="U2102" s="1"/>
      <c r="V2102" s="1"/>
      <c r="W2102" s="1"/>
      <c r="X2102" s="1"/>
      <c r="Y2102" s="1"/>
      <c r="Z2102" s="1"/>
    </row>
    <row r="2103" spans="1:26" ht="33.75" customHeight="1">
      <c r="A2103" s="1">
        <v>2469</v>
      </c>
      <c r="B2103" s="1" t="s">
        <v>5724</v>
      </c>
      <c r="C2103" s="1" t="s">
        <v>5704</v>
      </c>
      <c r="D2103" s="4">
        <v>40291.770138888889</v>
      </c>
      <c r="E2103" s="1" t="s">
        <v>110</v>
      </c>
      <c r="F2103" s="1"/>
      <c r="G2103" s="5" t="s">
        <v>33</v>
      </c>
      <c r="H2103" s="5" t="s">
        <v>34</v>
      </c>
      <c r="I2103" s="1" t="s">
        <v>35</v>
      </c>
      <c r="J2103" s="1" t="s">
        <v>5725</v>
      </c>
      <c r="K2103" s="1"/>
      <c r="L2103" s="2" t="s">
        <v>5726</v>
      </c>
      <c r="M2103" s="1"/>
      <c r="N2103" s="1"/>
      <c r="O2103" s="1"/>
      <c r="P2103" s="1"/>
      <c r="Q2103" s="1"/>
      <c r="R2103" s="1"/>
      <c r="S2103" s="1"/>
      <c r="T2103" s="1"/>
      <c r="U2103" s="1"/>
      <c r="V2103" s="1"/>
      <c r="W2103" s="1"/>
      <c r="X2103" s="1"/>
      <c r="Y2103" s="1"/>
      <c r="Z2103" s="1"/>
    </row>
    <row r="2104" spans="1:26" ht="33.75" customHeight="1">
      <c r="A2104" s="1">
        <v>2462</v>
      </c>
      <c r="B2104" s="1" t="s">
        <v>5727</v>
      </c>
      <c r="C2104" s="1" t="s">
        <v>5704</v>
      </c>
      <c r="D2104" s="4">
        <v>40292.338888888888</v>
      </c>
      <c r="E2104" s="1" t="s">
        <v>1768</v>
      </c>
      <c r="F2104" s="1"/>
      <c r="G2104" s="5" t="s">
        <v>64</v>
      </c>
      <c r="H2104" s="5" t="s">
        <v>3663</v>
      </c>
      <c r="I2104" s="1" t="s">
        <v>3664</v>
      </c>
      <c r="J2104" s="1" t="s">
        <v>4993</v>
      </c>
      <c r="K2104" s="1"/>
      <c r="L2104" s="2" t="s">
        <v>5728</v>
      </c>
      <c r="M2104" s="1"/>
      <c r="N2104" s="1"/>
      <c r="O2104" s="1"/>
      <c r="P2104" s="1"/>
      <c r="Q2104" s="1"/>
      <c r="R2104" s="1"/>
      <c r="S2104" s="1"/>
      <c r="T2104" s="1"/>
      <c r="U2104" s="1"/>
      <c r="V2104" s="1"/>
      <c r="W2104" s="1"/>
      <c r="X2104" s="1"/>
      <c r="Y2104" s="1"/>
      <c r="Z2104" s="1"/>
    </row>
    <row r="2105" spans="1:26" ht="33.75" customHeight="1">
      <c r="A2105" s="1">
        <v>2463</v>
      </c>
      <c r="B2105" s="1" t="s">
        <v>5729</v>
      </c>
      <c r="C2105" s="1" t="s">
        <v>5704</v>
      </c>
      <c r="D2105" s="4">
        <v>40293.058333333334</v>
      </c>
      <c r="E2105" s="1" t="s">
        <v>3610</v>
      </c>
      <c r="F2105" s="1"/>
      <c r="G2105" s="5" t="s">
        <v>64</v>
      </c>
      <c r="H2105" s="5" t="s">
        <v>3663</v>
      </c>
      <c r="I2105" s="1" t="s">
        <v>3664</v>
      </c>
      <c r="J2105" s="1" t="s">
        <v>4993</v>
      </c>
      <c r="K2105" s="1"/>
      <c r="L2105" s="2" t="s">
        <v>5730</v>
      </c>
      <c r="M2105" s="1"/>
      <c r="N2105" s="1"/>
      <c r="O2105" s="1"/>
      <c r="P2105" s="1"/>
      <c r="Q2105" s="1"/>
      <c r="R2105" s="1"/>
      <c r="S2105" s="1"/>
      <c r="T2105" s="1"/>
      <c r="U2105" s="1"/>
      <c r="V2105" s="1"/>
      <c r="W2105" s="1"/>
      <c r="X2105" s="1"/>
      <c r="Y2105" s="1"/>
      <c r="Z2105" s="1"/>
    </row>
    <row r="2106" spans="1:26" ht="33.75" customHeight="1">
      <c r="A2106" s="1">
        <v>2464</v>
      </c>
      <c r="B2106" s="1" t="s">
        <v>5731</v>
      </c>
      <c r="C2106" s="1" t="s">
        <v>5704</v>
      </c>
      <c r="D2106" s="4">
        <v>40293.060416666667</v>
      </c>
      <c r="E2106" s="1" t="s">
        <v>1887</v>
      </c>
      <c r="F2106" s="1"/>
      <c r="G2106" s="5" t="s">
        <v>64</v>
      </c>
      <c r="H2106" s="5" t="s">
        <v>179</v>
      </c>
      <c r="I2106" s="1" t="s">
        <v>5459</v>
      </c>
      <c r="J2106" s="1"/>
      <c r="K2106" s="1"/>
      <c r="L2106" s="2" t="s">
        <v>5732</v>
      </c>
      <c r="M2106" s="1"/>
      <c r="N2106" s="1"/>
      <c r="O2106" s="1"/>
      <c r="P2106" s="1"/>
      <c r="Q2106" s="1"/>
      <c r="R2106" s="1"/>
      <c r="S2106" s="1"/>
      <c r="T2106" s="1"/>
      <c r="U2106" s="1"/>
      <c r="V2106" s="1"/>
      <c r="W2106" s="1"/>
      <c r="X2106" s="1"/>
      <c r="Y2106" s="1"/>
      <c r="Z2106" s="1"/>
    </row>
    <row r="2107" spans="1:26" ht="33.75" customHeight="1">
      <c r="A2107" s="1">
        <v>2470</v>
      </c>
      <c r="B2107" s="1" t="s">
        <v>5733</v>
      </c>
      <c r="C2107" s="1" t="s">
        <v>5704</v>
      </c>
      <c r="D2107" s="4">
        <v>40293.456250000003</v>
      </c>
      <c r="E2107" s="1" t="s">
        <v>54</v>
      </c>
      <c r="F2107" s="1"/>
      <c r="G2107" s="5" t="s">
        <v>15</v>
      </c>
      <c r="H2107" s="5" t="s">
        <v>22</v>
      </c>
      <c r="I2107" s="1" t="s">
        <v>23</v>
      </c>
      <c r="J2107" s="1" t="s">
        <v>5734</v>
      </c>
      <c r="K2107" s="1"/>
      <c r="L2107" s="2" t="s">
        <v>5735</v>
      </c>
      <c r="M2107" s="1"/>
      <c r="N2107" s="1"/>
      <c r="O2107" s="1"/>
      <c r="P2107" s="1"/>
      <c r="Q2107" s="1"/>
      <c r="R2107" s="1"/>
      <c r="S2107" s="1"/>
      <c r="T2107" s="1"/>
      <c r="U2107" s="1"/>
      <c r="V2107" s="1"/>
      <c r="W2107" s="1"/>
      <c r="X2107" s="1"/>
      <c r="Y2107" s="1"/>
      <c r="Z2107" s="1"/>
    </row>
    <row r="2108" spans="1:26" ht="33.75" customHeight="1">
      <c r="A2108" s="1">
        <v>2471</v>
      </c>
      <c r="B2108" s="1" t="s">
        <v>5736</v>
      </c>
      <c r="C2108" s="1" t="s">
        <v>5704</v>
      </c>
      <c r="D2108" s="4">
        <v>40294.30972222222</v>
      </c>
      <c r="E2108" s="1" t="s">
        <v>416</v>
      </c>
      <c r="F2108" s="1"/>
      <c r="G2108" s="5" t="s">
        <v>15</v>
      </c>
      <c r="H2108" s="5" t="s">
        <v>22</v>
      </c>
      <c r="I2108" s="1" t="s">
        <v>23</v>
      </c>
      <c r="J2108" s="1"/>
      <c r="K2108" s="1" t="s">
        <v>5737</v>
      </c>
      <c r="L2108" s="2" t="s">
        <v>5738</v>
      </c>
      <c r="M2108" s="1"/>
      <c r="N2108" s="1"/>
      <c r="O2108" s="1"/>
      <c r="P2108" s="1"/>
      <c r="Q2108" s="1"/>
      <c r="R2108" s="1"/>
      <c r="S2108" s="1"/>
      <c r="T2108" s="1"/>
      <c r="U2108" s="1"/>
      <c r="V2108" s="1"/>
      <c r="W2108" s="1"/>
      <c r="X2108" s="1"/>
      <c r="Y2108" s="1"/>
      <c r="Z2108" s="1"/>
    </row>
    <row r="2109" spans="1:26" ht="33.75" customHeight="1">
      <c r="A2109" s="1">
        <v>2472</v>
      </c>
      <c r="B2109" s="1" t="s">
        <v>5739</v>
      </c>
      <c r="C2109" s="1" t="s">
        <v>5704</v>
      </c>
      <c r="D2109" s="4">
        <v>40294.45416666667</v>
      </c>
      <c r="E2109" s="1" t="s">
        <v>54</v>
      </c>
      <c r="F2109" s="1" t="s">
        <v>5736</v>
      </c>
      <c r="G2109" s="5" t="s">
        <v>15</v>
      </c>
      <c r="H2109" s="5" t="s">
        <v>22</v>
      </c>
      <c r="I2109" s="1" t="s">
        <v>23</v>
      </c>
      <c r="J2109" s="1"/>
      <c r="K2109" s="1"/>
      <c r="L2109" s="2" t="s">
        <v>5740</v>
      </c>
      <c r="M2109" s="1"/>
      <c r="N2109" s="1"/>
      <c r="O2109" s="1"/>
      <c r="P2109" s="1"/>
      <c r="Q2109" s="1"/>
      <c r="R2109" s="1"/>
      <c r="S2109" s="1"/>
      <c r="T2109" s="1"/>
      <c r="U2109" s="1"/>
      <c r="V2109" s="1"/>
      <c r="W2109" s="1"/>
      <c r="X2109" s="1"/>
      <c r="Y2109" s="1"/>
      <c r="Z2109" s="1"/>
    </row>
    <row r="2110" spans="1:26" ht="33.75" customHeight="1">
      <c r="A2110" s="1">
        <v>2465</v>
      </c>
      <c r="B2110" s="1" t="s">
        <v>5741</v>
      </c>
      <c r="C2110" s="1" t="s">
        <v>5704</v>
      </c>
      <c r="D2110" s="4">
        <v>40294.455555555556</v>
      </c>
      <c r="E2110" s="1" t="s">
        <v>54</v>
      </c>
      <c r="F2110" s="1"/>
      <c r="G2110" s="5" t="s">
        <v>64</v>
      </c>
      <c r="H2110" s="5" t="s">
        <v>3663</v>
      </c>
      <c r="I2110" s="1" t="s">
        <v>3664</v>
      </c>
      <c r="J2110" s="1" t="s">
        <v>4993</v>
      </c>
      <c r="K2110" s="1"/>
      <c r="L2110" s="2" t="s">
        <v>5742</v>
      </c>
      <c r="M2110" s="1"/>
      <c r="N2110" s="1"/>
      <c r="O2110" s="1"/>
      <c r="P2110" s="1"/>
      <c r="Q2110" s="1"/>
      <c r="R2110" s="1"/>
      <c r="S2110" s="1"/>
      <c r="T2110" s="1"/>
      <c r="U2110" s="1"/>
      <c r="V2110" s="1"/>
      <c r="W2110" s="1"/>
      <c r="X2110" s="1"/>
      <c r="Y2110" s="1"/>
      <c r="Z2110" s="1"/>
    </row>
    <row r="2111" spans="1:26" ht="33.75" customHeight="1">
      <c r="A2111" s="1">
        <v>2474</v>
      </c>
      <c r="B2111" s="1" t="s">
        <v>5743</v>
      </c>
      <c r="C2111" s="1" t="s">
        <v>5704</v>
      </c>
      <c r="D2111" s="4">
        <v>40294.633333333331</v>
      </c>
      <c r="E2111" s="1" t="s">
        <v>772</v>
      </c>
      <c r="F2111" s="1"/>
      <c r="G2111" s="5" t="s">
        <v>64</v>
      </c>
      <c r="H2111" s="5" t="s">
        <v>3663</v>
      </c>
      <c r="I2111" s="1" t="s">
        <v>3664</v>
      </c>
      <c r="J2111" s="1" t="s">
        <v>4847</v>
      </c>
      <c r="K2111" s="1"/>
      <c r="L2111" s="2" t="s">
        <v>5744</v>
      </c>
      <c r="M2111" s="1"/>
      <c r="N2111" s="1"/>
      <c r="O2111" s="1"/>
      <c r="P2111" s="1"/>
      <c r="Q2111" s="1"/>
      <c r="R2111" s="1"/>
      <c r="S2111" s="1"/>
      <c r="T2111" s="1"/>
      <c r="U2111" s="1"/>
      <c r="V2111" s="1"/>
      <c r="W2111" s="1"/>
      <c r="X2111" s="1"/>
      <c r="Y2111" s="1"/>
      <c r="Z2111" s="1"/>
    </row>
    <row r="2112" spans="1:26" ht="33.75" customHeight="1">
      <c r="A2112" s="1">
        <v>2475</v>
      </c>
      <c r="B2112" s="1" t="s">
        <v>5745</v>
      </c>
      <c r="C2112" s="1" t="s">
        <v>5704</v>
      </c>
      <c r="D2112" s="4">
        <v>40297.019444444442</v>
      </c>
      <c r="E2112" s="1" t="s">
        <v>3610</v>
      </c>
      <c r="F2112" s="1"/>
      <c r="G2112" s="5" t="s">
        <v>33</v>
      </c>
      <c r="H2112" s="5" t="s">
        <v>34</v>
      </c>
      <c r="I2112" s="1" t="s">
        <v>35</v>
      </c>
      <c r="J2112" s="1" t="s">
        <v>5725</v>
      </c>
      <c r="K2112" s="1"/>
      <c r="L2112" s="2" t="s">
        <v>5746</v>
      </c>
      <c r="M2112" s="1"/>
      <c r="N2112" s="1"/>
      <c r="O2112" s="1"/>
      <c r="P2112" s="1"/>
      <c r="Q2112" s="1"/>
      <c r="R2112" s="1"/>
      <c r="S2112" s="1"/>
      <c r="T2112" s="1"/>
      <c r="U2112" s="1"/>
      <c r="V2112" s="1"/>
      <c r="W2112" s="1"/>
      <c r="X2112" s="1"/>
      <c r="Y2112" s="1"/>
      <c r="Z2112" s="1"/>
    </row>
    <row r="2113" spans="1:26" ht="33.75" customHeight="1">
      <c r="A2113" s="1">
        <v>149</v>
      </c>
      <c r="B2113" s="1" t="s">
        <v>5747</v>
      </c>
      <c r="C2113" s="3" t="s">
        <v>13</v>
      </c>
      <c r="D2113" s="4">
        <v>40410.534722222219</v>
      </c>
      <c r="E2113" s="1" t="s">
        <v>5748</v>
      </c>
      <c r="F2113" s="1"/>
      <c r="G2113" s="5" t="s">
        <v>15</v>
      </c>
      <c r="H2113" s="5" t="s">
        <v>22</v>
      </c>
      <c r="I2113" s="1" t="s">
        <v>23</v>
      </c>
      <c r="J2113" s="1"/>
      <c r="K2113" s="1"/>
      <c r="L2113" s="2" t="s">
        <v>5749</v>
      </c>
      <c r="M2113" s="1"/>
      <c r="N2113" s="1"/>
      <c r="O2113" s="1"/>
      <c r="P2113" s="1"/>
      <c r="Q2113" s="1"/>
      <c r="R2113" s="1"/>
      <c r="S2113" s="1"/>
      <c r="T2113" s="1"/>
      <c r="U2113" s="1"/>
      <c r="V2113" s="1"/>
      <c r="W2113" s="1"/>
      <c r="X2113" s="1"/>
      <c r="Y2113" s="1"/>
      <c r="Z2113" s="1"/>
    </row>
    <row r="2114" spans="1:26" ht="33.75" customHeight="1">
      <c r="A2114" s="1">
        <v>157</v>
      </c>
      <c r="B2114" s="1" t="s">
        <v>5750</v>
      </c>
      <c r="C2114" s="3" t="s">
        <v>13</v>
      </c>
      <c r="D2114" s="4">
        <v>40596.852777777778</v>
      </c>
      <c r="E2114" s="1" t="s">
        <v>5751</v>
      </c>
      <c r="F2114" s="1"/>
      <c r="G2114" s="5" t="s">
        <v>15</v>
      </c>
      <c r="H2114" s="5" t="s">
        <v>22</v>
      </c>
      <c r="I2114" s="1" t="s">
        <v>23</v>
      </c>
      <c r="J2114" s="1"/>
      <c r="K2114" s="1"/>
      <c r="L2114" s="2" t="s">
        <v>5752</v>
      </c>
      <c r="M2114" s="1"/>
      <c r="N2114" s="1"/>
      <c r="O2114" s="1"/>
      <c r="P2114" s="1"/>
      <c r="Q2114" s="1"/>
      <c r="R2114" s="1"/>
      <c r="S2114" s="1"/>
      <c r="T2114" s="1"/>
      <c r="U2114" s="1"/>
      <c r="V2114" s="1"/>
      <c r="W2114" s="1"/>
      <c r="X2114" s="1"/>
      <c r="Y2114" s="1"/>
      <c r="Z2114" s="1"/>
    </row>
    <row r="2115" spans="1:26" ht="33.75" customHeight="1">
      <c r="A2115" s="1">
        <v>2103</v>
      </c>
      <c r="B2115" s="1" t="s">
        <v>5753</v>
      </c>
      <c r="C2115" s="1" t="s">
        <v>4460</v>
      </c>
      <c r="D2115" s="4">
        <v>40600.204861111109</v>
      </c>
      <c r="E2115" s="1" t="s">
        <v>5687</v>
      </c>
      <c r="F2115" s="1"/>
      <c r="G2115" s="5" t="s">
        <v>64</v>
      </c>
      <c r="H2115" s="5" t="s">
        <v>3663</v>
      </c>
      <c r="I2115" s="1" t="s">
        <v>3664</v>
      </c>
      <c r="J2115" s="1" t="s">
        <v>4993</v>
      </c>
      <c r="K2115" s="1"/>
      <c r="L2115" s="2" t="s">
        <v>5754</v>
      </c>
      <c r="M2115" s="1"/>
      <c r="N2115" s="1"/>
      <c r="O2115" s="1"/>
      <c r="P2115" s="1"/>
      <c r="Q2115" s="1"/>
      <c r="R2115" s="1"/>
      <c r="S2115" s="1"/>
      <c r="T2115" s="1"/>
      <c r="U2115" s="1"/>
      <c r="V2115" s="1"/>
      <c r="W2115" s="1"/>
      <c r="X2115" s="1"/>
      <c r="Y2115" s="1"/>
      <c r="Z2115" s="1"/>
    </row>
    <row r="2116" spans="1:26" ht="33.75" customHeight="1">
      <c r="A2116" s="1">
        <v>158</v>
      </c>
      <c r="B2116" s="1" t="s">
        <v>5755</v>
      </c>
      <c r="C2116" s="3" t="s">
        <v>13</v>
      </c>
      <c r="D2116" s="4">
        <v>40641.808333333334</v>
      </c>
      <c r="E2116" s="1" t="s">
        <v>5756</v>
      </c>
      <c r="F2116" s="1"/>
      <c r="G2116" s="5" t="s">
        <v>15</v>
      </c>
      <c r="H2116" s="5" t="s">
        <v>50</v>
      </c>
      <c r="I2116" s="1" t="s">
        <v>5757</v>
      </c>
      <c r="J2116" s="1"/>
      <c r="K2116" s="1"/>
      <c r="L2116" s="2" t="s">
        <v>5758</v>
      </c>
      <c r="M2116" s="1"/>
      <c r="N2116" s="1"/>
      <c r="O2116" s="1"/>
      <c r="P2116" s="1"/>
      <c r="Q2116" s="1"/>
      <c r="R2116" s="1"/>
      <c r="S2116" s="1"/>
      <c r="T2116" s="1"/>
      <c r="U2116" s="1"/>
      <c r="V2116" s="1"/>
      <c r="W2116" s="1"/>
      <c r="X2116" s="1"/>
      <c r="Y2116" s="1"/>
      <c r="Z2116" s="1"/>
    </row>
    <row r="2117" spans="1:26" ht="33.75" customHeight="1">
      <c r="A2117" s="1">
        <v>160</v>
      </c>
      <c r="B2117" s="1" t="s">
        <v>5759</v>
      </c>
      <c r="C2117" s="3" t="s">
        <v>13</v>
      </c>
      <c r="D2117" s="4">
        <v>40642.52847222222</v>
      </c>
      <c r="E2117" s="1" t="s">
        <v>5760</v>
      </c>
      <c r="F2117" s="1"/>
      <c r="G2117" s="5" t="s">
        <v>15</v>
      </c>
      <c r="H2117" s="5" t="s">
        <v>22</v>
      </c>
      <c r="I2117" s="1" t="s">
        <v>23</v>
      </c>
      <c r="J2117" s="1"/>
      <c r="K2117" s="1"/>
      <c r="L2117" s="2" t="s">
        <v>5761</v>
      </c>
      <c r="M2117" s="1"/>
      <c r="N2117" s="1"/>
      <c r="O2117" s="1"/>
      <c r="P2117" s="1"/>
      <c r="Q2117" s="1"/>
      <c r="R2117" s="1"/>
      <c r="S2117" s="1"/>
      <c r="T2117" s="1"/>
      <c r="U2117" s="1"/>
      <c r="V2117" s="1"/>
      <c r="W2117" s="1"/>
      <c r="X2117" s="1"/>
      <c r="Y2117" s="1"/>
      <c r="Z2117" s="1"/>
    </row>
    <row r="2118" spans="1:26" ht="33.75" customHeight="1">
      <c r="A2118" s="1">
        <v>781</v>
      </c>
      <c r="B2118" s="1" t="s">
        <v>5762</v>
      </c>
      <c r="C2118" s="1" t="s">
        <v>1696</v>
      </c>
      <c r="D2118" s="4">
        <v>40643.35</v>
      </c>
      <c r="E2118" s="1" t="s">
        <v>314</v>
      </c>
      <c r="F2118" s="1"/>
      <c r="G2118" s="6" t="s">
        <v>78</v>
      </c>
      <c r="H2118" s="5" t="s">
        <v>79</v>
      </c>
      <c r="I2118" s="1" t="s">
        <v>5763</v>
      </c>
      <c r="J2118" s="1"/>
      <c r="K2118" s="1" t="s">
        <v>5764</v>
      </c>
      <c r="L2118" s="2" t="s">
        <v>5765</v>
      </c>
      <c r="M2118" s="1"/>
      <c r="N2118" s="1"/>
      <c r="O2118" s="1"/>
      <c r="P2118" s="1"/>
      <c r="Q2118" s="1"/>
      <c r="R2118" s="1"/>
      <c r="S2118" s="1"/>
      <c r="T2118" s="1"/>
      <c r="U2118" s="1"/>
      <c r="V2118" s="1"/>
      <c r="W2118" s="1"/>
      <c r="X2118" s="1"/>
      <c r="Y2118" s="1"/>
      <c r="Z2118" s="1"/>
    </row>
    <row r="2119" spans="1:26" ht="33.75" customHeight="1">
      <c r="A2119" s="1">
        <v>620</v>
      </c>
      <c r="B2119" s="1" t="s">
        <v>5766</v>
      </c>
      <c r="C2119" s="1" t="s">
        <v>926</v>
      </c>
      <c r="D2119" s="4">
        <v>40851.024305555555</v>
      </c>
      <c r="E2119" s="1" t="s">
        <v>5767</v>
      </c>
      <c r="F2119" s="1"/>
      <c r="G2119" s="6" t="s">
        <v>78</v>
      </c>
      <c r="H2119" s="5" t="s">
        <v>197</v>
      </c>
      <c r="I2119" s="1" t="s">
        <v>5768</v>
      </c>
      <c r="J2119" s="1"/>
      <c r="K2119" s="1" t="s">
        <v>5769</v>
      </c>
      <c r="L2119" s="2" t="s">
        <v>5770</v>
      </c>
      <c r="M2119" s="1"/>
      <c r="N2119" s="1"/>
      <c r="O2119" s="1"/>
      <c r="P2119" s="1"/>
      <c r="Q2119" s="1"/>
      <c r="R2119" s="1"/>
      <c r="S2119" s="1"/>
      <c r="T2119" s="1"/>
      <c r="U2119" s="1"/>
      <c r="V2119" s="1"/>
      <c r="W2119" s="1"/>
      <c r="X2119" s="1"/>
      <c r="Y2119" s="1"/>
      <c r="Z2119" s="1"/>
    </row>
    <row r="2120" spans="1:26" ht="33.75" customHeight="1">
      <c r="A2120" s="1">
        <v>19</v>
      </c>
      <c r="B2120" s="1" t="s">
        <v>12</v>
      </c>
      <c r="C2120" s="1" t="s">
        <v>5771</v>
      </c>
      <c r="D2120" s="4">
        <v>41022.836909722224</v>
      </c>
      <c r="E2120" s="1" t="s">
        <v>14</v>
      </c>
      <c r="F2120" s="1"/>
      <c r="G2120" s="5" t="s">
        <v>64</v>
      </c>
      <c r="H2120" s="5" t="s">
        <v>3663</v>
      </c>
      <c r="I2120" s="1" t="s">
        <v>3664</v>
      </c>
      <c r="J2120" s="1" t="s">
        <v>4847</v>
      </c>
      <c r="K2120" s="1"/>
      <c r="L2120" s="2" t="s">
        <v>5772</v>
      </c>
      <c r="M2120" s="1"/>
      <c r="N2120" s="1"/>
      <c r="O2120" s="1"/>
      <c r="P2120" s="1"/>
      <c r="Q2120" s="1"/>
      <c r="R2120" s="1"/>
      <c r="S2120" s="1"/>
      <c r="T2120" s="1"/>
      <c r="U2120" s="1"/>
      <c r="V2120" s="1"/>
      <c r="W2120" s="1"/>
      <c r="X2120" s="1"/>
      <c r="Y2120" s="1"/>
      <c r="Z2120" s="1"/>
    </row>
    <row r="2121" spans="1:26" ht="33.75" customHeight="1">
      <c r="A2121" s="1">
        <v>1554</v>
      </c>
      <c r="B2121" s="1" t="s">
        <v>5773</v>
      </c>
      <c r="C2121" s="1" t="s">
        <v>5771</v>
      </c>
      <c r="D2121" s="4">
        <v>41023.146527777775</v>
      </c>
      <c r="E2121" s="1" t="s">
        <v>5774</v>
      </c>
      <c r="F2121" s="1"/>
      <c r="G2121" s="6" t="s">
        <v>15</v>
      </c>
      <c r="H2121" s="5" t="s">
        <v>5775</v>
      </c>
      <c r="I2121" s="1" t="s">
        <v>5776</v>
      </c>
      <c r="J2121" s="1"/>
      <c r="K2121" s="1"/>
      <c r="L2121" s="2" t="s">
        <v>5777</v>
      </c>
      <c r="M2121" s="1"/>
      <c r="N2121" s="1"/>
      <c r="O2121" s="1"/>
      <c r="P2121" s="1"/>
      <c r="Q2121" s="1"/>
      <c r="R2121" s="1"/>
      <c r="S2121" s="1"/>
      <c r="T2121" s="1"/>
      <c r="U2121" s="1"/>
      <c r="V2121" s="1"/>
      <c r="W2121" s="1"/>
      <c r="X2121" s="1"/>
      <c r="Y2121" s="1"/>
      <c r="Z2121" s="1"/>
    </row>
    <row r="2122" spans="1:26" ht="33.75" customHeight="1">
      <c r="A2122" s="1">
        <v>1555</v>
      </c>
      <c r="B2122" s="1" t="s">
        <v>5778</v>
      </c>
      <c r="C2122" s="1" t="s">
        <v>5771</v>
      </c>
      <c r="D2122" s="4">
        <v>41023.398611111108</v>
      </c>
      <c r="E2122" s="1" t="s">
        <v>3610</v>
      </c>
      <c r="F2122" s="1"/>
      <c r="G2122" s="7" t="s">
        <v>15</v>
      </c>
      <c r="H2122" s="5" t="s">
        <v>55</v>
      </c>
      <c r="I2122" s="1" t="s">
        <v>3234</v>
      </c>
      <c r="J2122" s="1"/>
      <c r="K2122" s="1"/>
      <c r="L2122" s="2" t="s">
        <v>5779</v>
      </c>
      <c r="M2122" s="1"/>
      <c r="N2122" s="1"/>
      <c r="O2122" s="1"/>
      <c r="P2122" s="1"/>
      <c r="Q2122" s="1"/>
      <c r="R2122" s="1"/>
      <c r="S2122" s="1"/>
      <c r="T2122" s="1"/>
      <c r="U2122" s="1"/>
      <c r="V2122" s="1"/>
      <c r="W2122" s="1"/>
      <c r="X2122" s="1"/>
      <c r="Y2122" s="1"/>
      <c r="Z2122" s="1"/>
    </row>
    <row r="2123" spans="1:26" ht="33.75" customHeight="1">
      <c r="A2123" s="1">
        <v>1556</v>
      </c>
      <c r="B2123" s="1" t="s">
        <v>5780</v>
      </c>
      <c r="C2123" s="1" t="s">
        <v>5771</v>
      </c>
      <c r="D2123" s="4">
        <v>41023.850694444445</v>
      </c>
      <c r="E2123" s="1" t="s">
        <v>5781</v>
      </c>
      <c r="F2123" s="1"/>
      <c r="G2123" s="7" t="s">
        <v>15</v>
      </c>
      <c r="H2123" s="5" t="s">
        <v>55</v>
      </c>
      <c r="I2123" s="1" t="s">
        <v>3234</v>
      </c>
      <c r="J2123" s="1"/>
      <c r="K2123" s="1"/>
      <c r="L2123" s="2" t="s">
        <v>5782</v>
      </c>
      <c r="M2123" s="1"/>
      <c r="N2123" s="1"/>
      <c r="O2123" s="1"/>
      <c r="P2123" s="1"/>
      <c r="Q2123" s="1"/>
      <c r="R2123" s="1"/>
      <c r="S2123" s="1"/>
      <c r="T2123" s="1"/>
      <c r="U2123" s="1"/>
      <c r="V2123" s="1"/>
      <c r="W2123" s="1"/>
      <c r="X2123" s="1"/>
      <c r="Y2123" s="1"/>
      <c r="Z2123" s="1"/>
    </row>
    <row r="2124" spans="1:26" ht="33.75" customHeight="1">
      <c r="A2124" s="1">
        <v>1558</v>
      </c>
      <c r="B2124" s="1" t="s">
        <v>5783</v>
      </c>
      <c r="C2124" s="1" t="s">
        <v>5771</v>
      </c>
      <c r="D2124" s="4">
        <v>41024.164583333331</v>
      </c>
      <c r="E2124" s="1" t="s">
        <v>5784</v>
      </c>
      <c r="F2124" s="1"/>
      <c r="G2124" s="7" t="s">
        <v>15</v>
      </c>
      <c r="H2124" s="5" t="s">
        <v>55</v>
      </c>
      <c r="I2124" s="1" t="s">
        <v>3234</v>
      </c>
      <c r="J2124" s="1"/>
      <c r="K2124" s="1"/>
      <c r="L2124" s="2" t="s">
        <v>5785</v>
      </c>
      <c r="M2124" s="1"/>
      <c r="N2124" s="1"/>
      <c r="O2124" s="1"/>
      <c r="P2124" s="1"/>
      <c r="Q2124" s="1"/>
      <c r="R2124" s="1"/>
      <c r="S2124" s="1"/>
      <c r="T2124" s="1"/>
      <c r="U2124" s="1"/>
      <c r="V2124" s="1"/>
      <c r="W2124" s="1"/>
      <c r="X2124" s="1"/>
      <c r="Y2124" s="1"/>
      <c r="Z2124" s="1"/>
    </row>
    <row r="2125" spans="1:26" ht="33.75" customHeight="1">
      <c r="A2125" s="1">
        <v>1559</v>
      </c>
      <c r="B2125" s="1" t="s">
        <v>5786</v>
      </c>
      <c r="C2125" s="1" t="s">
        <v>5771</v>
      </c>
      <c r="D2125" s="4">
        <v>41024.915277777778</v>
      </c>
      <c r="E2125" s="1" t="s">
        <v>84</v>
      </c>
      <c r="F2125" s="1"/>
      <c r="G2125" s="6" t="s">
        <v>78</v>
      </c>
      <c r="H2125" s="5" t="s">
        <v>79</v>
      </c>
      <c r="I2125" s="1" t="s">
        <v>5787</v>
      </c>
      <c r="J2125" s="1"/>
      <c r="K2125" s="1"/>
      <c r="L2125" s="2" t="s">
        <v>5788</v>
      </c>
      <c r="M2125" s="1"/>
      <c r="N2125" s="1"/>
      <c r="O2125" s="1"/>
      <c r="P2125" s="1"/>
      <c r="Q2125" s="1"/>
      <c r="R2125" s="1"/>
      <c r="S2125" s="1"/>
      <c r="T2125" s="1"/>
      <c r="U2125" s="1"/>
      <c r="V2125" s="1"/>
      <c r="W2125" s="1"/>
      <c r="X2125" s="1"/>
      <c r="Y2125" s="1"/>
      <c r="Z2125" s="1"/>
    </row>
    <row r="2126" spans="1:26" ht="33.75" customHeight="1">
      <c r="A2126" s="1">
        <v>1560</v>
      </c>
      <c r="B2126" s="1" t="s">
        <v>5789</v>
      </c>
      <c r="C2126" s="1" t="s">
        <v>5771</v>
      </c>
      <c r="D2126" s="4">
        <v>41025.086805555555</v>
      </c>
      <c r="E2126" s="1" t="s">
        <v>5784</v>
      </c>
      <c r="F2126" s="1"/>
      <c r="G2126" s="5" t="s">
        <v>15</v>
      </c>
      <c r="H2126" s="5" t="s">
        <v>140</v>
      </c>
      <c r="I2126" s="1" t="s">
        <v>5787</v>
      </c>
      <c r="J2126" s="1"/>
      <c r="K2126" s="1"/>
      <c r="L2126" s="2" t="s">
        <v>5790</v>
      </c>
      <c r="M2126" s="1"/>
      <c r="N2126" s="1"/>
      <c r="O2126" s="1"/>
      <c r="P2126" s="1"/>
      <c r="Q2126" s="1"/>
      <c r="R2126" s="1"/>
      <c r="S2126" s="1"/>
      <c r="T2126" s="1"/>
      <c r="U2126" s="1"/>
      <c r="V2126" s="1"/>
      <c r="W2126" s="1"/>
      <c r="X2126" s="1"/>
      <c r="Y2126" s="1"/>
      <c r="Z2126" s="1"/>
    </row>
    <row r="2127" spans="1:26" ht="33.75" customHeight="1">
      <c r="A2127" s="1">
        <v>198</v>
      </c>
      <c r="B2127" s="1" t="s">
        <v>5791</v>
      </c>
      <c r="C2127" s="3" t="s">
        <v>13</v>
      </c>
      <c r="D2127" s="4">
        <v>41152.790972222225</v>
      </c>
      <c r="E2127" s="1" t="s">
        <v>5792</v>
      </c>
      <c r="F2127" s="1"/>
      <c r="G2127" s="5" t="s">
        <v>33</v>
      </c>
      <c r="H2127" s="5" t="s">
        <v>34</v>
      </c>
      <c r="I2127" s="1" t="s">
        <v>35</v>
      </c>
      <c r="J2127" s="1"/>
      <c r="K2127" s="1"/>
      <c r="L2127" s="2" t="s">
        <v>5793</v>
      </c>
      <c r="M2127" s="1"/>
      <c r="N2127" s="1"/>
      <c r="O2127" s="1"/>
      <c r="P2127" s="1"/>
      <c r="Q2127" s="1"/>
      <c r="R2127" s="1"/>
      <c r="S2127" s="1"/>
      <c r="T2127" s="1"/>
      <c r="U2127" s="1"/>
      <c r="V2127" s="1"/>
      <c r="W2127" s="1"/>
      <c r="X2127" s="1"/>
      <c r="Y2127" s="1"/>
      <c r="Z2127" s="1"/>
    </row>
    <row r="2128" spans="1:26" ht="33.75" customHeight="1">
      <c r="A2128" s="1">
        <v>1561</v>
      </c>
      <c r="B2128" s="1" t="s">
        <v>5794</v>
      </c>
      <c r="C2128" s="1" t="s">
        <v>5771</v>
      </c>
      <c r="D2128" s="4">
        <v>41269.109722222223</v>
      </c>
      <c r="E2128" s="1" t="s">
        <v>5795</v>
      </c>
      <c r="F2128" s="1"/>
      <c r="G2128" s="6" t="s">
        <v>15</v>
      </c>
      <c r="H2128" s="5" t="s">
        <v>5775</v>
      </c>
      <c r="I2128" s="1" t="s">
        <v>5776</v>
      </c>
      <c r="J2128" s="1"/>
      <c r="K2128" s="1"/>
      <c r="L2128" s="2" t="s">
        <v>5796</v>
      </c>
      <c r="M2128" s="1"/>
      <c r="N2128" s="1"/>
      <c r="O2128" s="1"/>
      <c r="P2128" s="1"/>
      <c r="Q2128" s="1"/>
      <c r="R2128" s="1"/>
      <c r="S2128" s="1"/>
      <c r="T2128" s="1"/>
      <c r="U2128" s="1"/>
      <c r="V2128" s="1"/>
      <c r="W2128" s="1"/>
      <c r="X2128" s="1"/>
      <c r="Y2128" s="1"/>
      <c r="Z2128" s="1"/>
    </row>
    <row r="2129" spans="1:26" ht="33.75" customHeight="1">
      <c r="A2129" s="1">
        <v>1562</v>
      </c>
      <c r="B2129" s="1" t="s">
        <v>5797</v>
      </c>
      <c r="C2129" s="1" t="s">
        <v>5771</v>
      </c>
      <c r="D2129" s="4">
        <v>41269.715277777781</v>
      </c>
      <c r="E2129" s="1" t="s">
        <v>14</v>
      </c>
      <c r="F2129" s="1"/>
      <c r="G2129" s="6" t="s">
        <v>15</v>
      </c>
      <c r="H2129" s="5" t="s">
        <v>5775</v>
      </c>
      <c r="I2129" s="1" t="s">
        <v>5776</v>
      </c>
      <c r="J2129" s="1"/>
      <c r="K2129" s="1"/>
      <c r="L2129" s="2" t="s">
        <v>5798</v>
      </c>
      <c r="M2129" s="1"/>
      <c r="N2129" s="1"/>
      <c r="O2129" s="1"/>
      <c r="P2129" s="1"/>
      <c r="Q2129" s="1"/>
      <c r="R2129" s="1"/>
      <c r="S2129" s="1"/>
      <c r="T2129" s="1"/>
      <c r="U2129" s="1"/>
      <c r="V2129" s="1"/>
      <c r="W2129" s="1"/>
      <c r="X2129" s="1"/>
      <c r="Y2129" s="1"/>
      <c r="Z2129" s="1"/>
    </row>
  </sheetData>
  <autoFilter ref="A1:Z2129" xr:uid="{00000000-0009-0000-0000-000000000000}"/>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outlinePr summaryBelow="0" summaryRight="0"/>
  </sheetPr>
  <dimension ref="A1:T2129"/>
  <sheetViews>
    <sheetView workbookViewId="0">
      <selection sqref="A1:H942"/>
    </sheetView>
  </sheetViews>
  <sheetFormatPr baseColWidth="10" defaultColWidth="14.5" defaultRowHeight="15" customHeight="1"/>
  <cols>
    <col min="1" max="1" width="11.5" customWidth="1"/>
    <col min="2" max="2" width="10.6640625" customWidth="1"/>
    <col min="3" max="3" width="18.5" customWidth="1"/>
    <col min="4" max="4" width="20.33203125" customWidth="1"/>
    <col min="5" max="5" width="34.5" customWidth="1"/>
    <col min="6" max="6" width="81.1640625" customWidth="1"/>
  </cols>
  <sheetData>
    <row r="1" spans="1:20" ht="33.75" customHeight="1">
      <c r="A1" s="1" t="s">
        <v>1</v>
      </c>
      <c r="B1" s="1" t="s">
        <v>2</v>
      </c>
      <c r="C1" s="1" t="s">
        <v>3</v>
      </c>
      <c r="D1" s="1" t="s">
        <v>4</v>
      </c>
      <c r="E1" s="1" t="s">
        <v>5</v>
      </c>
      <c r="F1" s="2" t="s">
        <v>11</v>
      </c>
      <c r="G1" s="1" t="s">
        <v>5799</v>
      </c>
      <c r="H1" s="1" t="s">
        <v>5800</v>
      </c>
      <c r="I1" s="1"/>
      <c r="J1" s="1"/>
      <c r="K1" s="1"/>
      <c r="L1" s="1"/>
      <c r="M1" s="1"/>
      <c r="N1" s="1"/>
      <c r="O1" s="1"/>
      <c r="P1" s="1"/>
      <c r="Q1" s="1"/>
      <c r="R1" s="1"/>
      <c r="S1" s="1"/>
      <c r="T1" s="1"/>
    </row>
    <row r="2" spans="1:20" ht="33.75" customHeight="1">
      <c r="A2" s="1" t="s">
        <v>12</v>
      </c>
      <c r="B2" s="3" t="s">
        <v>13</v>
      </c>
      <c r="C2" s="4">
        <v>39840.65824074074</v>
      </c>
      <c r="D2" s="1" t="s">
        <v>14</v>
      </c>
      <c r="E2" s="1"/>
      <c r="F2" s="2" t="s">
        <v>19</v>
      </c>
      <c r="G2" s="1">
        <f ca="1">IFERROR(__xludf.DUMMYFUNCTION("COUNTA(SPLIT(F2,"" ""))"),2580)</f>
        <v>2580</v>
      </c>
      <c r="H2" s="1">
        <v>2580</v>
      </c>
      <c r="I2" s="1"/>
      <c r="J2" s="1"/>
      <c r="K2" s="1"/>
      <c r="L2" s="1"/>
      <c r="M2" s="1"/>
      <c r="N2" s="1"/>
      <c r="O2" s="1"/>
      <c r="P2" s="1"/>
      <c r="Q2" s="1"/>
      <c r="R2" s="1"/>
      <c r="S2" s="1"/>
      <c r="T2" s="1"/>
    </row>
    <row r="3" spans="1:20" ht="33.75" customHeight="1">
      <c r="A3" s="1" t="s">
        <v>20</v>
      </c>
      <c r="B3" s="3" t="s">
        <v>13</v>
      </c>
      <c r="C3" s="4">
        <v>39840.722222222219</v>
      </c>
      <c r="D3" s="1" t="s">
        <v>21</v>
      </c>
      <c r="E3" s="1"/>
      <c r="F3" s="2" t="s">
        <v>24</v>
      </c>
      <c r="G3" s="1">
        <f ca="1">IFERROR(__xludf.DUMMYFUNCTION("COUNTA(SPLIT(F3,"" ""))"),244)</f>
        <v>244</v>
      </c>
      <c r="H3" s="1">
        <v>244</v>
      </c>
      <c r="I3" s="1"/>
      <c r="J3" s="1"/>
      <c r="K3" s="1"/>
      <c r="L3" s="1"/>
      <c r="M3" s="1"/>
      <c r="N3" s="1"/>
      <c r="O3" s="1"/>
      <c r="P3" s="1"/>
      <c r="Q3" s="1"/>
      <c r="R3" s="1"/>
      <c r="S3" s="1"/>
      <c r="T3" s="1"/>
    </row>
    <row r="4" spans="1:20" ht="33.75" customHeight="1">
      <c r="A4" s="1" t="s">
        <v>25</v>
      </c>
      <c r="B4" s="3" t="s">
        <v>13</v>
      </c>
      <c r="C4" s="4">
        <v>39840.734027777777</v>
      </c>
      <c r="D4" s="1" t="s">
        <v>14</v>
      </c>
      <c r="E4" s="1"/>
      <c r="F4" s="2" t="s">
        <v>30</v>
      </c>
      <c r="G4" s="1">
        <f ca="1">IFERROR(__xludf.DUMMYFUNCTION("COUNTA(SPLIT(F4,"" ""))"),207)</f>
        <v>207</v>
      </c>
      <c r="H4" s="1">
        <v>207</v>
      </c>
      <c r="I4" s="1"/>
      <c r="J4" s="1"/>
      <c r="K4" s="1"/>
      <c r="L4" s="1"/>
      <c r="M4" s="1"/>
      <c r="N4" s="1"/>
      <c r="O4" s="1"/>
      <c r="P4" s="1"/>
      <c r="Q4" s="1"/>
      <c r="R4" s="1"/>
      <c r="S4" s="1"/>
      <c r="T4" s="1"/>
    </row>
    <row r="5" spans="1:20" ht="33.75" customHeight="1">
      <c r="A5" s="1" t="s">
        <v>31</v>
      </c>
      <c r="B5" s="3" t="s">
        <v>13</v>
      </c>
      <c r="C5" s="4">
        <v>39840.777777777781</v>
      </c>
      <c r="D5" s="1" t="s">
        <v>32</v>
      </c>
      <c r="E5" s="1"/>
      <c r="F5" s="2" t="s">
        <v>36</v>
      </c>
      <c r="G5" s="1">
        <f ca="1">IFERROR(__xludf.DUMMYFUNCTION("COUNTA(SPLIT(F5,"" ""))"),41)</f>
        <v>41</v>
      </c>
      <c r="H5" s="1">
        <v>41</v>
      </c>
      <c r="I5" s="1"/>
      <c r="J5" s="1"/>
      <c r="K5" s="1"/>
      <c r="L5" s="1"/>
      <c r="M5" s="1"/>
      <c r="N5" s="1"/>
      <c r="O5" s="1"/>
      <c r="P5" s="1"/>
      <c r="Q5" s="1"/>
      <c r="R5" s="1"/>
      <c r="S5" s="1"/>
      <c r="T5" s="1"/>
    </row>
    <row r="6" spans="1:20" ht="33.75" customHeight="1">
      <c r="A6" s="1" t="s">
        <v>37</v>
      </c>
      <c r="B6" s="3" t="s">
        <v>13</v>
      </c>
      <c r="C6" s="4">
        <v>39840.779861111114</v>
      </c>
      <c r="D6" s="1" t="s">
        <v>38</v>
      </c>
      <c r="E6" s="1"/>
      <c r="F6" s="2" t="s">
        <v>43</v>
      </c>
      <c r="G6" s="1">
        <f ca="1">IFERROR(__xludf.DUMMYFUNCTION("COUNTA(SPLIT(F6,"" ""))"),141)</f>
        <v>141</v>
      </c>
      <c r="H6" s="1">
        <v>141</v>
      </c>
      <c r="I6" s="1"/>
      <c r="J6" s="1"/>
      <c r="K6" s="1"/>
      <c r="L6" s="1"/>
      <c r="M6" s="1"/>
      <c r="N6" s="1"/>
      <c r="O6" s="1"/>
      <c r="P6" s="1"/>
      <c r="Q6" s="1"/>
      <c r="R6" s="1"/>
      <c r="S6" s="1"/>
      <c r="T6" s="1"/>
    </row>
    <row r="7" spans="1:20" ht="33.75" customHeight="1">
      <c r="A7" s="1" t="s">
        <v>44</v>
      </c>
      <c r="B7" s="3" t="s">
        <v>13</v>
      </c>
      <c r="C7" s="4">
        <v>39840.786805555559</v>
      </c>
      <c r="D7" s="1" t="s">
        <v>45</v>
      </c>
      <c r="E7" s="1"/>
      <c r="F7" s="2" t="s">
        <v>47</v>
      </c>
      <c r="G7" s="1">
        <f ca="1">IFERROR(__xludf.DUMMYFUNCTION("COUNTA(SPLIT(F7,"" ""))"),121)</f>
        <v>121</v>
      </c>
      <c r="H7" s="1">
        <v>121</v>
      </c>
      <c r="I7" s="1"/>
      <c r="J7" s="1"/>
      <c r="K7" s="1"/>
      <c r="L7" s="1"/>
      <c r="M7" s="1"/>
      <c r="N7" s="1"/>
      <c r="O7" s="1"/>
      <c r="P7" s="1"/>
      <c r="Q7" s="1"/>
      <c r="R7" s="1"/>
      <c r="S7" s="1"/>
      <c r="T7" s="1"/>
    </row>
    <row r="8" spans="1:20" ht="33.75" customHeight="1">
      <c r="A8" s="1" t="s">
        <v>48</v>
      </c>
      <c r="B8" s="3" t="s">
        <v>13</v>
      </c>
      <c r="C8" s="4">
        <v>39840.85</v>
      </c>
      <c r="D8" s="1" t="s">
        <v>49</v>
      </c>
      <c r="E8" s="1"/>
      <c r="F8" s="2" t="s">
        <v>52</v>
      </c>
      <c r="G8" s="1">
        <f ca="1">IFERROR(__xludf.DUMMYFUNCTION("COUNTA(SPLIT(F8,"" ""))"),220)</f>
        <v>220</v>
      </c>
      <c r="H8" s="1">
        <v>220</v>
      </c>
      <c r="I8" s="1"/>
      <c r="J8" s="1"/>
      <c r="K8" s="1"/>
      <c r="L8" s="1"/>
      <c r="M8" s="1"/>
      <c r="N8" s="1"/>
      <c r="O8" s="1"/>
      <c r="P8" s="1"/>
      <c r="Q8" s="1"/>
      <c r="R8" s="1"/>
      <c r="S8" s="1"/>
      <c r="T8" s="1"/>
    </row>
    <row r="9" spans="1:20" ht="33.75" customHeight="1">
      <c r="A9" s="1" t="s">
        <v>53</v>
      </c>
      <c r="B9" s="3" t="s">
        <v>13</v>
      </c>
      <c r="C9" s="4">
        <v>39841.03402777778</v>
      </c>
      <c r="D9" s="1" t="s">
        <v>54</v>
      </c>
      <c r="E9" s="1"/>
      <c r="F9" s="2" t="s">
        <v>57</v>
      </c>
      <c r="G9" s="1">
        <f ca="1">IFERROR(__xludf.DUMMYFUNCTION("COUNTA(SPLIT(F9,"" ""))"),264)</f>
        <v>264</v>
      </c>
      <c r="H9" s="1">
        <v>264</v>
      </c>
      <c r="I9" s="1"/>
      <c r="J9" s="1"/>
      <c r="K9" s="1"/>
      <c r="L9" s="1"/>
      <c r="M9" s="1"/>
      <c r="N9" s="1"/>
      <c r="O9" s="1"/>
      <c r="P9" s="1"/>
      <c r="Q9" s="1"/>
      <c r="R9" s="1"/>
      <c r="S9" s="1"/>
      <c r="T9" s="1"/>
    </row>
    <row r="10" spans="1:20" ht="33.75" customHeight="1">
      <c r="A10" s="1" t="s">
        <v>58</v>
      </c>
      <c r="B10" s="3" t="s">
        <v>13</v>
      </c>
      <c r="C10" s="4">
        <v>39841.186805555553</v>
      </c>
      <c r="D10" s="1" t="s">
        <v>59</v>
      </c>
      <c r="E10" s="1"/>
      <c r="F10" s="2" t="s">
        <v>61</v>
      </c>
      <c r="G10" s="1">
        <f ca="1">IFERROR(__xludf.DUMMYFUNCTION("COUNTA(SPLIT(F10,"" ""))"),126)</f>
        <v>126</v>
      </c>
      <c r="H10" s="1">
        <v>126</v>
      </c>
      <c r="I10" s="1"/>
      <c r="J10" s="1"/>
      <c r="K10" s="1"/>
      <c r="L10" s="1"/>
      <c r="M10" s="1"/>
      <c r="N10" s="1"/>
      <c r="O10" s="1"/>
      <c r="P10" s="1"/>
      <c r="Q10" s="1"/>
      <c r="R10" s="1"/>
      <c r="S10" s="1"/>
      <c r="T10" s="1"/>
    </row>
    <row r="11" spans="1:20" ht="33.75" customHeight="1">
      <c r="A11" s="1" t="s">
        <v>62</v>
      </c>
      <c r="B11" s="3" t="s">
        <v>13</v>
      </c>
      <c r="C11" s="4">
        <v>39841.53125</v>
      </c>
      <c r="D11" s="1" t="s">
        <v>63</v>
      </c>
      <c r="E11" s="1"/>
      <c r="F11" s="2" t="s">
        <v>68</v>
      </c>
      <c r="G11" s="1">
        <f ca="1">IFERROR(__xludf.DUMMYFUNCTION("COUNTA(SPLIT(F11,"" ""))"),177)</f>
        <v>177</v>
      </c>
      <c r="H11" s="1">
        <v>177</v>
      </c>
      <c r="I11" s="1"/>
      <c r="J11" s="1"/>
      <c r="K11" s="1"/>
      <c r="L11" s="1"/>
      <c r="M11" s="1"/>
      <c r="N11" s="1"/>
      <c r="O11" s="1"/>
      <c r="P11" s="1"/>
      <c r="Q11" s="1"/>
      <c r="R11" s="1"/>
      <c r="S11" s="1"/>
      <c r="T11" s="1"/>
    </row>
    <row r="12" spans="1:20" ht="33.75" customHeight="1">
      <c r="A12" s="1" t="s">
        <v>69</v>
      </c>
      <c r="B12" s="3" t="s">
        <v>13</v>
      </c>
      <c r="C12" s="4">
        <v>39841.593055555553</v>
      </c>
      <c r="D12" s="1" t="s">
        <v>70</v>
      </c>
      <c r="E12" s="1"/>
      <c r="F12" s="2" t="s">
        <v>73</v>
      </c>
      <c r="G12" s="1">
        <f ca="1">IFERROR(__xludf.DUMMYFUNCTION("COUNTA(SPLIT(F12,"" ""))"),146)</f>
        <v>146</v>
      </c>
      <c r="H12" s="1">
        <v>146</v>
      </c>
      <c r="I12" s="1"/>
      <c r="J12" s="1"/>
      <c r="K12" s="1"/>
      <c r="L12" s="1"/>
      <c r="M12" s="1"/>
      <c r="N12" s="1"/>
      <c r="O12" s="1"/>
      <c r="P12" s="1"/>
      <c r="Q12" s="1"/>
      <c r="R12" s="1"/>
      <c r="S12" s="1"/>
      <c r="T12" s="1"/>
    </row>
    <row r="13" spans="1:20" ht="33.75" customHeight="1">
      <c r="A13" s="1" t="s">
        <v>74</v>
      </c>
      <c r="B13" s="3" t="s">
        <v>13</v>
      </c>
      <c r="C13" s="4">
        <v>39841.607638888891</v>
      </c>
      <c r="D13" s="1" t="s">
        <v>21</v>
      </c>
      <c r="E13" s="1"/>
      <c r="F13" s="2" t="s">
        <v>76</v>
      </c>
      <c r="G13" s="1">
        <f ca="1">IFERROR(__xludf.DUMMYFUNCTION("COUNTA(SPLIT(F13,"" ""))"),289)</f>
        <v>289</v>
      </c>
      <c r="H13" s="1">
        <v>289</v>
      </c>
      <c r="I13" s="1"/>
      <c r="J13" s="1"/>
      <c r="K13" s="1"/>
      <c r="L13" s="1"/>
      <c r="M13" s="1"/>
      <c r="N13" s="1"/>
      <c r="O13" s="1"/>
      <c r="P13" s="1"/>
      <c r="Q13" s="1"/>
      <c r="R13" s="1"/>
      <c r="S13" s="1"/>
      <c r="T13" s="1"/>
    </row>
    <row r="14" spans="1:20" ht="33.75" customHeight="1">
      <c r="A14" s="1" t="s">
        <v>77</v>
      </c>
      <c r="B14" s="3" t="s">
        <v>13</v>
      </c>
      <c r="C14" s="4">
        <v>39841.757638888892</v>
      </c>
      <c r="D14" s="1" t="s">
        <v>54</v>
      </c>
      <c r="E14" s="1"/>
      <c r="F14" s="2" t="s">
        <v>82</v>
      </c>
      <c r="G14" s="1">
        <f ca="1">IFERROR(__xludf.DUMMYFUNCTION("COUNTA(SPLIT(F14,"" ""))"),17)</f>
        <v>17</v>
      </c>
      <c r="H14" s="1">
        <v>17</v>
      </c>
      <c r="I14" s="1"/>
      <c r="J14" s="1"/>
      <c r="K14" s="1"/>
      <c r="L14" s="1"/>
      <c r="M14" s="1"/>
      <c r="N14" s="1"/>
      <c r="O14" s="1"/>
      <c r="P14" s="1"/>
      <c r="Q14" s="1"/>
      <c r="R14" s="1"/>
      <c r="S14" s="1"/>
      <c r="T14" s="1"/>
    </row>
    <row r="15" spans="1:20" ht="33.75" customHeight="1">
      <c r="A15" s="1" t="s">
        <v>83</v>
      </c>
      <c r="B15" s="3" t="s">
        <v>13</v>
      </c>
      <c r="C15" s="4">
        <v>39841.765277777777</v>
      </c>
      <c r="D15" s="1" t="s">
        <v>84</v>
      </c>
      <c r="E15" s="1"/>
      <c r="F15" s="2" t="s">
        <v>86</v>
      </c>
      <c r="G15" s="1">
        <f ca="1">IFERROR(__xludf.DUMMYFUNCTION("COUNTA(SPLIT(F15,"" ""))"),144)</f>
        <v>144</v>
      </c>
      <c r="H15" s="1">
        <v>144</v>
      </c>
      <c r="I15" s="1"/>
      <c r="J15" s="1"/>
      <c r="K15" s="1"/>
      <c r="L15" s="1"/>
      <c r="M15" s="1"/>
      <c r="N15" s="1"/>
      <c r="O15" s="1"/>
      <c r="P15" s="1"/>
      <c r="Q15" s="1"/>
      <c r="R15" s="1"/>
      <c r="S15" s="1"/>
      <c r="T15" s="1"/>
    </row>
    <row r="16" spans="1:20" ht="33.75" customHeight="1">
      <c r="A16" s="1" t="s">
        <v>87</v>
      </c>
      <c r="B16" s="3" t="s">
        <v>13</v>
      </c>
      <c r="C16" s="4">
        <v>39841.981249999997</v>
      </c>
      <c r="D16" s="1" t="s">
        <v>14</v>
      </c>
      <c r="E16" s="1"/>
      <c r="F16" s="2" t="s">
        <v>91</v>
      </c>
      <c r="G16" s="1">
        <f ca="1">IFERROR(__xludf.DUMMYFUNCTION("COUNTA(SPLIT(F16,"" ""))"),574)</f>
        <v>574</v>
      </c>
      <c r="H16" s="1">
        <v>574</v>
      </c>
      <c r="I16" s="1"/>
      <c r="J16" s="1"/>
      <c r="K16" s="1"/>
      <c r="L16" s="1"/>
      <c r="M16" s="1"/>
      <c r="N16" s="1"/>
      <c r="O16" s="1"/>
      <c r="P16" s="1"/>
      <c r="Q16" s="1"/>
      <c r="R16" s="1"/>
      <c r="S16" s="1"/>
      <c r="T16" s="1"/>
    </row>
    <row r="17" spans="1:20" ht="33.75" customHeight="1">
      <c r="A17" s="1" t="s">
        <v>92</v>
      </c>
      <c r="B17" s="3" t="s">
        <v>13</v>
      </c>
      <c r="C17" s="4">
        <v>39842.952777777777</v>
      </c>
      <c r="D17" s="1" t="s">
        <v>93</v>
      </c>
      <c r="E17" s="1"/>
      <c r="F17" s="2" t="s">
        <v>95</v>
      </c>
      <c r="G17" s="1">
        <f ca="1">IFERROR(__xludf.DUMMYFUNCTION("COUNTA(SPLIT(F17,"" ""))"),226)</f>
        <v>226</v>
      </c>
      <c r="H17" s="1">
        <v>226</v>
      </c>
      <c r="I17" s="1"/>
      <c r="J17" s="1"/>
      <c r="K17" s="1"/>
      <c r="L17" s="1"/>
      <c r="M17" s="1"/>
      <c r="N17" s="1"/>
      <c r="O17" s="1"/>
      <c r="P17" s="1"/>
      <c r="Q17" s="1"/>
      <c r="R17" s="1"/>
      <c r="S17" s="1"/>
      <c r="T17" s="1"/>
    </row>
    <row r="18" spans="1:20" ht="33.75" customHeight="1">
      <c r="A18" s="1" t="s">
        <v>12</v>
      </c>
      <c r="B18" s="1" t="s">
        <v>96</v>
      </c>
      <c r="C18" s="4">
        <v>39843.452187499999</v>
      </c>
      <c r="D18" s="1" t="s">
        <v>14</v>
      </c>
      <c r="E18" s="1"/>
      <c r="F18" s="2" t="s">
        <v>99</v>
      </c>
      <c r="G18" s="1">
        <f ca="1">IFERROR(__xludf.DUMMYFUNCTION("COUNTA(SPLIT(F18,"" ""))"),2015)</f>
        <v>2015</v>
      </c>
      <c r="H18" s="1">
        <v>2015</v>
      </c>
      <c r="I18" s="1"/>
      <c r="J18" s="1"/>
      <c r="K18" s="1"/>
      <c r="L18" s="1"/>
      <c r="M18" s="1"/>
      <c r="N18" s="1"/>
      <c r="O18" s="1"/>
      <c r="P18" s="1"/>
      <c r="Q18" s="1"/>
      <c r="R18" s="1"/>
      <c r="S18" s="1"/>
      <c r="T18" s="1"/>
    </row>
    <row r="19" spans="1:20" ht="33.75" customHeight="1">
      <c r="A19" s="1" t="s">
        <v>100</v>
      </c>
      <c r="B19" s="3" t="s">
        <v>13</v>
      </c>
      <c r="C19" s="4">
        <v>39843.599999999999</v>
      </c>
      <c r="D19" s="1" t="s">
        <v>101</v>
      </c>
      <c r="E19" s="1"/>
      <c r="F19" s="2" t="s">
        <v>104</v>
      </c>
      <c r="G19" s="1">
        <f ca="1">IFERROR(__xludf.DUMMYFUNCTION("COUNTA(SPLIT(F19,"" ""))"),279)</f>
        <v>279</v>
      </c>
      <c r="H19" s="1">
        <v>279</v>
      </c>
      <c r="I19" s="1"/>
      <c r="J19" s="1"/>
      <c r="K19" s="1"/>
      <c r="L19" s="1"/>
      <c r="M19" s="1"/>
      <c r="N19" s="1"/>
      <c r="O19" s="1"/>
      <c r="P19" s="1"/>
      <c r="Q19" s="1"/>
      <c r="R19" s="1"/>
      <c r="S19" s="1"/>
      <c r="T19" s="1"/>
    </row>
    <row r="20" spans="1:20" ht="33.75" customHeight="1">
      <c r="A20" s="1" t="s">
        <v>105</v>
      </c>
      <c r="B20" s="3" t="s">
        <v>13</v>
      </c>
      <c r="C20" s="4">
        <v>39843.663194444445</v>
      </c>
      <c r="D20" s="1" t="s">
        <v>101</v>
      </c>
      <c r="E20" s="1"/>
      <c r="F20" s="2" t="s">
        <v>108</v>
      </c>
      <c r="G20" s="1">
        <f ca="1">IFERROR(__xludf.DUMMYFUNCTION("COUNTA(SPLIT(F20,"" ""))"),112)</f>
        <v>112</v>
      </c>
      <c r="H20" s="1">
        <v>112</v>
      </c>
      <c r="I20" s="1"/>
      <c r="J20" s="1"/>
      <c r="K20" s="1"/>
      <c r="L20" s="1"/>
      <c r="M20" s="1"/>
      <c r="N20" s="1"/>
      <c r="O20" s="1"/>
      <c r="P20" s="1"/>
      <c r="Q20" s="1"/>
      <c r="R20" s="1"/>
      <c r="S20" s="1"/>
      <c r="T20" s="1"/>
    </row>
    <row r="21" spans="1:20" ht="33.75" hidden="1" customHeight="1">
      <c r="A21" s="1" t="s">
        <v>109</v>
      </c>
      <c r="B21" s="3" t="s">
        <v>13</v>
      </c>
      <c r="C21" s="4">
        <v>39843.6875</v>
      </c>
      <c r="D21" s="1" t="s">
        <v>110</v>
      </c>
      <c r="E21" s="1" t="s">
        <v>21</v>
      </c>
      <c r="F21" s="2" t="s">
        <v>112</v>
      </c>
      <c r="G21" s="1">
        <f ca="1">IFERROR(__xludf.DUMMYFUNCTION("COUNTA(SPLIT(F21,"" ""))"),115)</f>
        <v>115</v>
      </c>
      <c r="H21" s="1">
        <v>115</v>
      </c>
      <c r="I21" s="1"/>
      <c r="J21" s="1"/>
      <c r="K21" s="1"/>
      <c r="L21" s="1"/>
      <c r="M21" s="1"/>
      <c r="N21" s="1"/>
      <c r="O21" s="1"/>
      <c r="P21" s="1"/>
      <c r="Q21" s="1"/>
      <c r="R21" s="1"/>
      <c r="S21" s="1"/>
      <c r="T21" s="1"/>
    </row>
    <row r="22" spans="1:20" ht="33.75" hidden="1" customHeight="1">
      <c r="A22" s="1" t="s">
        <v>113</v>
      </c>
      <c r="B22" s="3" t="s">
        <v>13</v>
      </c>
      <c r="C22" s="4">
        <v>39843.697222222225</v>
      </c>
      <c r="D22" s="1" t="s">
        <v>21</v>
      </c>
      <c r="E22" s="1" t="s">
        <v>105</v>
      </c>
      <c r="F22" s="2" t="s">
        <v>116</v>
      </c>
      <c r="G22" s="1">
        <f ca="1">IFERROR(__xludf.DUMMYFUNCTION("COUNTA(SPLIT(F22,"" ""))"),38)</f>
        <v>38</v>
      </c>
      <c r="H22" s="1">
        <v>38</v>
      </c>
      <c r="I22" s="1"/>
      <c r="J22" s="1"/>
      <c r="K22" s="1"/>
      <c r="L22" s="1"/>
      <c r="M22" s="1"/>
      <c r="N22" s="1"/>
      <c r="O22" s="1"/>
      <c r="P22" s="1"/>
      <c r="Q22" s="1"/>
      <c r="R22" s="1"/>
      <c r="S22" s="1"/>
      <c r="T22" s="1"/>
    </row>
    <row r="23" spans="1:20" ht="33.75" customHeight="1">
      <c r="A23" s="1" t="s">
        <v>117</v>
      </c>
      <c r="B23" s="1" t="s">
        <v>96</v>
      </c>
      <c r="C23" s="4">
        <v>39843.716666666667</v>
      </c>
      <c r="D23" s="1" t="s">
        <v>54</v>
      </c>
      <c r="E23" s="1"/>
      <c r="F23" s="2" t="s">
        <v>119</v>
      </c>
      <c r="G23" s="1">
        <f ca="1">IFERROR(__xludf.DUMMYFUNCTION("COUNTA(SPLIT(F23,"" ""))"),69)</f>
        <v>69</v>
      </c>
      <c r="H23" s="1">
        <v>69</v>
      </c>
      <c r="I23" s="1"/>
      <c r="J23" s="1"/>
      <c r="K23" s="1"/>
      <c r="L23" s="1"/>
      <c r="M23" s="1"/>
      <c r="N23" s="1"/>
      <c r="O23" s="1"/>
      <c r="P23" s="1"/>
      <c r="Q23" s="1"/>
      <c r="R23" s="1"/>
      <c r="S23" s="1"/>
      <c r="T23" s="1"/>
    </row>
    <row r="24" spans="1:20" ht="33.75" customHeight="1">
      <c r="A24" s="1" t="s">
        <v>120</v>
      </c>
      <c r="B24" s="3" t="s">
        <v>13</v>
      </c>
      <c r="C24" s="4">
        <v>39843.749305555553</v>
      </c>
      <c r="D24" s="1" t="s">
        <v>121</v>
      </c>
      <c r="E24" s="1"/>
      <c r="F24" s="2" t="s">
        <v>123</v>
      </c>
      <c r="G24" s="1">
        <f ca="1">IFERROR(__xludf.DUMMYFUNCTION("COUNTA(SPLIT(F24,"" ""))"),60)</f>
        <v>60</v>
      </c>
      <c r="H24" s="1">
        <v>60</v>
      </c>
      <c r="I24" s="1"/>
      <c r="J24" s="1"/>
      <c r="K24" s="1"/>
      <c r="L24" s="1"/>
      <c r="M24" s="1"/>
      <c r="N24" s="1"/>
      <c r="O24" s="1"/>
      <c r="P24" s="1"/>
      <c r="Q24" s="1"/>
      <c r="R24" s="1"/>
      <c r="S24" s="1"/>
      <c r="T24" s="1"/>
    </row>
    <row r="25" spans="1:20" ht="33.75" hidden="1" customHeight="1">
      <c r="A25" s="1" t="s">
        <v>124</v>
      </c>
      <c r="B25" s="1" t="s">
        <v>96</v>
      </c>
      <c r="C25" s="4">
        <v>39843.768750000003</v>
      </c>
      <c r="D25" s="1" t="s">
        <v>14</v>
      </c>
      <c r="E25" s="1" t="s">
        <v>117</v>
      </c>
      <c r="F25" s="2" t="s">
        <v>127</v>
      </c>
      <c r="G25" s="1">
        <f ca="1">IFERROR(__xludf.DUMMYFUNCTION("COUNTA(SPLIT(F25,"" ""))"),57)</f>
        <v>57</v>
      </c>
      <c r="H25" s="1">
        <v>57</v>
      </c>
      <c r="I25" s="1"/>
      <c r="J25" s="1"/>
      <c r="K25" s="1"/>
      <c r="L25" s="1"/>
      <c r="M25" s="1"/>
      <c r="N25" s="1"/>
      <c r="O25" s="1"/>
      <c r="P25" s="1"/>
      <c r="Q25" s="1"/>
      <c r="R25" s="1"/>
      <c r="S25" s="1"/>
      <c r="T25" s="1"/>
    </row>
    <row r="26" spans="1:20" ht="33.75" hidden="1" customHeight="1">
      <c r="A26" s="1" t="s">
        <v>128</v>
      </c>
      <c r="B26" s="1" t="s">
        <v>96</v>
      </c>
      <c r="C26" s="4">
        <v>39843.797222222223</v>
      </c>
      <c r="D26" s="1" t="s">
        <v>110</v>
      </c>
      <c r="E26" s="1" t="s">
        <v>129</v>
      </c>
      <c r="F26" s="2" t="s">
        <v>131</v>
      </c>
      <c r="G26" s="1">
        <f ca="1">IFERROR(__xludf.DUMMYFUNCTION("COUNTA(SPLIT(F26,"" ""))"),96)</f>
        <v>96</v>
      </c>
      <c r="H26" s="1">
        <v>96</v>
      </c>
      <c r="I26" s="1"/>
      <c r="J26" s="1"/>
      <c r="K26" s="1"/>
      <c r="L26" s="1"/>
      <c r="M26" s="1"/>
      <c r="N26" s="1"/>
      <c r="O26" s="1"/>
      <c r="P26" s="1"/>
      <c r="Q26" s="1"/>
      <c r="R26" s="1"/>
      <c r="S26" s="1"/>
      <c r="T26" s="1"/>
    </row>
    <row r="27" spans="1:20" ht="33.75" customHeight="1">
      <c r="A27" s="1" t="s">
        <v>132</v>
      </c>
      <c r="B27" s="1" t="s">
        <v>96</v>
      </c>
      <c r="C27" s="4">
        <v>39844.310416666667</v>
      </c>
      <c r="D27" s="1" t="s">
        <v>84</v>
      </c>
      <c r="E27" s="1"/>
      <c r="F27" s="2" t="s">
        <v>135</v>
      </c>
      <c r="G27" s="1">
        <f ca="1">IFERROR(__xludf.DUMMYFUNCTION("COUNTA(SPLIT(F27,"" ""))"),41)</f>
        <v>41</v>
      </c>
      <c r="H27" s="1">
        <v>41</v>
      </c>
      <c r="I27" s="1"/>
      <c r="J27" s="1"/>
      <c r="K27" s="1"/>
      <c r="L27" s="1"/>
      <c r="M27" s="1"/>
      <c r="N27" s="1"/>
      <c r="O27" s="1"/>
      <c r="P27" s="1"/>
      <c r="Q27" s="1"/>
      <c r="R27" s="1"/>
      <c r="S27" s="1"/>
      <c r="T27" s="1"/>
    </row>
    <row r="28" spans="1:20" ht="33.75" hidden="1" customHeight="1">
      <c r="A28" s="1" t="s">
        <v>136</v>
      </c>
      <c r="B28" s="1" t="s">
        <v>96</v>
      </c>
      <c r="C28" s="4">
        <v>39844.345138888886</v>
      </c>
      <c r="D28" s="1" t="s">
        <v>14</v>
      </c>
      <c r="E28" s="1" t="s">
        <v>132</v>
      </c>
      <c r="F28" s="2" t="s">
        <v>138</v>
      </c>
      <c r="G28" s="1">
        <f ca="1">IFERROR(__xludf.DUMMYFUNCTION("COUNTA(SPLIT(F28,"" ""))"),30)</f>
        <v>30</v>
      </c>
      <c r="H28" s="1">
        <v>30</v>
      </c>
      <c r="I28" s="1"/>
      <c r="J28" s="1"/>
      <c r="K28" s="1"/>
      <c r="L28" s="1"/>
      <c r="M28" s="1"/>
      <c r="N28" s="1"/>
      <c r="O28" s="1"/>
      <c r="P28" s="1"/>
      <c r="Q28" s="1"/>
      <c r="R28" s="1"/>
      <c r="S28" s="1"/>
      <c r="T28" s="1"/>
    </row>
    <row r="29" spans="1:20" ht="33.75" customHeight="1">
      <c r="A29" s="1" t="s">
        <v>139</v>
      </c>
      <c r="B29" s="3" t="s">
        <v>13</v>
      </c>
      <c r="C29" s="4">
        <v>39844.586805555555</v>
      </c>
      <c r="D29" s="1" t="s">
        <v>101</v>
      </c>
      <c r="E29" s="1"/>
      <c r="F29" s="2" t="s">
        <v>142</v>
      </c>
      <c r="G29" s="1">
        <f ca="1">IFERROR(__xludf.DUMMYFUNCTION("COUNTA(SPLIT(F29,"" ""))"),147)</f>
        <v>147</v>
      </c>
      <c r="H29" s="1">
        <v>147</v>
      </c>
      <c r="I29" s="1"/>
      <c r="J29" s="1"/>
      <c r="K29" s="1"/>
      <c r="L29" s="1"/>
      <c r="M29" s="1"/>
      <c r="N29" s="1"/>
      <c r="O29" s="1"/>
      <c r="P29" s="1"/>
      <c r="Q29" s="1"/>
      <c r="R29" s="1"/>
      <c r="S29" s="1"/>
      <c r="T29" s="1"/>
    </row>
    <row r="30" spans="1:20" ht="33.75" customHeight="1">
      <c r="A30" s="1" t="s">
        <v>143</v>
      </c>
      <c r="B30" s="3" t="s">
        <v>13</v>
      </c>
      <c r="C30" s="4">
        <v>39844.589583333334</v>
      </c>
      <c r="D30" s="1" t="s">
        <v>144</v>
      </c>
      <c r="E30" s="1"/>
      <c r="F30" s="2" t="s">
        <v>147</v>
      </c>
      <c r="G30" s="1">
        <f ca="1">IFERROR(__xludf.DUMMYFUNCTION("COUNTA(SPLIT(F30,"" ""))"),38)</f>
        <v>38</v>
      </c>
      <c r="H30" s="1">
        <v>38</v>
      </c>
      <c r="I30" s="1"/>
      <c r="J30" s="1"/>
      <c r="K30" s="1"/>
      <c r="L30" s="1"/>
      <c r="M30" s="1"/>
      <c r="N30" s="1"/>
      <c r="O30" s="1"/>
      <c r="P30" s="1"/>
      <c r="Q30" s="1"/>
      <c r="R30" s="1"/>
      <c r="S30" s="1"/>
      <c r="T30" s="1"/>
    </row>
    <row r="31" spans="1:20" ht="33.75" hidden="1" customHeight="1">
      <c r="A31" s="1" t="s">
        <v>148</v>
      </c>
      <c r="B31" s="3" t="s">
        <v>13</v>
      </c>
      <c r="C31" s="4">
        <v>39844.681250000001</v>
      </c>
      <c r="D31" s="1" t="s">
        <v>14</v>
      </c>
      <c r="E31" s="1" t="s">
        <v>149</v>
      </c>
      <c r="F31" s="2" t="s">
        <v>152</v>
      </c>
      <c r="G31" s="1">
        <f ca="1">IFERROR(__xludf.DUMMYFUNCTION("COUNTA(SPLIT(F31,"" ""))"),369)</f>
        <v>369</v>
      </c>
      <c r="H31" s="1">
        <v>369</v>
      </c>
      <c r="I31" s="1"/>
      <c r="J31" s="1"/>
      <c r="K31" s="1"/>
      <c r="L31" s="1"/>
      <c r="M31" s="1"/>
      <c r="N31" s="1"/>
      <c r="O31" s="1"/>
      <c r="P31" s="1"/>
      <c r="Q31" s="1"/>
      <c r="R31" s="1"/>
      <c r="S31" s="1"/>
      <c r="T31" s="1"/>
    </row>
    <row r="32" spans="1:20" ht="33.75" customHeight="1">
      <c r="A32" s="1" t="s">
        <v>153</v>
      </c>
      <c r="B32" s="3" t="s">
        <v>13</v>
      </c>
      <c r="C32" s="4">
        <v>39844.712500000001</v>
      </c>
      <c r="D32" s="1" t="s">
        <v>154</v>
      </c>
      <c r="E32" s="1"/>
      <c r="F32" s="2" t="s">
        <v>155</v>
      </c>
      <c r="G32" s="1">
        <f ca="1">IFERROR(__xludf.DUMMYFUNCTION("COUNTA(SPLIT(F32,"" ""))"),66)</f>
        <v>66</v>
      </c>
      <c r="H32" s="1">
        <v>66</v>
      </c>
      <c r="I32" s="1"/>
      <c r="J32" s="1"/>
      <c r="K32" s="1"/>
      <c r="L32" s="1"/>
      <c r="M32" s="1"/>
      <c r="N32" s="1"/>
      <c r="O32" s="1"/>
      <c r="P32" s="1"/>
      <c r="Q32" s="1"/>
      <c r="R32" s="1"/>
      <c r="S32" s="1"/>
      <c r="T32" s="1"/>
    </row>
    <row r="33" spans="1:20" ht="33.75" customHeight="1">
      <c r="A33" s="1" t="s">
        <v>12</v>
      </c>
      <c r="B33" s="1" t="s">
        <v>156</v>
      </c>
      <c r="C33" s="4">
        <v>39845.528981481482</v>
      </c>
      <c r="D33" s="1" t="s">
        <v>14</v>
      </c>
      <c r="E33" s="1"/>
      <c r="F33" s="2" t="s">
        <v>159</v>
      </c>
      <c r="G33" s="1">
        <f ca="1">IFERROR(__xludf.DUMMYFUNCTION("COUNTA(SPLIT(F33,"" ""))"),1873)</f>
        <v>1873</v>
      </c>
      <c r="H33" s="1">
        <v>1873</v>
      </c>
      <c r="I33" s="1"/>
      <c r="J33" s="1"/>
      <c r="K33" s="1"/>
      <c r="L33" s="1"/>
      <c r="M33" s="1"/>
      <c r="N33" s="1"/>
      <c r="O33" s="1"/>
      <c r="P33" s="1"/>
      <c r="Q33" s="1"/>
      <c r="R33" s="1"/>
      <c r="S33" s="1"/>
      <c r="T33" s="1"/>
    </row>
    <row r="34" spans="1:20" ht="33.75" customHeight="1">
      <c r="A34" s="1" t="s">
        <v>12</v>
      </c>
      <c r="B34" s="1" t="s">
        <v>160</v>
      </c>
      <c r="C34" s="4">
        <v>39845.530092592591</v>
      </c>
      <c r="D34" s="1" t="s">
        <v>14</v>
      </c>
      <c r="E34" s="1"/>
      <c r="F34" s="2" t="s">
        <v>161</v>
      </c>
      <c r="G34" s="1">
        <f ca="1">IFERROR(__xludf.DUMMYFUNCTION("COUNTA(SPLIT(F34,"" ""))"),3265)</f>
        <v>3265</v>
      </c>
      <c r="H34" s="1">
        <v>3265</v>
      </c>
      <c r="I34" s="1"/>
      <c r="J34" s="1"/>
      <c r="K34" s="1"/>
      <c r="L34" s="1"/>
      <c r="M34" s="1"/>
      <c r="N34" s="1"/>
      <c r="O34" s="1"/>
      <c r="P34" s="1"/>
      <c r="Q34" s="1"/>
      <c r="R34" s="1"/>
      <c r="S34" s="1"/>
      <c r="T34" s="1"/>
    </row>
    <row r="35" spans="1:20" ht="33.75" customHeight="1">
      <c r="A35" s="1" t="s">
        <v>12</v>
      </c>
      <c r="B35" s="1" t="s">
        <v>162</v>
      </c>
      <c r="C35" s="4">
        <v>39845.530590277776</v>
      </c>
      <c r="D35" s="1" t="s">
        <v>14</v>
      </c>
      <c r="E35" s="1"/>
      <c r="F35" s="2" t="s">
        <v>164</v>
      </c>
      <c r="G35" s="1">
        <f ca="1">IFERROR(__xludf.DUMMYFUNCTION("COUNTA(SPLIT(F35,"" ""))"),610)</f>
        <v>610</v>
      </c>
      <c r="H35" s="1">
        <v>610</v>
      </c>
      <c r="I35" s="1"/>
      <c r="J35" s="1"/>
      <c r="K35" s="1"/>
      <c r="L35" s="1"/>
      <c r="M35" s="1"/>
      <c r="N35" s="1"/>
      <c r="O35" s="1"/>
      <c r="P35" s="1"/>
      <c r="Q35" s="1"/>
      <c r="R35" s="1"/>
      <c r="S35" s="1"/>
      <c r="T35" s="1"/>
    </row>
    <row r="36" spans="1:20" ht="33.75" customHeight="1">
      <c r="A36" s="1" t="s">
        <v>165</v>
      </c>
      <c r="B36" s="3" t="s">
        <v>13</v>
      </c>
      <c r="C36" s="4">
        <v>39845.607638888891</v>
      </c>
      <c r="D36" s="1" t="s">
        <v>101</v>
      </c>
      <c r="E36" s="1"/>
      <c r="F36" s="2" t="s">
        <v>169</v>
      </c>
      <c r="G36" s="1">
        <f ca="1">IFERROR(__xludf.DUMMYFUNCTION("COUNTA(SPLIT(F36,"" ""))"),265)</f>
        <v>265</v>
      </c>
      <c r="H36" s="1">
        <v>265</v>
      </c>
      <c r="I36" s="1"/>
      <c r="J36" s="1"/>
      <c r="K36" s="1"/>
      <c r="L36" s="1"/>
      <c r="M36" s="1"/>
      <c r="N36" s="1"/>
      <c r="O36" s="1"/>
      <c r="P36" s="1"/>
      <c r="Q36" s="1"/>
      <c r="R36" s="1"/>
      <c r="S36" s="1"/>
      <c r="T36" s="1"/>
    </row>
    <row r="37" spans="1:20" ht="33.75" customHeight="1">
      <c r="A37" s="1" t="s">
        <v>170</v>
      </c>
      <c r="B37" s="3" t="s">
        <v>13</v>
      </c>
      <c r="C37" s="4">
        <v>39845.740972222222</v>
      </c>
      <c r="D37" s="1" t="s">
        <v>171</v>
      </c>
      <c r="E37" s="1"/>
      <c r="F37" s="2" t="s">
        <v>173</v>
      </c>
      <c r="G37" s="1">
        <f ca="1">IFERROR(__xludf.DUMMYFUNCTION("COUNTA(SPLIT(F37,"" ""))"),387)</f>
        <v>387</v>
      </c>
      <c r="H37" s="1">
        <v>387</v>
      </c>
      <c r="I37" s="1"/>
      <c r="J37" s="1"/>
      <c r="K37" s="1"/>
      <c r="L37" s="1"/>
      <c r="M37" s="1"/>
      <c r="N37" s="1"/>
      <c r="O37" s="1"/>
      <c r="P37" s="1"/>
      <c r="Q37" s="1"/>
      <c r="R37" s="1"/>
      <c r="S37" s="1"/>
      <c r="T37" s="1"/>
    </row>
    <row r="38" spans="1:20" ht="33.75" customHeight="1">
      <c r="A38" s="1" t="s">
        <v>12</v>
      </c>
      <c r="B38" s="1" t="s">
        <v>174</v>
      </c>
      <c r="C38" s="4">
        <v>39845.799675925926</v>
      </c>
      <c r="D38" s="1" t="s">
        <v>175</v>
      </c>
      <c r="E38" s="1"/>
      <c r="F38" s="8" t="s">
        <v>176</v>
      </c>
      <c r="G38" s="1">
        <f ca="1">IFERROR(__xludf.DUMMYFUNCTION("COUNTA(SPLIT(F38,"" ""))"),409)</f>
        <v>409</v>
      </c>
      <c r="H38" s="1">
        <v>409</v>
      </c>
      <c r="I38" s="1"/>
      <c r="J38" s="1"/>
      <c r="K38" s="1"/>
      <c r="L38" s="1"/>
      <c r="M38" s="1"/>
      <c r="N38" s="1"/>
      <c r="O38" s="1"/>
      <c r="P38" s="1"/>
      <c r="Q38" s="1"/>
      <c r="R38" s="1"/>
      <c r="S38" s="1"/>
      <c r="T38" s="1"/>
    </row>
    <row r="39" spans="1:20" ht="33.75" customHeight="1">
      <c r="A39" s="1" t="s">
        <v>177</v>
      </c>
      <c r="B39" s="1" t="s">
        <v>156</v>
      </c>
      <c r="C39" s="4">
        <v>39845.837500000001</v>
      </c>
      <c r="D39" s="1" t="s">
        <v>178</v>
      </c>
      <c r="E39" s="1"/>
      <c r="F39" s="2" t="s">
        <v>180</v>
      </c>
      <c r="G39" s="1">
        <f ca="1">IFERROR(__xludf.DUMMYFUNCTION("COUNTA(SPLIT(F39,"" ""))"),14)</f>
        <v>14</v>
      </c>
      <c r="H39" s="1">
        <v>14</v>
      </c>
      <c r="I39" s="1"/>
      <c r="J39" s="1"/>
      <c r="K39" s="1"/>
      <c r="L39" s="1"/>
      <c r="M39" s="1"/>
      <c r="N39" s="1"/>
      <c r="O39" s="1"/>
      <c r="P39" s="1"/>
      <c r="Q39" s="1"/>
      <c r="R39" s="1"/>
      <c r="S39" s="1"/>
      <c r="T39" s="1"/>
    </row>
    <row r="40" spans="1:20" ht="33.75" customHeight="1">
      <c r="A40" s="1" t="s">
        <v>181</v>
      </c>
      <c r="B40" s="1" t="s">
        <v>156</v>
      </c>
      <c r="C40" s="4">
        <v>39845.839583333334</v>
      </c>
      <c r="D40" s="1" t="s">
        <v>178</v>
      </c>
      <c r="E40" s="1"/>
      <c r="F40" s="2" t="s">
        <v>183</v>
      </c>
      <c r="G40" s="1">
        <f ca="1">IFERROR(__xludf.DUMMYFUNCTION("COUNTA(SPLIT(F40,"" ""))"),22)</f>
        <v>22</v>
      </c>
      <c r="H40" s="1">
        <v>22</v>
      </c>
      <c r="I40" s="1"/>
      <c r="J40" s="1"/>
      <c r="K40" s="1"/>
      <c r="L40" s="1"/>
      <c r="M40" s="1"/>
      <c r="N40" s="1"/>
      <c r="O40" s="1"/>
      <c r="P40" s="1"/>
      <c r="Q40" s="1"/>
      <c r="R40" s="1"/>
      <c r="S40" s="1"/>
      <c r="T40" s="1"/>
    </row>
    <row r="41" spans="1:20" ht="33.75" hidden="1" customHeight="1">
      <c r="A41" s="1" t="s">
        <v>184</v>
      </c>
      <c r="B41" s="3" t="s">
        <v>13</v>
      </c>
      <c r="C41" s="4">
        <v>39845.852083333331</v>
      </c>
      <c r="D41" s="1" t="s">
        <v>54</v>
      </c>
      <c r="E41" s="1" t="s">
        <v>170</v>
      </c>
      <c r="F41" s="2" t="s">
        <v>187</v>
      </c>
      <c r="G41" s="1">
        <f ca="1">IFERROR(__xludf.DUMMYFUNCTION("COUNTA(SPLIT(F41,"" ""))"),382)</f>
        <v>382</v>
      </c>
      <c r="H41" s="1">
        <v>382</v>
      </c>
      <c r="I41" s="1"/>
      <c r="J41" s="1"/>
      <c r="K41" s="1"/>
      <c r="L41" s="1"/>
      <c r="M41" s="1"/>
      <c r="N41" s="1"/>
      <c r="O41" s="1"/>
      <c r="P41" s="1"/>
      <c r="Q41" s="1"/>
      <c r="R41" s="1"/>
      <c r="S41" s="1"/>
      <c r="T41" s="1"/>
    </row>
    <row r="42" spans="1:20" ht="33.75" customHeight="1">
      <c r="A42" s="1" t="s">
        <v>188</v>
      </c>
      <c r="B42" s="1" t="s">
        <v>160</v>
      </c>
      <c r="C42" s="4">
        <v>39845.874305555553</v>
      </c>
      <c r="D42" s="1" t="s">
        <v>14</v>
      </c>
      <c r="E42" s="1"/>
      <c r="F42" s="2" t="s">
        <v>190</v>
      </c>
      <c r="G42" s="1">
        <f ca="1">IFERROR(__xludf.DUMMYFUNCTION("COUNTA(SPLIT(F42,"" ""))"),51)</f>
        <v>51</v>
      </c>
      <c r="H42" s="1">
        <v>51</v>
      </c>
      <c r="I42" s="1"/>
      <c r="J42" s="1"/>
      <c r="K42" s="1"/>
      <c r="L42" s="1"/>
      <c r="M42" s="1"/>
      <c r="N42" s="1"/>
      <c r="O42" s="1"/>
      <c r="P42" s="1"/>
      <c r="Q42" s="1"/>
      <c r="R42" s="1"/>
      <c r="S42" s="1"/>
      <c r="T42" s="1"/>
    </row>
    <row r="43" spans="1:20" ht="33.75" customHeight="1">
      <c r="A43" s="1" t="s">
        <v>191</v>
      </c>
      <c r="B43" s="1" t="s">
        <v>156</v>
      </c>
      <c r="C43" s="4">
        <v>39845.875</v>
      </c>
      <c r="D43" s="1" t="s">
        <v>192</v>
      </c>
      <c r="E43" s="1"/>
      <c r="F43" s="2" t="s">
        <v>194</v>
      </c>
      <c r="G43" s="1">
        <f ca="1">IFERROR(__xludf.DUMMYFUNCTION("COUNTA(SPLIT(F43,"" ""))"),331)</f>
        <v>331</v>
      </c>
      <c r="H43" s="1">
        <v>331</v>
      </c>
      <c r="I43" s="1"/>
      <c r="J43" s="1"/>
      <c r="K43" s="1"/>
      <c r="L43" s="1"/>
      <c r="M43" s="1"/>
      <c r="N43" s="1"/>
      <c r="O43" s="1"/>
      <c r="P43" s="1"/>
      <c r="Q43" s="1"/>
      <c r="R43" s="1"/>
      <c r="S43" s="1"/>
      <c r="T43" s="1"/>
    </row>
    <row r="44" spans="1:20" ht="33.75" customHeight="1">
      <c r="A44" s="1" t="s">
        <v>195</v>
      </c>
      <c r="B44" s="1" t="s">
        <v>160</v>
      </c>
      <c r="C44" s="4">
        <v>39845.880555555559</v>
      </c>
      <c r="D44" s="1" t="s">
        <v>196</v>
      </c>
      <c r="E44" s="1"/>
      <c r="F44" s="2" t="s">
        <v>200</v>
      </c>
      <c r="G44" s="1">
        <f ca="1">IFERROR(__xludf.DUMMYFUNCTION("COUNTA(SPLIT(F44,"" ""))"),352)</f>
        <v>352</v>
      </c>
      <c r="H44" s="1">
        <v>352</v>
      </c>
      <c r="I44" s="1"/>
      <c r="J44" s="1"/>
      <c r="K44" s="1"/>
      <c r="L44" s="1"/>
      <c r="M44" s="1"/>
      <c r="N44" s="1"/>
      <c r="O44" s="1"/>
      <c r="P44" s="1"/>
      <c r="Q44" s="1"/>
      <c r="R44" s="1"/>
      <c r="S44" s="1"/>
      <c r="T44" s="1"/>
    </row>
    <row r="45" spans="1:20" ht="33.75" customHeight="1">
      <c r="A45" s="1" t="s">
        <v>201</v>
      </c>
      <c r="B45" s="1" t="s">
        <v>160</v>
      </c>
      <c r="C45" s="4">
        <v>39845.890972222223</v>
      </c>
      <c r="D45" s="1" t="s">
        <v>84</v>
      </c>
      <c r="E45" s="1"/>
      <c r="F45" s="2" t="s">
        <v>203</v>
      </c>
      <c r="G45" s="1">
        <f ca="1">IFERROR(__xludf.DUMMYFUNCTION("COUNTA(SPLIT(F45,"" ""))"),127)</f>
        <v>127</v>
      </c>
      <c r="H45" s="1">
        <v>127</v>
      </c>
      <c r="I45" s="1"/>
      <c r="J45" s="1"/>
      <c r="K45" s="1"/>
      <c r="L45" s="1"/>
      <c r="M45" s="1"/>
      <c r="N45" s="1"/>
      <c r="O45" s="1"/>
      <c r="P45" s="1"/>
      <c r="Q45" s="1"/>
      <c r="R45" s="1"/>
      <c r="S45" s="1"/>
      <c r="T45" s="1"/>
    </row>
    <row r="46" spans="1:20" ht="33.75" customHeight="1">
      <c r="A46" s="1" t="s">
        <v>204</v>
      </c>
      <c r="B46" s="1" t="s">
        <v>160</v>
      </c>
      <c r="C46" s="4">
        <v>39845.893055555556</v>
      </c>
      <c r="D46" s="1" t="s">
        <v>54</v>
      </c>
      <c r="E46" s="1"/>
      <c r="F46" s="2" t="s">
        <v>207</v>
      </c>
      <c r="G46" s="1">
        <f ca="1">IFERROR(__xludf.DUMMYFUNCTION("COUNTA(SPLIT(F46,"" ""))"),388)</f>
        <v>388</v>
      </c>
      <c r="H46" s="1">
        <v>388</v>
      </c>
      <c r="I46" s="1"/>
      <c r="J46" s="1"/>
      <c r="K46" s="1"/>
      <c r="L46" s="1"/>
      <c r="M46" s="1"/>
      <c r="N46" s="1"/>
      <c r="O46" s="1"/>
      <c r="P46" s="1"/>
      <c r="Q46" s="1"/>
      <c r="R46" s="1"/>
      <c r="S46" s="1"/>
      <c r="T46" s="1"/>
    </row>
    <row r="47" spans="1:20" ht="33.75" customHeight="1">
      <c r="A47" s="1" t="s">
        <v>208</v>
      </c>
      <c r="B47" s="1" t="s">
        <v>160</v>
      </c>
      <c r="C47" s="4">
        <v>39845.895833333336</v>
      </c>
      <c r="D47" s="1" t="s">
        <v>54</v>
      </c>
      <c r="E47" s="1"/>
      <c r="F47" s="2" t="s">
        <v>210</v>
      </c>
      <c r="G47" s="1">
        <f ca="1">IFERROR(__xludf.DUMMYFUNCTION("COUNTA(SPLIT(F47,"" ""))"),99)</f>
        <v>99</v>
      </c>
      <c r="H47" s="1">
        <v>99</v>
      </c>
      <c r="I47" s="1"/>
      <c r="J47" s="1"/>
      <c r="K47" s="1"/>
      <c r="L47" s="1"/>
      <c r="M47" s="1"/>
      <c r="N47" s="1"/>
      <c r="O47" s="1"/>
      <c r="P47" s="1"/>
      <c r="Q47" s="1"/>
      <c r="R47" s="1"/>
      <c r="S47" s="1"/>
      <c r="T47" s="1"/>
    </row>
    <row r="48" spans="1:20" ht="33.75" customHeight="1">
      <c r="A48" s="1" t="s">
        <v>211</v>
      </c>
      <c r="B48" s="1" t="s">
        <v>160</v>
      </c>
      <c r="C48" s="4">
        <v>39845.927777777775</v>
      </c>
      <c r="D48" s="1" t="s">
        <v>212</v>
      </c>
      <c r="E48" s="1"/>
      <c r="F48" s="2" t="s">
        <v>216</v>
      </c>
      <c r="G48" s="1">
        <f ca="1">IFERROR(__xludf.DUMMYFUNCTION("COUNTA(SPLIT(F48,"" ""))"),245)</f>
        <v>245</v>
      </c>
      <c r="H48" s="1">
        <v>245</v>
      </c>
      <c r="I48" s="1"/>
      <c r="J48" s="1"/>
      <c r="K48" s="1"/>
      <c r="L48" s="1"/>
      <c r="M48" s="1"/>
      <c r="N48" s="1"/>
      <c r="O48" s="1"/>
      <c r="P48" s="1"/>
      <c r="Q48" s="1"/>
      <c r="R48" s="1"/>
      <c r="S48" s="1"/>
      <c r="T48" s="1"/>
    </row>
    <row r="49" spans="1:20" ht="33.75" hidden="1" customHeight="1">
      <c r="A49" s="1" t="s">
        <v>217</v>
      </c>
      <c r="B49" s="1" t="s">
        <v>160</v>
      </c>
      <c r="C49" s="4">
        <v>39846.059027777781</v>
      </c>
      <c r="D49" s="1" t="s">
        <v>14</v>
      </c>
      <c r="E49" s="1" t="s">
        <v>195</v>
      </c>
      <c r="F49" s="2" t="s">
        <v>221</v>
      </c>
      <c r="G49" s="1">
        <f ca="1">IFERROR(__xludf.DUMMYFUNCTION("COUNTA(SPLIT(F49,"" ""))"),189)</f>
        <v>189</v>
      </c>
      <c r="H49" s="1">
        <v>189</v>
      </c>
      <c r="I49" s="1"/>
      <c r="J49" s="1"/>
      <c r="K49" s="1"/>
      <c r="L49" s="1"/>
      <c r="M49" s="1"/>
      <c r="N49" s="1"/>
      <c r="O49" s="1"/>
      <c r="P49" s="1"/>
      <c r="Q49" s="1"/>
      <c r="R49" s="1"/>
      <c r="S49" s="1"/>
      <c r="T49" s="1"/>
    </row>
    <row r="50" spans="1:20" ht="33.75" customHeight="1">
      <c r="A50" s="1" t="s">
        <v>222</v>
      </c>
      <c r="B50" s="1" t="s">
        <v>160</v>
      </c>
      <c r="C50" s="4">
        <v>39846.063194444447</v>
      </c>
      <c r="D50" s="1" t="s">
        <v>54</v>
      </c>
      <c r="E50" s="1"/>
      <c r="F50" s="2" t="s">
        <v>226</v>
      </c>
      <c r="G50" s="1">
        <f ca="1">IFERROR(__xludf.DUMMYFUNCTION("COUNTA(SPLIT(F50,"" ""))"),201)</f>
        <v>201</v>
      </c>
      <c r="H50" s="1">
        <v>201</v>
      </c>
      <c r="I50" s="1"/>
      <c r="J50" s="1"/>
      <c r="K50" s="1"/>
      <c r="L50" s="1"/>
      <c r="M50" s="1"/>
      <c r="N50" s="1"/>
      <c r="O50" s="1"/>
      <c r="P50" s="1"/>
      <c r="Q50" s="1"/>
      <c r="R50" s="1"/>
      <c r="S50" s="1"/>
      <c r="T50" s="1"/>
    </row>
    <row r="51" spans="1:20" ht="33.75" hidden="1" customHeight="1">
      <c r="A51" s="1" t="s">
        <v>227</v>
      </c>
      <c r="B51" s="1" t="s">
        <v>160</v>
      </c>
      <c r="C51" s="4">
        <v>39846.066666666666</v>
      </c>
      <c r="D51" s="1" t="s">
        <v>14</v>
      </c>
      <c r="E51" s="1" t="s">
        <v>204</v>
      </c>
      <c r="F51" s="2" t="s">
        <v>229</v>
      </c>
      <c r="G51" s="1">
        <f ca="1">IFERROR(__xludf.DUMMYFUNCTION("COUNTA(SPLIT(F51,"" ""))"),209)</f>
        <v>209</v>
      </c>
      <c r="H51" s="1">
        <v>209</v>
      </c>
      <c r="I51" s="1"/>
      <c r="J51" s="1"/>
      <c r="K51" s="1"/>
      <c r="L51" s="1"/>
      <c r="M51" s="1"/>
      <c r="N51" s="1"/>
      <c r="O51" s="1"/>
      <c r="P51" s="1"/>
      <c r="Q51" s="1"/>
      <c r="R51" s="1"/>
      <c r="S51" s="1"/>
      <c r="T51" s="1"/>
    </row>
    <row r="52" spans="1:20" ht="33.75" customHeight="1">
      <c r="A52" s="1" t="s">
        <v>230</v>
      </c>
      <c r="B52" s="1" t="s">
        <v>160</v>
      </c>
      <c r="C52" s="4">
        <v>39846.072916666664</v>
      </c>
      <c r="D52" s="1" t="s">
        <v>14</v>
      </c>
      <c r="E52" s="1"/>
      <c r="F52" s="2" t="s">
        <v>233</v>
      </c>
      <c r="G52" s="1">
        <f ca="1">IFERROR(__xludf.DUMMYFUNCTION("COUNTA(SPLIT(F52,"" ""))"),177)</f>
        <v>177</v>
      </c>
      <c r="H52" s="1">
        <v>177</v>
      </c>
      <c r="I52" s="1"/>
      <c r="J52" s="1"/>
      <c r="K52" s="1"/>
      <c r="L52" s="1"/>
      <c r="M52" s="1"/>
      <c r="N52" s="1"/>
      <c r="O52" s="1"/>
      <c r="P52" s="1"/>
      <c r="Q52" s="1"/>
      <c r="R52" s="1"/>
      <c r="S52" s="1"/>
      <c r="T52" s="1"/>
    </row>
    <row r="53" spans="1:20" ht="33.75" hidden="1" customHeight="1">
      <c r="A53" s="1" t="s">
        <v>234</v>
      </c>
      <c r="B53" s="1" t="s">
        <v>156</v>
      </c>
      <c r="C53" s="4">
        <v>39846.079861111109</v>
      </c>
      <c r="D53" s="1" t="s">
        <v>14</v>
      </c>
      <c r="E53" s="1" t="s">
        <v>191</v>
      </c>
      <c r="F53" s="2" t="s">
        <v>236</v>
      </c>
      <c r="G53" s="1">
        <f ca="1">IFERROR(__xludf.DUMMYFUNCTION("COUNTA(SPLIT(F53,"" ""))"),75)</f>
        <v>75</v>
      </c>
      <c r="H53" s="1">
        <v>75</v>
      </c>
      <c r="I53" s="1"/>
      <c r="J53" s="1"/>
      <c r="K53" s="1"/>
      <c r="L53" s="1"/>
      <c r="M53" s="1"/>
      <c r="N53" s="1"/>
      <c r="O53" s="1"/>
      <c r="P53" s="1"/>
      <c r="Q53" s="1"/>
      <c r="R53" s="1"/>
      <c r="S53" s="1"/>
      <c r="T53" s="1"/>
    </row>
    <row r="54" spans="1:20" ht="33.75" customHeight="1">
      <c r="A54" s="1" t="s">
        <v>237</v>
      </c>
      <c r="B54" s="1" t="s">
        <v>160</v>
      </c>
      <c r="C54" s="4">
        <v>39846.095138888886</v>
      </c>
      <c r="D54" s="1" t="s">
        <v>84</v>
      </c>
      <c r="E54" s="1"/>
      <c r="F54" s="2" t="s">
        <v>239</v>
      </c>
      <c r="G54" s="1">
        <f ca="1">IFERROR(__xludf.DUMMYFUNCTION("COUNTA(SPLIT(F54,"" ""))"),49)</f>
        <v>49</v>
      </c>
      <c r="H54" s="1">
        <v>49</v>
      </c>
      <c r="I54" s="1"/>
      <c r="J54" s="1"/>
      <c r="K54" s="1"/>
      <c r="L54" s="1"/>
      <c r="M54" s="1"/>
      <c r="N54" s="1"/>
      <c r="O54" s="1"/>
      <c r="P54" s="1"/>
      <c r="Q54" s="1"/>
      <c r="R54" s="1"/>
      <c r="S54" s="1"/>
      <c r="T54" s="1"/>
    </row>
    <row r="55" spans="1:20" ht="33.75" hidden="1" customHeight="1">
      <c r="A55" s="1" t="s">
        <v>240</v>
      </c>
      <c r="B55" s="1" t="s">
        <v>160</v>
      </c>
      <c r="C55" s="4">
        <v>39846.102083333331</v>
      </c>
      <c r="D55" s="1" t="s">
        <v>54</v>
      </c>
      <c r="E55" s="1" t="s">
        <v>237</v>
      </c>
      <c r="F55" s="2" t="s">
        <v>243</v>
      </c>
      <c r="G55" s="1">
        <f ca="1">IFERROR(__xludf.DUMMYFUNCTION("COUNTA(SPLIT(F55,"" ""))"),82)</f>
        <v>82</v>
      </c>
      <c r="H55" s="1">
        <v>82</v>
      </c>
      <c r="I55" s="1"/>
      <c r="J55" s="1"/>
      <c r="K55" s="1"/>
      <c r="L55" s="1"/>
      <c r="M55" s="1"/>
      <c r="N55" s="1"/>
      <c r="O55" s="1"/>
      <c r="P55" s="1"/>
      <c r="Q55" s="1"/>
      <c r="R55" s="1"/>
      <c r="S55" s="1"/>
      <c r="T55" s="1"/>
    </row>
    <row r="56" spans="1:20" ht="33.75" customHeight="1">
      <c r="A56" s="1" t="s">
        <v>244</v>
      </c>
      <c r="B56" s="3" t="s">
        <v>13</v>
      </c>
      <c r="C56" s="4">
        <v>39846.132638888892</v>
      </c>
      <c r="D56" s="1" t="s">
        <v>54</v>
      </c>
      <c r="E56" s="1"/>
      <c r="F56" s="2" t="s">
        <v>247</v>
      </c>
      <c r="G56" s="1">
        <f ca="1">IFERROR(__xludf.DUMMYFUNCTION("COUNTA(SPLIT(F56,"" ""))"),125)</f>
        <v>125</v>
      </c>
      <c r="H56" s="1">
        <v>125</v>
      </c>
      <c r="I56" s="1"/>
      <c r="J56" s="1"/>
      <c r="K56" s="1"/>
      <c r="L56" s="1"/>
      <c r="M56" s="1"/>
      <c r="N56" s="1"/>
      <c r="O56" s="1"/>
      <c r="P56" s="1"/>
      <c r="Q56" s="1"/>
      <c r="R56" s="1"/>
      <c r="S56" s="1"/>
      <c r="T56" s="1"/>
    </row>
    <row r="57" spans="1:20" ht="33.75" hidden="1" customHeight="1">
      <c r="A57" s="1" t="s">
        <v>248</v>
      </c>
      <c r="B57" s="1" t="s">
        <v>160</v>
      </c>
      <c r="C57" s="4">
        <v>39846.172222222223</v>
      </c>
      <c r="D57" s="1" t="s">
        <v>54</v>
      </c>
      <c r="E57" s="1" t="s">
        <v>227</v>
      </c>
      <c r="F57" s="2" t="s">
        <v>250</v>
      </c>
      <c r="G57" s="1">
        <f ca="1">IFERROR(__xludf.DUMMYFUNCTION("COUNTA(SPLIT(F57,"" ""))"),127)</f>
        <v>127</v>
      </c>
      <c r="H57" s="1">
        <v>127</v>
      </c>
      <c r="I57" s="1"/>
      <c r="J57" s="1"/>
      <c r="K57" s="1"/>
      <c r="L57" s="1"/>
      <c r="M57" s="1"/>
      <c r="N57" s="1"/>
      <c r="O57" s="1"/>
      <c r="P57" s="1"/>
      <c r="Q57" s="1"/>
      <c r="R57" s="1"/>
      <c r="S57" s="1"/>
      <c r="T57" s="1"/>
    </row>
    <row r="58" spans="1:20" ht="33.75" hidden="1" customHeight="1">
      <c r="A58" s="1" t="s">
        <v>251</v>
      </c>
      <c r="B58" s="1" t="s">
        <v>160</v>
      </c>
      <c r="C58" s="4">
        <v>39846.226388888892</v>
      </c>
      <c r="D58" s="1" t="s">
        <v>196</v>
      </c>
      <c r="E58" s="1" t="s">
        <v>248</v>
      </c>
      <c r="F58" s="2" t="s">
        <v>253</v>
      </c>
      <c r="G58" s="1">
        <f ca="1">IFERROR(__xludf.DUMMYFUNCTION("COUNTA(SPLIT(F58,"" ""))"),83)</f>
        <v>83</v>
      </c>
      <c r="H58" s="1">
        <v>83</v>
      </c>
      <c r="I58" s="1"/>
      <c r="J58" s="1"/>
      <c r="K58" s="1"/>
      <c r="L58" s="1"/>
      <c r="M58" s="1"/>
      <c r="N58" s="1"/>
      <c r="O58" s="1"/>
      <c r="P58" s="1"/>
      <c r="Q58" s="1"/>
      <c r="R58" s="1"/>
      <c r="S58" s="1"/>
      <c r="T58" s="1"/>
    </row>
    <row r="59" spans="1:20" ht="33.75" customHeight="1">
      <c r="A59" s="1" t="s">
        <v>254</v>
      </c>
      <c r="B59" s="1" t="s">
        <v>160</v>
      </c>
      <c r="C59" s="4">
        <v>39846.313888888886</v>
      </c>
      <c r="D59" s="1" t="s">
        <v>255</v>
      </c>
      <c r="E59" s="1"/>
      <c r="F59" s="2" t="s">
        <v>256</v>
      </c>
      <c r="G59" s="1">
        <f ca="1">IFERROR(__xludf.DUMMYFUNCTION("COUNTA(SPLIT(F59,"" ""))"),32)</f>
        <v>32</v>
      </c>
      <c r="H59" s="1">
        <v>32</v>
      </c>
      <c r="I59" s="1"/>
      <c r="J59" s="1"/>
      <c r="K59" s="1"/>
      <c r="L59" s="1"/>
      <c r="M59" s="1"/>
      <c r="N59" s="1"/>
      <c r="O59" s="1"/>
      <c r="P59" s="1"/>
      <c r="Q59" s="1"/>
      <c r="R59" s="1"/>
      <c r="S59" s="1"/>
      <c r="T59" s="1"/>
    </row>
    <row r="60" spans="1:20" ht="33.75" hidden="1" customHeight="1">
      <c r="A60" s="1" t="s">
        <v>257</v>
      </c>
      <c r="B60" s="1" t="s">
        <v>160</v>
      </c>
      <c r="C60" s="4">
        <v>39846.333333333336</v>
      </c>
      <c r="D60" s="1" t="s">
        <v>54</v>
      </c>
      <c r="E60" s="1" t="s">
        <v>258</v>
      </c>
      <c r="F60" s="2" t="s">
        <v>261</v>
      </c>
      <c r="G60" s="1">
        <f ca="1">IFERROR(__xludf.DUMMYFUNCTION("COUNTA(SPLIT(F60,"" ""))"),153)</f>
        <v>153</v>
      </c>
      <c r="H60" s="1">
        <v>153</v>
      </c>
      <c r="I60" s="1"/>
      <c r="J60" s="1"/>
      <c r="K60" s="1"/>
      <c r="L60" s="1"/>
      <c r="M60" s="1"/>
      <c r="N60" s="1"/>
      <c r="O60" s="1"/>
      <c r="P60" s="1"/>
      <c r="Q60" s="1"/>
      <c r="R60" s="1"/>
      <c r="S60" s="1"/>
      <c r="T60" s="1"/>
    </row>
    <row r="61" spans="1:20" ht="33.75" customHeight="1">
      <c r="A61" s="1" t="s">
        <v>262</v>
      </c>
      <c r="B61" s="1" t="s">
        <v>160</v>
      </c>
      <c r="C61" s="4">
        <v>39846.365277777775</v>
      </c>
      <c r="D61" s="1" t="s">
        <v>54</v>
      </c>
      <c r="E61" s="1"/>
      <c r="F61" s="2" t="s">
        <v>265</v>
      </c>
      <c r="G61" s="1">
        <f ca="1">IFERROR(__xludf.DUMMYFUNCTION("COUNTA(SPLIT(F61,"" ""))"),150)</f>
        <v>150</v>
      </c>
      <c r="H61" s="1">
        <v>150</v>
      </c>
      <c r="I61" s="1"/>
      <c r="J61" s="1"/>
      <c r="K61" s="1"/>
      <c r="L61" s="1"/>
      <c r="M61" s="1"/>
      <c r="N61" s="1"/>
      <c r="O61" s="1"/>
      <c r="P61" s="1"/>
      <c r="Q61" s="1"/>
      <c r="R61" s="1"/>
      <c r="S61" s="1"/>
      <c r="T61" s="1"/>
    </row>
    <row r="62" spans="1:20" ht="33.75" customHeight="1">
      <c r="A62" s="1" t="s">
        <v>266</v>
      </c>
      <c r="B62" s="1" t="s">
        <v>160</v>
      </c>
      <c r="C62" s="4">
        <v>39846.375694444447</v>
      </c>
      <c r="D62" s="1" t="s">
        <v>54</v>
      </c>
      <c r="E62" s="1"/>
      <c r="F62" s="2" t="s">
        <v>269</v>
      </c>
      <c r="G62" s="1">
        <f ca="1">IFERROR(__xludf.DUMMYFUNCTION("COUNTA(SPLIT(F62,"" ""))"),199)</f>
        <v>199</v>
      </c>
      <c r="H62" s="1">
        <v>199</v>
      </c>
      <c r="I62" s="1"/>
      <c r="J62" s="1"/>
      <c r="K62" s="1"/>
      <c r="L62" s="1"/>
      <c r="M62" s="1"/>
      <c r="N62" s="1"/>
      <c r="O62" s="1"/>
      <c r="P62" s="1"/>
      <c r="Q62" s="1"/>
      <c r="R62" s="1"/>
      <c r="S62" s="1"/>
      <c r="T62" s="1"/>
    </row>
    <row r="63" spans="1:20" ht="33.75" hidden="1" customHeight="1">
      <c r="A63" s="1" t="s">
        <v>270</v>
      </c>
      <c r="B63" s="1" t="s">
        <v>160</v>
      </c>
      <c r="C63" s="4">
        <v>39846.384027777778</v>
      </c>
      <c r="D63" s="1" t="s">
        <v>14</v>
      </c>
      <c r="E63" s="1" t="s">
        <v>266</v>
      </c>
      <c r="F63" s="2" t="s">
        <v>272</v>
      </c>
      <c r="G63" s="1">
        <f ca="1">IFERROR(__xludf.DUMMYFUNCTION("COUNTA(SPLIT(F63,"" ""))"),158)</f>
        <v>158</v>
      </c>
      <c r="H63" s="1">
        <v>158</v>
      </c>
      <c r="I63" s="1"/>
      <c r="J63" s="1"/>
      <c r="K63" s="1"/>
      <c r="L63" s="1"/>
      <c r="M63" s="1"/>
      <c r="N63" s="1"/>
      <c r="O63" s="1"/>
      <c r="P63" s="1"/>
      <c r="Q63" s="1"/>
      <c r="R63" s="1"/>
      <c r="S63" s="1"/>
      <c r="T63" s="1"/>
    </row>
    <row r="64" spans="1:20" ht="33.75" customHeight="1">
      <c r="A64" s="1" t="s">
        <v>273</v>
      </c>
      <c r="B64" s="1" t="s">
        <v>160</v>
      </c>
      <c r="C64" s="4">
        <v>39846.386805555558</v>
      </c>
      <c r="D64" s="1" t="s">
        <v>14</v>
      </c>
      <c r="E64" s="1"/>
      <c r="F64" s="2" t="s">
        <v>275</v>
      </c>
      <c r="G64" s="1">
        <f ca="1">IFERROR(__xludf.DUMMYFUNCTION("COUNTA(SPLIT(F64,"" ""))"),45)</f>
        <v>45</v>
      </c>
      <c r="H64" s="1">
        <v>45</v>
      </c>
      <c r="I64" s="1"/>
      <c r="J64" s="1"/>
      <c r="K64" s="1"/>
      <c r="L64" s="1"/>
      <c r="M64" s="1"/>
      <c r="N64" s="1"/>
      <c r="O64" s="1"/>
      <c r="P64" s="1"/>
      <c r="Q64" s="1"/>
      <c r="R64" s="1"/>
      <c r="S64" s="1"/>
      <c r="T64" s="1"/>
    </row>
    <row r="65" spans="1:20" ht="33.75" hidden="1" customHeight="1">
      <c r="A65" s="1" t="s">
        <v>276</v>
      </c>
      <c r="B65" s="1" t="s">
        <v>160</v>
      </c>
      <c r="C65" s="4">
        <v>39846.406944444447</v>
      </c>
      <c r="D65" s="1" t="s">
        <v>14</v>
      </c>
      <c r="E65" s="1" t="s">
        <v>204</v>
      </c>
      <c r="F65" s="2" t="s">
        <v>280</v>
      </c>
      <c r="G65" s="1">
        <f ca="1">IFERROR(__xludf.DUMMYFUNCTION("COUNTA(SPLIT(F65,"" ""))"),524)</f>
        <v>524</v>
      </c>
      <c r="H65" s="1">
        <v>524</v>
      </c>
      <c r="I65" s="1"/>
      <c r="J65" s="1"/>
      <c r="K65" s="1"/>
      <c r="L65" s="1"/>
      <c r="M65" s="1"/>
      <c r="N65" s="1"/>
      <c r="O65" s="1"/>
      <c r="P65" s="1"/>
      <c r="Q65" s="1"/>
      <c r="R65" s="1"/>
      <c r="S65" s="1"/>
      <c r="T65" s="1"/>
    </row>
    <row r="66" spans="1:20" ht="33.75" hidden="1" customHeight="1">
      <c r="A66" s="1" t="s">
        <v>281</v>
      </c>
      <c r="B66" s="1" t="s">
        <v>160</v>
      </c>
      <c r="C66" s="4">
        <v>39846.425694444442</v>
      </c>
      <c r="D66" s="1" t="s">
        <v>14</v>
      </c>
      <c r="E66" s="1" t="s">
        <v>276</v>
      </c>
      <c r="F66" s="2" t="s">
        <v>285</v>
      </c>
      <c r="G66" s="1">
        <f ca="1">IFERROR(__xludf.DUMMYFUNCTION("COUNTA(SPLIT(F66,"" ""))"),401)</f>
        <v>401</v>
      </c>
      <c r="H66" s="1">
        <v>401</v>
      </c>
      <c r="I66" s="1"/>
      <c r="J66" s="1"/>
      <c r="K66" s="1"/>
      <c r="L66" s="1"/>
      <c r="M66" s="1"/>
      <c r="N66" s="1"/>
      <c r="O66" s="1"/>
      <c r="P66" s="1"/>
      <c r="Q66" s="1"/>
      <c r="R66" s="1"/>
      <c r="S66" s="1"/>
      <c r="T66" s="1"/>
    </row>
    <row r="67" spans="1:20" ht="33.75" hidden="1" customHeight="1">
      <c r="A67" s="1" t="s">
        <v>286</v>
      </c>
      <c r="B67" s="1" t="s">
        <v>160</v>
      </c>
      <c r="C67" s="4">
        <v>39846.459722222222</v>
      </c>
      <c r="D67" s="1" t="s">
        <v>14</v>
      </c>
      <c r="E67" s="1" t="s">
        <v>195</v>
      </c>
      <c r="F67" s="2" t="s">
        <v>289</v>
      </c>
      <c r="G67" s="1">
        <f ca="1">IFERROR(__xludf.DUMMYFUNCTION("COUNTA(SPLIT(F67,"" ""))"),350)</f>
        <v>350</v>
      </c>
      <c r="H67" s="1">
        <v>350</v>
      </c>
      <c r="I67" s="1"/>
      <c r="J67" s="1"/>
      <c r="K67" s="1"/>
      <c r="L67" s="1"/>
      <c r="M67" s="1"/>
      <c r="N67" s="1"/>
      <c r="O67" s="1"/>
      <c r="P67" s="1"/>
      <c r="Q67" s="1"/>
      <c r="R67" s="1"/>
      <c r="S67" s="1"/>
      <c r="T67" s="1"/>
    </row>
    <row r="68" spans="1:20" ht="33.75" customHeight="1">
      <c r="A68" s="1" t="s">
        <v>290</v>
      </c>
      <c r="B68" s="1" t="s">
        <v>156</v>
      </c>
      <c r="C68" s="4">
        <v>39846.509027777778</v>
      </c>
      <c r="D68" s="1" t="s">
        <v>14</v>
      </c>
      <c r="E68" s="1"/>
      <c r="F68" s="2" t="s">
        <v>292</v>
      </c>
      <c r="G68" s="1">
        <f ca="1">IFERROR(__xludf.DUMMYFUNCTION("COUNTA(SPLIT(F68,"" ""))"),111)</f>
        <v>111</v>
      </c>
      <c r="H68" s="1">
        <v>111</v>
      </c>
      <c r="I68" s="1"/>
      <c r="J68" s="1"/>
      <c r="K68" s="1"/>
      <c r="L68" s="1"/>
      <c r="M68" s="1"/>
      <c r="N68" s="1"/>
      <c r="O68" s="1"/>
      <c r="P68" s="1"/>
      <c r="Q68" s="1"/>
      <c r="R68" s="1"/>
      <c r="S68" s="1"/>
      <c r="T68" s="1"/>
    </row>
    <row r="69" spans="1:20" ht="33.75" hidden="1" customHeight="1">
      <c r="A69" s="1" t="s">
        <v>293</v>
      </c>
      <c r="B69" s="1" t="s">
        <v>160</v>
      </c>
      <c r="C69" s="4">
        <v>39846.53125</v>
      </c>
      <c r="D69" s="1" t="s">
        <v>14</v>
      </c>
      <c r="E69" s="1" t="s">
        <v>294</v>
      </c>
      <c r="F69" s="2" t="s">
        <v>297</v>
      </c>
      <c r="G69" s="1">
        <f ca="1">IFERROR(__xludf.DUMMYFUNCTION("COUNTA(SPLIT(F69,"" ""))"),636)</f>
        <v>636</v>
      </c>
      <c r="H69" s="1">
        <v>636</v>
      </c>
      <c r="I69" s="1"/>
      <c r="J69" s="1"/>
      <c r="K69" s="1"/>
      <c r="L69" s="1"/>
      <c r="M69" s="1"/>
      <c r="N69" s="1"/>
      <c r="O69" s="1"/>
      <c r="P69" s="1"/>
      <c r="Q69" s="1"/>
      <c r="R69" s="1"/>
      <c r="S69" s="1"/>
      <c r="T69" s="1"/>
    </row>
    <row r="70" spans="1:20" ht="33.75" customHeight="1">
      <c r="A70" s="1" t="s">
        <v>298</v>
      </c>
      <c r="B70" s="1" t="s">
        <v>160</v>
      </c>
      <c r="C70" s="4">
        <v>39846.572222222225</v>
      </c>
      <c r="D70" s="1" t="s">
        <v>14</v>
      </c>
      <c r="E70" s="1"/>
      <c r="F70" s="2" t="s">
        <v>301</v>
      </c>
      <c r="G70" s="1">
        <f ca="1">IFERROR(__xludf.DUMMYFUNCTION("COUNTA(SPLIT(F70,"" ""))"),402)</f>
        <v>402</v>
      </c>
      <c r="H70" s="1">
        <v>402</v>
      </c>
      <c r="I70" s="1"/>
      <c r="J70" s="1"/>
      <c r="K70" s="1"/>
      <c r="L70" s="1"/>
      <c r="M70" s="1"/>
      <c r="N70" s="1"/>
      <c r="O70" s="1"/>
      <c r="P70" s="1"/>
      <c r="Q70" s="1"/>
      <c r="R70" s="1"/>
      <c r="S70" s="1"/>
      <c r="T70" s="1"/>
    </row>
    <row r="71" spans="1:20" ht="33.75" customHeight="1">
      <c r="A71" s="1" t="s">
        <v>302</v>
      </c>
      <c r="B71" s="3" t="s">
        <v>13</v>
      </c>
      <c r="C71" s="4">
        <v>39846.59097222222</v>
      </c>
      <c r="D71" s="1" t="s">
        <v>101</v>
      </c>
      <c r="E71" s="1"/>
      <c r="F71" s="2" t="s">
        <v>303</v>
      </c>
      <c r="G71" s="1">
        <f ca="1">IFERROR(__xludf.DUMMYFUNCTION("COUNTA(SPLIT(F71,"" ""))"),95)</f>
        <v>95</v>
      </c>
      <c r="H71" s="1">
        <v>95</v>
      </c>
      <c r="I71" s="1"/>
      <c r="J71" s="1"/>
      <c r="K71" s="1"/>
      <c r="L71" s="1"/>
      <c r="M71" s="1"/>
      <c r="N71" s="1"/>
      <c r="O71" s="1"/>
      <c r="P71" s="1"/>
      <c r="Q71" s="1"/>
      <c r="R71" s="1"/>
      <c r="S71" s="1"/>
      <c r="T71" s="1"/>
    </row>
    <row r="72" spans="1:20" ht="33.75" hidden="1" customHeight="1">
      <c r="A72" s="1" t="s">
        <v>304</v>
      </c>
      <c r="B72" s="1" t="s">
        <v>160</v>
      </c>
      <c r="C72" s="4">
        <v>39846.637499999997</v>
      </c>
      <c r="D72" s="1" t="s">
        <v>14</v>
      </c>
      <c r="E72" s="1" t="s">
        <v>266</v>
      </c>
      <c r="F72" s="2" t="s">
        <v>306</v>
      </c>
      <c r="G72" s="1">
        <f ca="1">IFERROR(__xludf.DUMMYFUNCTION("COUNTA(SPLIT(F72,"" ""))"),180)</f>
        <v>180</v>
      </c>
      <c r="H72" s="1">
        <v>180</v>
      </c>
      <c r="I72" s="1"/>
      <c r="J72" s="1"/>
      <c r="K72" s="1"/>
      <c r="L72" s="1"/>
      <c r="M72" s="1"/>
      <c r="N72" s="1"/>
      <c r="O72" s="1"/>
      <c r="P72" s="1"/>
      <c r="Q72" s="1"/>
      <c r="R72" s="1"/>
      <c r="S72" s="1"/>
      <c r="T72" s="1"/>
    </row>
    <row r="73" spans="1:20" ht="33.75" hidden="1" customHeight="1">
      <c r="A73" s="1" t="s">
        <v>307</v>
      </c>
      <c r="B73" s="1" t="s">
        <v>160</v>
      </c>
      <c r="C73" s="4">
        <v>39846.647916666669</v>
      </c>
      <c r="D73" s="1" t="s">
        <v>14</v>
      </c>
      <c r="E73" s="1" t="s">
        <v>281</v>
      </c>
      <c r="F73" s="2" t="s">
        <v>309</v>
      </c>
      <c r="G73" s="1">
        <f ca="1">IFERROR(__xludf.DUMMYFUNCTION("COUNTA(SPLIT(F73,"" ""))"),153)</f>
        <v>153</v>
      </c>
      <c r="H73" s="1">
        <v>153</v>
      </c>
      <c r="I73" s="1"/>
      <c r="J73" s="1"/>
      <c r="K73" s="1"/>
      <c r="L73" s="1"/>
      <c r="M73" s="1"/>
      <c r="N73" s="1"/>
      <c r="O73" s="1"/>
      <c r="P73" s="1"/>
      <c r="Q73" s="1"/>
      <c r="R73" s="1"/>
      <c r="S73" s="1"/>
      <c r="T73" s="1"/>
    </row>
    <row r="74" spans="1:20" ht="33.75" hidden="1" customHeight="1">
      <c r="A74" s="1" t="s">
        <v>310</v>
      </c>
      <c r="B74" s="1" t="s">
        <v>160</v>
      </c>
      <c r="C74" s="4">
        <v>39846.657638888886</v>
      </c>
      <c r="D74" s="1" t="s">
        <v>14</v>
      </c>
      <c r="E74" s="1" t="s">
        <v>307</v>
      </c>
      <c r="F74" s="2" t="s">
        <v>312</v>
      </c>
      <c r="G74" s="1">
        <f ca="1">IFERROR(__xludf.DUMMYFUNCTION("COUNTA(SPLIT(F74,"" ""))"),132)</f>
        <v>132</v>
      </c>
      <c r="H74" s="1">
        <v>132</v>
      </c>
      <c r="I74" s="1"/>
      <c r="J74" s="1"/>
      <c r="K74" s="1"/>
      <c r="L74" s="1"/>
      <c r="M74" s="1"/>
      <c r="N74" s="1"/>
      <c r="O74" s="1"/>
      <c r="P74" s="1"/>
      <c r="Q74" s="1"/>
      <c r="R74" s="1"/>
      <c r="S74" s="1"/>
      <c r="T74" s="1"/>
    </row>
    <row r="75" spans="1:20" ht="33.75" customHeight="1">
      <c r="A75" s="1" t="s">
        <v>313</v>
      </c>
      <c r="B75" s="1" t="s">
        <v>160</v>
      </c>
      <c r="C75" s="4">
        <v>39846.677777777775</v>
      </c>
      <c r="D75" s="1" t="s">
        <v>314</v>
      </c>
      <c r="E75" s="1"/>
      <c r="F75" s="2" t="s">
        <v>318</v>
      </c>
      <c r="G75" s="1">
        <f ca="1">IFERROR(__xludf.DUMMYFUNCTION("COUNTA(SPLIT(F75,"" ""))"),280)</f>
        <v>280</v>
      </c>
      <c r="H75" s="1">
        <v>280</v>
      </c>
      <c r="I75" s="1"/>
      <c r="J75" s="1"/>
      <c r="K75" s="1"/>
      <c r="L75" s="1"/>
      <c r="M75" s="1"/>
      <c r="N75" s="1"/>
      <c r="O75" s="1"/>
      <c r="P75" s="1"/>
      <c r="Q75" s="1"/>
      <c r="R75" s="1"/>
      <c r="S75" s="1"/>
      <c r="T75" s="1"/>
    </row>
    <row r="76" spans="1:20" ht="33.75" hidden="1" customHeight="1">
      <c r="A76" s="1" t="s">
        <v>319</v>
      </c>
      <c r="B76" s="1" t="s">
        <v>160</v>
      </c>
      <c r="C76" s="4">
        <v>39846.690972222219</v>
      </c>
      <c r="D76" s="1" t="s">
        <v>320</v>
      </c>
      <c r="E76" s="1" t="s">
        <v>293</v>
      </c>
      <c r="F76" s="2" t="s">
        <v>323</v>
      </c>
      <c r="G76" s="1">
        <f ca="1">IFERROR(__xludf.DUMMYFUNCTION("COUNTA(SPLIT(F76,"" ""))"),366)</f>
        <v>366</v>
      </c>
      <c r="H76" s="1">
        <v>366</v>
      </c>
      <c r="I76" s="1"/>
      <c r="J76" s="1"/>
      <c r="K76" s="1"/>
      <c r="L76" s="1"/>
      <c r="M76" s="1"/>
      <c r="N76" s="1"/>
      <c r="O76" s="1"/>
      <c r="P76" s="1"/>
      <c r="Q76" s="1"/>
      <c r="R76" s="1"/>
      <c r="S76" s="1"/>
      <c r="T76" s="1"/>
    </row>
    <row r="77" spans="1:20" ht="33.75" hidden="1" customHeight="1">
      <c r="A77" s="1" t="s">
        <v>324</v>
      </c>
      <c r="B77" s="1" t="s">
        <v>160</v>
      </c>
      <c r="C77" s="4">
        <v>39846.697916666664</v>
      </c>
      <c r="D77" s="1" t="s">
        <v>14</v>
      </c>
      <c r="E77" s="1" t="s">
        <v>313</v>
      </c>
      <c r="F77" s="2" t="s">
        <v>326</v>
      </c>
      <c r="G77" s="1">
        <f ca="1">IFERROR(__xludf.DUMMYFUNCTION("COUNTA(SPLIT(F77,"" ""))"),315)</f>
        <v>315</v>
      </c>
      <c r="H77" s="1">
        <v>315</v>
      </c>
      <c r="I77" s="1"/>
      <c r="J77" s="1"/>
      <c r="K77" s="1"/>
      <c r="L77" s="1"/>
      <c r="M77" s="1"/>
      <c r="N77" s="1"/>
      <c r="O77" s="1"/>
      <c r="P77" s="1"/>
      <c r="Q77" s="1"/>
      <c r="R77" s="1"/>
      <c r="S77" s="1"/>
      <c r="T77" s="1"/>
    </row>
    <row r="78" spans="1:20" ht="33.75" hidden="1" customHeight="1">
      <c r="A78" s="1" t="s">
        <v>327</v>
      </c>
      <c r="B78" s="1" t="s">
        <v>160</v>
      </c>
      <c r="C78" s="4">
        <v>39846.697916666664</v>
      </c>
      <c r="D78" s="1" t="s">
        <v>320</v>
      </c>
      <c r="E78" s="1" t="s">
        <v>319</v>
      </c>
      <c r="F78" s="2" t="s">
        <v>329</v>
      </c>
      <c r="G78" s="1">
        <f ca="1">IFERROR(__xludf.DUMMYFUNCTION("COUNTA(SPLIT(F78,"" ""))"),151)</f>
        <v>151</v>
      </c>
      <c r="H78" s="1">
        <v>151</v>
      </c>
      <c r="I78" s="1"/>
      <c r="J78" s="1"/>
      <c r="K78" s="1"/>
      <c r="L78" s="1"/>
      <c r="M78" s="1"/>
      <c r="N78" s="1"/>
      <c r="O78" s="1"/>
      <c r="P78" s="1"/>
      <c r="Q78" s="1"/>
      <c r="R78" s="1"/>
      <c r="S78" s="1"/>
      <c r="T78" s="1"/>
    </row>
    <row r="79" spans="1:20" ht="33.75" hidden="1" customHeight="1">
      <c r="A79" s="1" t="s">
        <v>330</v>
      </c>
      <c r="B79" s="1" t="s">
        <v>160</v>
      </c>
      <c r="C79" s="4">
        <v>39846.702777777777</v>
      </c>
      <c r="D79" s="1" t="s">
        <v>14</v>
      </c>
      <c r="E79" s="1" t="s">
        <v>319</v>
      </c>
      <c r="F79" s="2" t="s">
        <v>331</v>
      </c>
      <c r="G79" s="1">
        <f ca="1">IFERROR(__xludf.DUMMYFUNCTION("COUNTA(SPLIT(F79,"" ""))"),112)</f>
        <v>112</v>
      </c>
      <c r="H79" s="1">
        <v>112</v>
      </c>
      <c r="I79" s="1"/>
      <c r="J79" s="1"/>
      <c r="K79" s="1"/>
      <c r="L79" s="1"/>
      <c r="M79" s="1"/>
      <c r="N79" s="1"/>
      <c r="O79" s="1"/>
      <c r="P79" s="1"/>
      <c r="Q79" s="1"/>
      <c r="R79" s="1"/>
      <c r="S79" s="1"/>
      <c r="T79" s="1"/>
    </row>
    <row r="80" spans="1:20" ht="33.75" hidden="1" customHeight="1">
      <c r="A80" s="1" t="s">
        <v>332</v>
      </c>
      <c r="B80" s="1" t="s">
        <v>160</v>
      </c>
      <c r="C80" s="4">
        <v>39846.704861111109</v>
      </c>
      <c r="D80" s="1" t="s">
        <v>320</v>
      </c>
      <c r="E80" s="1" t="s">
        <v>330</v>
      </c>
      <c r="F80" s="2" t="s">
        <v>334</v>
      </c>
      <c r="G80" s="1">
        <f ca="1">IFERROR(__xludf.DUMMYFUNCTION("COUNTA(SPLIT(F80,"" ""))"),32)</f>
        <v>32</v>
      </c>
      <c r="H80" s="1">
        <v>32</v>
      </c>
      <c r="I80" s="1"/>
      <c r="J80" s="1"/>
      <c r="K80" s="1"/>
      <c r="L80" s="1"/>
      <c r="M80" s="1"/>
      <c r="N80" s="1"/>
      <c r="O80" s="1"/>
      <c r="P80" s="1"/>
      <c r="Q80" s="1"/>
      <c r="R80" s="1"/>
      <c r="S80" s="1"/>
      <c r="T80" s="1"/>
    </row>
    <row r="81" spans="1:20" ht="33.75" customHeight="1">
      <c r="A81" s="1" t="s">
        <v>335</v>
      </c>
      <c r="B81" s="1" t="s">
        <v>160</v>
      </c>
      <c r="C81" s="4">
        <v>39846.705555555556</v>
      </c>
      <c r="D81" s="1" t="s">
        <v>84</v>
      </c>
      <c r="E81" s="1"/>
      <c r="F81" s="2" t="s">
        <v>338</v>
      </c>
      <c r="G81" s="1">
        <f ca="1">IFERROR(__xludf.DUMMYFUNCTION("COUNTA(SPLIT(F81,"" ""))"),94)</f>
        <v>94</v>
      </c>
      <c r="H81" s="1">
        <v>94</v>
      </c>
      <c r="I81" s="1"/>
      <c r="J81" s="1"/>
      <c r="K81" s="1"/>
      <c r="L81" s="1"/>
      <c r="M81" s="1"/>
      <c r="N81" s="1"/>
      <c r="O81" s="1"/>
      <c r="P81" s="1"/>
      <c r="Q81" s="1"/>
      <c r="R81" s="1"/>
      <c r="S81" s="1"/>
      <c r="T81" s="1"/>
    </row>
    <row r="82" spans="1:20" ht="33.75" hidden="1" customHeight="1">
      <c r="A82" s="1" t="s">
        <v>339</v>
      </c>
      <c r="B82" s="1" t="s">
        <v>160</v>
      </c>
      <c r="C82" s="4">
        <v>39846.706944444442</v>
      </c>
      <c r="D82" s="1" t="s">
        <v>320</v>
      </c>
      <c r="E82" s="1" t="s">
        <v>340</v>
      </c>
      <c r="F82" s="2" t="s">
        <v>341</v>
      </c>
      <c r="G82" s="1">
        <f ca="1">IFERROR(__xludf.DUMMYFUNCTION("COUNTA(SPLIT(F82,"" ""))"),121)</f>
        <v>121</v>
      </c>
      <c r="H82" s="1">
        <v>121</v>
      </c>
      <c r="I82" s="1"/>
      <c r="J82" s="1"/>
      <c r="K82" s="1"/>
      <c r="L82" s="1"/>
      <c r="M82" s="1"/>
      <c r="N82" s="1"/>
      <c r="O82" s="1"/>
      <c r="P82" s="1"/>
      <c r="Q82" s="1"/>
      <c r="R82" s="1"/>
      <c r="S82" s="1"/>
      <c r="T82" s="1"/>
    </row>
    <row r="83" spans="1:20" ht="33.75" hidden="1" customHeight="1">
      <c r="A83" s="1" t="s">
        <v>342</v>
      </c>
      <c r="B83" s="1" t="s">
        <v>160</v>
      </c>
      <c r="C83" s="4">
        <v>39846.707638888889</v>
      </c>
      <c r="D83" s="1" t="s">
        <v>14</v>
      </c>
      <c r="E83" s="1" t="s">
        <v>332</v>
      </c>
      <c r="F83" s="2" t="s">
        <v>345</v>
      </c>
      <c r="G83" s="1">
        <f ca="1">IFERROR(__xludf.DUMMYFUNCTION("COUNTA(SPLIT(F83,"" ""))"),41)</f>
        <v>41</v>
      </c>
      <c r="H83" s="1">
        <v>41</v>
      </c>
      <c r="I83" s="1"/>
      <c r="J83" s="1"/>
      <c r="K83" s="1"/>
      <c r="L83" s="1"/>
      <c r="M83" s="1"/>
      <c r="N83" s="1"/>
      <c r="O83" s="1"/>
      <c r="P83" s="1"/>
      <c r="Q83" s="1"/>
      <c r="R83" s="1"/>
      <c r="S83" s="1"/>
      <c r="T83" s="1"/>
    </row>
    <row r="84" spans="1:20" ht="33.75" hidden="1" customHeight="1">
      <c r="A84" s="1" t="s">
        <v>346</v>
      </c>
      <c r="B84" s="1" t="s">
        <v>160</v>
      </c>
      <c r="C84" s="4">
        <v>39846.71597222222</v>
      </c>
      <c r="D84" s="1" t="s">
        <v>320</v>
      </c>
      <c r="E84" s="1" t="s">
        <v>342</v>
      </c>
      <c r="F84" s="2" t="s">
        <v>349</v>
      </c>
      <c r="G84" s="1">
        <f ca="1">IFERROR(__xludf.DUMMYFUNCTION("COUNTA(SPLIT(F84,"" ""))"),130)</f>
        <v>130</v>
      </c>
      <c r="H84" s="1">
        <v>130</v>
      </c>
      <c r="I84" s="1"/>
      <c r="J84" s="1"/>
      <c r="K84" s="1"/>
      <c r="L84" s="1"/>
      <c r="M84" s="1"/>
      <c r="N84" s="1"/>
      <c r="O84" s="1"/>
      <c r="P84" s="1"/>
      <c r="Q84" s="1"/>
      <c r="R84" s="1"/>
      <c r="S84" s="1"/>
      <c r="T84" s="1"/>
    </row>
    <row r="85" spans="1:20" ht="33.75" hidden="1" customHeight="1">
      <c r="A85" s="1" t="s">
        <v>350</v>
      </c>
      <c r="B85" s="1" t="s">
        <v>160</v>
      </c>
      <c r="C85" s="4">
        <v>39846.728472222225</v>
      </c>
      <c r="D85" s="1" t="s">
        <v>14</v>
      </c>
      <c r="E85" s="1" t="s">
        <v>327</v>
      </c>
      <c r="F85" s="2" t="s">
        <v>352</v>
      </c>
      <c r="G85" s="1">
        <f ca="1">IFERROR(__xludf.DUMMYFUNCTION("COUNTA(SPLIT(F85,"" ""))"),208)</f>
        <v>208</v>
      </c>
      <c r="H85" s="1">
        <v>208</v>
      </c>
      <c r="I85" s="1"/>
      <c r="J85" s="1"/>
      <c r="K85" s="1"/>
      <c r="L85" s="1"/>
      <c r="M85" s="1"/>
      <c r="N85" s="1"/>
      <c r="O85" s="1"/>
      <c r="P85" s="1"/>
      <c r="Q85" s="1"/>
      <c r="R85" s="1"/>
      <c r="S85" s="1"/>
      <c r="T85" s="1"/>
    </row>
    <row r="86" spans="1:20" ht="33.75" customHeight="1">
      <c r="A86" s="1" t="s">
        <v>353</v>
      </c>
      <c r="B86" s="1" t="s">
        <v>160</v>
      </c>
      <c r="C86" s="4">
        <v>39846.729166666664</v>
      </c>
      <c r="D86" s="1" t="s">
        <v>84</v>
      </c>
      <c r="E86" s="1"/>
      <c r="F86" s="2" t="s">
        <v>356</v>
      </c>
      <c r="G86" s="1">
        <f ca="1">IFERROR(__xludf.DUMMYFUNCTION("COUNTA(SPLIT(F86,"" ""))"),137)</f>
        <v>137</v>
      </c>
      <c r="H86" s="1">
        <v>137</v>
      </c>
      <c r="I86" s="1"/>
      <c r="J86" s="1"/>
      <c r="K86" s="1"/>
      <c r="L86" s="1"/>
      <c r="M86" s="1"/>
      <c r="N86" s="1"/>
      <c r="O86" s="1"/>
      <c r="P86" s="1"/>
      <c r="Q86" s="1"/>
      <c r="R86" s="1"/>
      <c r="S86" s="1"/>
      <c r="T86" s="1"/>
    </row>
    <row r="87" spans="1:20" ht="33.75" hidden="1" customHeight="1">
      <c r="A87" s="1" t="s">
        <v>357</v>
      </c>
      <c r="B87" s="3" t="s">
        <v>13</v>
      </c>
      <c r="C87" s="4">
        <v>39846.732638888891</v>
      </c>
      <c r="D87" s="1" t="s">
        <v>101</v>
      </c>
      <c r="E87" s="1" t="s">
        <v>170</v>
      </c>
      <c r="F87" s="2" t="s">
        <v>359</v>
      </c>
      <c r="G87" s="1">
        <f ca="1">IFERROR(__xludf.DUMMYFUNCTION("COUNTA(SPLIT(F87,"" ""))"),49)</f>
        <v>49</v>
      </c>
      <c r="H87" s="1">
        <v>49</v>
      </c>
      <c r="I87" s="1"/>
      <c r="J87" s="1"/>
      <c r="K87" s="1"/>
      <c r="L87" s="1"/>
      <c r="M87" s="1"/>
      <c r="N87" s="1"/>
      <c r="O87" s="1"/>
      <c r="P87" s="1"/>
      <c r="Q87" s="1"/>
      <c r="R87" s="1"/>
      <c r="S87" s="1"/>
      <c r="T87" s="1"/>
    </row>
    <row r="88" spans="1:20" ht="33.75" hidden="1" customHeight="1">
      <c r="A88" s="1" t="s">
        <v>360</v>
      </c>
      <c r="B88" s="1" t="s">
        <v>156</v>
      </c>
      <c r="C88" s="4">
        <v>39846.736805555556</v>
      </c>
      <c r="D88" s="1" t="s">
        <v>14</v>
      </c>
      <c r="E88" s="1" t="s">
        <v>353</v>
      </c>
      <c r="F88" s="2" t="s">
        <v>362</v>
      </c>
      <c r="G88" s="1">
        <f ca="1">IFERROR(__xludf.DUMMYFUNCTION("COUNTA(SPLIT(F88,"" ""))"),155)</f>
        <v>155</v>
      </c>
      <c r="H88" s="1">
        <v>155</v>
      </c>
      <c r="I88" s="1"/>
      <c r="J88" s="1"/>
      <c r="K88" s="1"/>
      <c r="L88" s="1"/>
      <c r="M88" s="1"/>
      <c r="N88" s="1"/>
      <c r="O88" s="1"/>
      <c r="P88" s="1"/>
      <c r="Q88" s="1"/>
      <c r="R88" s="1"/>
      <c r="S88" s="1"/>
      <c r="T88" s="1"/>
    </row>
    <row r="89" spans="1:20" ht="33.75" hidden="1" customHeight="1">
      <c r="A89" s="1" t="s">
        <v>363</v>
      </c>
      <c r="B89" s="1" t="s">
        <v>160</v>
      </c>
      <c r="C89" s="4">
        <v>39846.74722222222</v>
      </c>
      <c r="D89" s="1" t="s">
        <v>54</v>
      </c>
      <c r="E89" s="1" t="s">
        <v>313</v>
      </c>
      <c r="F89" s="2" t="s">
        <v>365</v>
      </c>
      <c r="G89" s="1">
        <f ca="1">IFERROR(__xludf.DUMMYFUNCTION("COUNTA(SPLIT(F89,"" ""))"),215)</f>
        <v>215</v>
      </c>
      <c r="H89" s="1">
        <v>215</v>
      </c>
      <c r="I89" s="1"/>
      <c r="J89" s="1"/>
      <c r="K89" s="1"/>
      <c r="L89" s="1"/>
      <c r="M89" s="1"/>
      <c r="N89" s="1"/>
      <c r="O89" s="1"/>
      <c r="P89" s="1"/>
      <c r="Q89" s="1"/>
      <c r="R89" s="1"/>
      <c r="S89" s="1"/>
      <c r="T89" s="1"/>
    </row>
    <row r="90" spans="1:20" ht="33.75" hidden="1" customHeight="1">
      <c r="A90" s="1" t="s">
        <v>366</v>
      </c>
      <c r="B90" s="1" t="s">
        <v>160</v>
      </c>
      <c r="C90" s="4">
        <v>39846.769444444442</v>
      </c>
      <c r="D90" s="1" t="s">
        <v>54</v>
      </c>
      <c r="E90" s="1" t="s">
        <v>367</v>
      </c>
      <c r="F90" s="2" t="s">
        <v>370</v>
      </c>
      <c r="G90" s="1">
        <f ca="1">IFERROR(__xludf.DUMMYFUNCTION("COUNTA(SPLIT(F90,"" ""))"),209)</f>
        <v>209</v>
      </c>
      <c r="H90" s="1">
        <v>209</v>
      </c>
      <c r="I90" s="1"/>
      <c r="J90" s="1"/>
      <c r="K90" s="1"/>
      <c r="L90" s="1"/>
      <c r="M90" s="1"/>
      <c r="N90" s="1"/>
      <c r="O90" s="1"/>
      <c r="P90" s="1"/>
      <c r="Q90" s="1"/>
      <c r="R90" s="1"/>
      <c r="S90" s="1"/>
      <c r="T90" s="1"/>
    </row>
    <row r="91" spans="1:20" ht="33.75" customHeight="1">
      <c r="A91" s="1" t="s">
        <v>371</v>
      </c>
      <c r="B91" s="1" t="s">
        <v>160</v>
      </c>
      <c r="C91" s="4">
        <v>39846.772222222222</v>
      </c>
      <c r="D91" s="1" t="s">
        <v>54</v>
      </c>
      <c r="E91" s="1"/>
      <c r="F91" s="2" t="s">
        <v>373</v>
      </c>
      <c r="G91" s="1">
        <f ca="1">IFERROR(__xludf.DUMMYFUNCTION("COUNTA(SPLIT(F91,"" ""))"),42)</f>
        <v>42</v>
      </c>
      <c r="H91" s="1">
        <v>42</v>
      </c>
      <c r="I91" s="1"/>
      <c r="J91" s="1"/>
      <c r="K91" s="1"/>
      <c r="L91" s="1"/>
      <c r="M91" s="1"/>
      <c r="N91" s="1"/>
      <c r="O91" s="1"/>
      <c r="P91" s="1"/>
      <c r="Q91" s="1"/>
      <c r="R91" s="1"/>
      <c r="S91" s="1"/>
      <c r="T91" s="1"/>
    </row>
    <row r="92" spans="1:20" ht="33.75" customHeight="1">
      <c r="A92" s="1" t="s">
        <v>374</v>
      </c>
      <c r="B92" s="1" t="s">
        <v>160</v>
      </c>
      <c r="C92" s="4">
        <v>39846.825694444444</v>
      </c>
      <c r="D92" s="1" t="s">
        <v>84</v>
      </c>
      <c r="E92" s="1"/>
      <c r="F92" s="2" t="s">
        <v>377</v>
      </c>
      <c r="G92" s="1">
        <f ca="1">IFERROR(__xludf.DUMMYFUNCTION("COUNTA(SPLIT(F92,"" ""))"),141)</f>
        <v>141</v>
      </c>
      <c r="H92" s="1">
        <v>141</v>
      </c>
      <c r="I92" s="1"/>
      <c r="J92" s="1"/>
      <c r="K92" s="1"/>
      <c r="L92" s="1"/>
      <c r="M92" s="1"/>
      <c r="N92" s="1"/>
      <c r="O92" s="1"/>
      <c r="P92" s="1"/>
      <c r="Q92" s="1"/>
      <c r="R92" s="1"/>
      <c r="S92" s="1"/>
      <c r="T92" s="1"/>
    </row>
    <row r="93" spans="1:20" ht="33.75" hidden="1" customHeight="1">
      <c r="A93" s="1" t="s">
        <v>378</v>
      </c>
      <c r="B93" s="1" t="s">
        <v>160</v>
      </c>
      <c r="C93" s="4">
        <v>39846.826388888891</v>
      </c>
      <c r="D93" s="1" t="s">
        <v>84</v>
      </c>
      <c r="E93" s="1" t="s">
        <v>374</v>
      </c>
      <c r="F93" s="2" t="s">
        <v>379</v>
      </c>
      <c r="G93" s="1">
        <f ca="1">IFERROR(__xludf.DUMMYFUNCTION("COUNTA(SPLIT(F93,"" ""))"),11)</f>
        <v>11</v>
      </c>
      <c r="H93" s="1">
        <v>11</v>
      </c>
      <c r="I93" s="1"/>
      <c r="J93" s="1"/>
      <c r="K93" s="1"/>
      <c r="L93" s="1"/>
      <c r="M93" s="1"/>
      <c r="N93" s="1"/>
      <c r="O93" s="1"/>
      <c r="P93" s="1"/>
      <c r="Q93" s="1"/>
      <c r="R93" s="1"/>
      <c r="S93" s="1"/>
      <c r="T93" s="1"/>
    </row>
    <row r="94" spans="1:20" ht="33.75" customHeight="1">
      <c r="A94" s="1" t="s">
        <v>380</v>
      </c>
      <c r="B94" s="1" t="s">
        <v>160</v>
      </c>
      <c r="C94" s="4">
        <v>39846.852083333331</v>
      </c>
      <c r="D94" s="1" t="s">
        <v>381</v>
      </c>
      <c r="E94" s="1"/>
      <c r="F94" s="2" t="s">
        <v>383</v>
      </c>
      <c r="G94" s="1">
        <f ca="1">IFERROR(__xludf.DUMMYFUNCTION("COUNTA(SPLIT(F94,"" ""))"),219)</f>
        <v>219</v>
      </c>
      <c r="H94" s="1">
        <v>219</v>
      </c>
      <c r="I94" s="1"/>
      <c r="J94" s="1"/>
      <c r="K94" s="1"/>
      <c r="L94" s="1"/>
      <c r="M94" s="1"/>
      <c r="N94" s="1"/>
      <c r="O94" s="1"/>
      <c r="P94" s="1"/>
      <c r="Q94" s="1"/>
      <c r="R94" s="1"/>
      <c r="S94" s="1"/>
      <c r="T94" s="1"/>
    </row>
    <row r="95" spans="1:20" ht="33.75" hidden="1" customHeight="1">
      <c r="A95" s="1" t="s">
        <v>384</v>
      </c>
      <c r="B95" s="1" t="s">
        <v>156</v>
      </c>
      <c r="C95" s="4">
        <v>39846.857638888891</v>
      </c>
      <c r="D95" s="1" t="s">
        <v>54</v>
      </c>
      <c r="E95" s="1" t="s">
        <v>385</v>
      </c>
      <c r="F95" s="2" t="s">
        <v>387</v>
      </c>
      <c r="G95" s="1">
        <f ca="1">IFERROR(__xludf.DUMMYFUNCTION("COUNTA(SPLIT(F95,"" ""))"),187)</f>
        <v>187</v>
      </c>
      <c r="H95" s="1">
        <v>187</v>
      </c>
      <c r="I95" s="1"/>
      <c r="J95" s="1"/>
      <c r="K95" s="1"/>
      <c r="L95" s="1"/>
      <c r="M95" s="1"/>
      <c r="N95" s="1"/>
      <c r="O95" s="1"/>
      <c r="P95" s="1"/>
      <c r="Q95" s="1"/>
      <c r="R95" s="1"/>
      <c r="S95" s="1"/>
      <c r="T95" s="1"/>
    </row>
    <row r="96" spans="1:20" ht="33.75" customHeight="1">
      <c r="A96" s="1" t="s">
        <v>388</v>
      </c>
      <c r="B96" s="1" t="s">
        <v>156</v>
      </c>
      <c r="C96" s="4">
        <v>39846.861805555556</v>
      </c>
      <c r="D96" s="1" t="s">
        <v>54</v>
      </c>
      <c r="E96" s="1"/>
      <c r="F96" s="2" t="s">
        <v>391</v>
      </c>
      <c r="G96" s="1">
        <f ca="1">IFERROR(__xludf.DUMMYFUNCTION("COUNTA(SPLIT(F96,"" ""))"),89)</f>
        <v>89</v>
      </c>
      <c r="H96" s="1">
        <v>89</v>
      </c>
      <c r="I96" s="1"/>
      <c r="J96" s="1"/>
      <c r="K96" s="1"/>
      <c r="L96" s="1"/>
      <c r="M96" s="1"/>
      <c r="N96" s="1"/>
      <c r="O96" s="1"/>
      <c r="P96" s="1"/>
      <c r="Q96" s="1"/>
      <c r="R96" s="1"/>
      <c r="S96" s="1"/>
      <c r="T96" s="1"/>
    </row>
    <row r="97" spans="1:20" ht="33.75" customHeight="1">
      <c r="A97" s="1" t="s">
        <v>392</v>
      </c>
      <c r="B97" s="1" t="s">
        <v>160</v>
      </c>
      <c r="C97" s="4">
        <v>39846.863194444442</v>
      </c>
      <c r="D97" s="1" t="s">
        <v>393</v>
      </c>
      <c r="E97" s="1"/>
      <c r="F97" s="2" t="s">
        <v>395</v>
      </c>
      <c r="G97" s="1">
        <f ca="1">IFERROR(__xludf.DUMMYFUNCTION("COUNTA(SPLIT(F97,"" ""))"),193)</f>
        <v>193</v>
      </c>
      <c r="H97" s="1">
        <v>193</v>
      </c>
      <c r="I97" s="1"/>
      <c r="J97" s="1"/>
      <c r="K97" s="1"/>
      <c r="L97" s="1"/>
      <c r="M97" s="1"/>
      <c r="N97" s="1"/>
      <c r="O97" s="1"/>
      <c r="P97" s="1"/>
      <c r="Q97" s="1"/>
      <c r="R97" s="1"/>
      <c r="S97" s="1"/>
      <c r="T97" s="1"/>
    </row>
    <row r="98" spans="1:20" ht="33.75" hidden="1" customHeight="1">
      <c r="A98" s="1" t="s">
        <v>396</v>
      </c>
      <c r="B98" s="1" t="s">
        <v>156</v>
      </c>
      <c r="C98" s="4">
        <v>39846.863888888889</v>
      </c>
      <c r="D98" s="1" t="s">
        <v>101</v>
      </c>
      <c r="E98" s="1" t="s">
        <v>192</v>
      </c>
      <c r="F98" s="2" t="s">
        <v>397</v>
      </c>
      <c r="G98" s="1">
        <f ca="1">IFERROR(__xludf.DUMMYFUNCTION("COUNTA(SPLIT(F98,"" ""))"),71)</f>
        <v>71</v>
      </c>
      <c r="H98" s="1">
        <v>71</v>
      </c>
      <c r="I98" s="1"/>
      <c r="J98" s="1"/>
      <c r="K98" s="1"/>
      <c r="L98" s="1"/>
      <c r="M98" s="1"/>
      <c r="N98" s="1"/>
      <c r="O98" s="1"/>
      <c r="P98" s="1"/>
      <c r="Q98" s="1"/>
      <c r="R98" s="1"/>
      <c r="S98" s="1"/>
      <c r="T98" s="1"/>
    </row>
    <row r="99" spans="1:20" ht="33.75" customHeight="1">
      <c r="A99" s="1" t="s">
        <v>398</v>
      </c>
      <c r="B99" s="1" t="s">
        <v>160</v>
      </c>
      <c r="C99" s="4">
        <v>39846.865972222222</v>
      </c>
      <c r="D99" s="1" t="s">
        <v>54</v>
      </c>
      <c r="E99" s="1"/>
      <c r="F99" s="2" t="s">
        <v>399</v>
      </c>
      <c r="G99" s="1">
        <f ca="1">IFERROR(__xludf.DUMMYFUNCTION("COUNTA(SPLIT(F99,"" ""))"),47)</f>
        <v>47</v>
      </c>
      <c r="H99" s="1">
        <v>47</v>
      </c>
      <c r="I99" s="1"/>
      <c r="J99" s="1"/>
      <c r="K99" s="1"/>
      <c r="L99" s="1"/>
      <c r="M99" s="1"/>
      <c r="N99" s="1"/>
      <c r="O99" s="1"/>
      <c r="P99" s="1"/>
      <c r="Q99" s="1"/>
      <c r="R99" s="1"/>
      <c r="S99" s="1"/>
      <c r="T99" s="1"/>
    </row>
    <row r="100" spans="1:20" ht="33.75" customHeight="1">
      <c r="A100" s="1" t="s">
        <v>400</v>
      </c>
      <c r="B100" s="1" t="s">
        <v>160</v>
      </c>
      <c r="C100" s="4">
        <v>39846.904166666667</v>
      </c>
      <c r="D100" s="1" t="s">
        <v>401</v>
      </c>
      <c r="E100" s="1"/>
      <c r="F100" s="2" t="s">
        <v>404</v>
      </c>
      <c r="G100" s="1">
        <f ca="1">IFERROR(__xludf.DUMMYFUNCTION("COUNTA(SPLIT(F100,"" ""))"),18)</f>
        <v>18</v>
      </c>
      <c r="H100" s="1">
        <v>18</v>
      </c>
      <c r="I100" s="1"/>
      <c r="J100" s="1"/>
      <c r="K100" s="1"/>
      <c r="L100" s="1"/>
      <c r="M100" s="1"/>
      <c r="N100" s="1"/>
      <c r="O100" s="1"/>
      <c r="P100" s="1"/>
      <c r="Q100" s="1"/>
      <c r="R100" s="1"/>
      <c r="S100" s="1"/>
      <c r="T100" s="1"/>
    </row>
    <row r="101" spans="1:20" ht="33.75" hidden="1" customHeight="1">
      <c r="A101" s="1" t="s">
        <v>405</v>
      </c>
      <c r="B101" s="1" t="s">
        <v>160</v>
      </c>
      <c r="C101" s="4">
        <v>39846.90625</v>
      </c>
      <c r="D101" s="1" t="s">
        <v>54</v>
      </c>
      <c r="E101" s="1" t="s">
        <v>374</v>
      </c>
      <c r="F101" s="2" t="s">
        <v>407</v>
      </c>
      <c r="G101" s="1">
        <f ca="1">IFERROR(__xludf.DUMMYFUNCTION("COUNTA(SPLIT(F101,"" ""))"),91)</f>
        <v>91</v>
      </c>
      <c r="H101" s="1">
        <v>91</v>
      </c>
      <c r="I101" s="1"/>
      <c r="J101" s="1"/>
      <c r="K101" s="1"/>
      <c r="L101" s="1"/>
      <c r="M101" s="1"/>
      <c r="N101" s="1"/>
      <c r="O101" s="1"/>
      <c r="P101" s="1"/>
      <c r="Q101" s="1"/>
      <c r="R101" s="1"/>
      <c r="S101" s="1"/>
      <c r="T101" s="1"/>
    </row>
    <row r="102" spans="1:20" ht="33.75" hidden="1" customHeight="1">
      <c r="A102" s="1" t="s">
        <v>408</v>
      </c>
      <c r="B102" s="1" t="s">
        <v>160</v>
      </c>
      <c r="C102" s="4">
        <v>39846.911111111112</v>
      </c>
      <c r="D102" s="1" t="s">
        <v>196</v>
      </c>
      <c r="E102" s="1" t="s">
        <v>409</v>
      </c>
      <c r="F102" s="2" t="s">
        <v>411</v>
      </c>
      <c r="G102" s="1">
        <f ca="1">IFERROR(__xludf.DUMMYFUNCTION("COUNTA(SPLIT(F102,"" ""))"),77)</f>
        <v>77</v>
      </c>
      <c r="H102" s="1">
        <v>77</v>
      </c>
      <c r="I102" s="1"/>
      <c r="J102" s="1"/>
      <c r="K102" s="1"/>
      <c r="L102" s="1"/>
      <c r="M102" s="1"/>
      <c r="N102" s="1"/>
      <c r="O102" s="1"/>
      <c r="P102" s="1"/>
      <c r="Q102" s="1"/>
      <c r="R102" s="1"/>
      <c r="S102" s="1"/>
      <c r="T102" s="1"/>
    </row>
    <row r="103" spans="1:20" ht="33.75" hidden="1" customHeight="1">
      <c r="A103" s="1" t="s">
        <v>412</v>
      </c>
      <c r="B103" s="1" t="s">
        <v>160</v>
      </c>
      <c r="C103" s="4">
        <v>39846.92291666667</v>
      </c>
      <c r="D103" s="1" t="s">
        <v>196</v>
      </c>
      <c r="E103" s="1" t="s">
        <v>408</v>
      </c>
      <c r="F103" s="2" t="s">
        <v>414</v>
      </c>
      <c r="G103" s="1">
        <f ca="1">IFERROR(__xludf.DUMMYFUNCTION("COUNTA(SPLIT(F103,"" ""))"),35)</f>
        <v>35</v>
      </c>
      <c r="H103" s="1">
        <v>35</v>
      </c>
      <c r="I103" s="1"/>
      <c r="J103" s="1"/>
      <c r="K103" s="1"/>
      <c r="L103" s="1"/>
      <c r="M103" s="1"/>
      <c r="N103" s="1"/>
      <c r="O103" s="1"/>
      <c r="P103" s="1"/>
      <c r="Q103" s="1"/>
      <c r="R103" s="1"/>
      <c r="S103" s="1"/>
      <c r="T103" s="1"/>
    </row>
    <row r="104" spans="1:20" ht="33.75" hidden="1" customHeight="1">
      <c r="A104" s="1" t="s">
        <v>415</v>
      </c>
      <c r="B104" s="1" t="s">
        <v>160</v>
      </c>
      <c r="C104" s="4">
        <v>39846.943749999999</v>
      </c>
      <c r="D104" s="1" t="s">
        <v>416</v>
      </c>
      <c r="E104" s="1" t="s">
        <v>374</v>
      </c>
      <c r="F104" s="2" t="s">
        <v>418</v>
      </c>
      <c r="G104" s="1">
        <f ca="1">IFERROR(__xludf.DUMMYFUNCTION("COUNTA(SPLIT(F104,"" ""))"),258)</f>
        <v>258</v>
      </c>
      <c r="H104" s="1">
        <v>258</v>
      </c>
      <c r="I104" s="1"/>
      <c r="J104" s="1"/>
      <c r="K104" s="1"/>
      <c r="L104" s="1"/>
      <c r="M104" s="1"/>
      <c r="N104" s="1"/>
      <c r="O104" s="1"/>
      <c r="P104" s="1"/>
      <c r="Q104" s="1"/>
      <c r="R104" s="1"/>
      <c r="S104" s="1"/>
      <c r="T104" s="1"/>
    </row>
    <row r="105" spans="1:20" ht="33.75" hidden="1" customHeight="1">
      <c r="A105" s="1" t="s">
        <v>419</v>
      </c>
      <c r="B105" s="1" t="s">
        <v>160</v>
      </c>
      <c r="C105" s="4">
        <v>39846.944444444445</v>
      </c>
      <c r="D105" s="1" t="s">
        <v>416</v>
      </c>
      <c r="E105" s="1" t="s">
        <v>415</v>
      </c>
      <c r="F105" s="2" t="s">
        <v>420</v>
      </c>
      <c r="G105" s="1">
        <f ca="1">IFERROR(__xludf.DUMMYFUNCTION("COUNTA(SPLIT(F105,"" ""))"),13)</f>
        <v>13</v>
      </c>
      <c r="H105" s="1">
        <v>13</v>
      </c>
      <c r="I105" s="1"/>
      <c r="J105" s="1"/>
      <c r="K105" s="1"/>
      <c r="L105" s="1"/>
      <c r="M105" s="1"/>
      <c r="N105" s="1"/>
      <c r="O105" s="1"/>
      <c r="P105" s="1"/>
      <c r="Q105" s="1"/>
      <c r="R105" s="1"/>
      <c r="S105" s="1"/>
      <c r="T105" s="1"/>
    </row>
    <row r="106" spans="1:20" ht="33.75" hidden="1" customHeight="1">
      <c r="A106" s="1" t="s">
        <v>421</v>
      </c>
      <c r="B106" s="1" t="s">
        <v>160</v>
      </c>
      <c r="C106" s="4">
        <v>39846.948611111111</v>
      </c>
      <c r="D106" s="1" t="s">
        <v>196</v>
      </c>
      <c r="E106" s="1" t="s">
        <v>380</v>
      </c>
      <c r="F106" s="2" t="s">
        <v>422</v>
      </c>
      <c r="G106" s="1">
        <f ca="1">IFERROR(__xludf.DUMMYFUNCTION("COUNTA(SPLIT(F106,"" ""))"),32)</f>
        <v>32</v>
      </c>
      <c r="H106" s="1">
        <v>32</v>
      </c>
      <c r="I106" s="1"/>
      <c r="J106" s="1"/>
      <c r="K106" s="1"/>
      <c r="L106" s="1"/>
      <c r="M106" s="1"/>
      <c r="N106" s="1"/>
      <c r="O106" s="1"/>
      <c r="P106" s="1"/>
      <c r="Q106" s="1"/>
      <c r="R106" s="1"/>
      <c r="S106" s="1"/>
      <c r="T106" s="1"/>
    </row>
    <row r="107" spans="1:20" ht="33.75" hidden="1" customHeight="1">
      <c r="A107" s="1" t="s">
        <v>423</v>
      </c>
      <c r="B107" s="1" t="s">
        <v>160</v>
      </c>
      <c r="C107" s="4">
        <v>39846.949999999997</v>
      </c>
      <c r="D107" s="1" t="s">
        <v>196</v>
      </c>
      <c r="E107" s="1" t="s">
        <v>421</v>
      </c>
      <c r="F107" s="2" t="s">
        <v>424</v>
      </c>
      <c r="G107" s="1">
        <f ca="1">IFERROR(__xludf.DUMMYFUNCTION("COUNTA(SPLIT(F107,"" ""))"),9)</f>
        <v>9</v>
      </c>
      <c r="H107" s="1">
        <v>9</v>
      </c>
      <c r="I107" s="1"/>
      <c r="J107" s="1"/>
      <c r="K107" s="1"/>
      <c r="L107" s="1"/>
      <c r="M107" s="1"/>
      <c r="N107" s="1"/>
      <c r="O107" s="1"/>
      <c r="P107" s="1"/>
      <c r="Q107" s="1"/>
      <c r="R107" s="1"/>
      <c r="S107" s="1"/>
      <c r="T107" s="1"/>
    </row>
    <row r="108" spans="1:20" ht="33.75" customHeight="1">
      <c r="A108" s="1" t="s">
        <v>425</v>
      </c>
      <c r="B108" s="1" t="s">
        <v>160</v>
      </c>
      <c r="C108" s="4">
        <v>39846.968055555553</v>
      </c>
      <c r="D108" s="1" t="s">
        <v>54</v>
      </c>
      <c r="E108" s="1"/>
      <c r="F108" s="2" t="s">
        <v>426</v>
      </c>
      <c r="G108" s="1">
        <f ca="1">IFERROR(__xludf.DUMMYFUNCTION("COUNTA(SPLIT(F108,"" ""))"),143)</f>
        <v>143</v>
      </c>
      <c r="H108" s="1">
        <v>143</v>
      </c>
      <c r="I108" s="1"/>
      <c r="J108" s="1"/>
      <c r="K108" s="1"/>
      <c r="L108" s="1"/>
      <c r="M108" s="1"/>
      <c r="N108" s="1"/>
      <c r="O108" s="1"/>
      <c r="P108" s="1"/>
      <c r="Q108" s="1"/>
      <c r="R108" s="1"/>
      <c r="S108" s="1"/>
      <c r="T108" s="1"/>
    </row>
    <row r="109" spans="1:20" ht="33.75" hidden="1" customHeight="1">
      <c r="A109" s="1" t="s">
        <v>427</v>
      </c>
      <c r="B109" s="1" t="s">
        <v>160</v>
      </c>
      <c r="C109" s="4">
        <v>39846.970138888886</v>
      </c>
      <c r="D109" s="1" t="s">
        <v>54</v>
      </c>
      <c r="E109" s="1" t="s">
        <v>415</v>
      </c>
      <c r="F109" s="2" t="s">
        <v>429</v>
      </c>
      <c r="G109" s="1">
        <f ca="1">IFERROR(__xludf.DUMMYFUNCTION("COUNTA(SPLIT(F109,"" ""))"),27)</f>
        <v>27</v>
      </c>
      <c r="H109" s="1">
        <v>27</v>
      </c>
      <c r="I109" s="1"/>
      <c r="J109" s="1"/>
      <c r="K109" s="1"/>
      <c r="L109" s="1"/>
      <c r="M109" s="1"/>
      <c r="N109" s="1"/>
      <c r="O109" s="1"/>
      <c r="P109" s="1"/>
      <c r="Q109" s="1"/>
      <c r="R109" s="1"/>
      <c r="S109" s="1"/>
      <c r="T109" s="1"/>
    </row>
    <row r="110" spans="1:20" ht="33.75" hidden="1" customHeight="1">
      <c r="A110" s="1" t="s">
        <v>430</v>
      </c>
      <c r="B110" s="1" t="s">
        <v>160</v>
      </c>
      <c r="C110" s="4">
        <v>39846.97152777778</v>
      </c>
      <c r="D110" s="1" t="s">
        <v>54</v>
      </c>
      <c r="E110" s="1" t="s">
        <v>427</v>
      </c>
      <c r="F110" s="2" t="s">
        <v>433</v>
      </c>
      <c r="G110" s="1">
        <f ca="1">IFERROR(__xludf.DUMMYFUNCTION("COUNTA(SPLIT(F110,"" ""))"),18)</f>
        <v>18</v>
      </c>
      <c r="H110" s="1">
        <v>18</v>
      </c>
      <c r="I110" s="1"/>
      <c r="J110" s="1"/>
      <c r="K110" s="1"/>
      <c r="L110" s="1"/>
      <c r="M110" s="1"/>
      <c r="N110" s="1"/>
      <c r="O110" s="1"/>
      <c r="P110" s="1"/>
      <c r="Q110" s="1"/>
      <c r="R110" s="1"/>
      <c r="S110" s="1"/>
      <c r="T110" s="1"/>
    </row>
    <row r="111" spans="1:20" ht="33.75" customHeight="1">
      <c r="A111" s="1" t="s">
        <v>434</v>
      </c>
      <c r="B111" s="3" t="s">
        <v>13</v>
      </c>
      <c r="C111" s="4">
        <v>39846.995833333334</v>
      </c>
      <c r="D111" s="1" t="s">
        <v>435</v>
      </c>
      <c r="E111" s="1"/>
      <c r="F111" s="2" t="s">
        <v>437</v>
      </c>
      <c r="G111" s="1">
        <f ca="1">IFERROR(__xludf.DUMMYFUNCTION("COUNTA(SPLIT(F111,"" ""))"),321)</f>
        <v>321</v>
      </c>
      <c r="H111" s="1">
        <v>321</v>
      </c>
      <c r="I111" s="1"/>
      <c r="J111" s="1"/>
      <c r="K111" s="1"/>
      <c r="L111" s="1"/>
      <c r="M111" s="1"/>
      <c r="N111" s="1"/>
      <c r="O111" s="1"/>
      <c r="P111" s="1"/>
      <c r="Q111" s="1"/>
      <c r="R111" s="1"/>
      <c r="S111" s="1"/>
      <c r="T111" s="1"/>
    </row>
    <row r="112" spans="1:20" ht="33.75" hidden="1" customHeight="1">
      <c r="A112" s="1" t="s">
        <v>438</v>
      </c>
      <c r="B112" s="1" t="s">
        <v>160</v>
      </c>
      <c r="C112" s="4">
        <v>39847.047222222223</v>
      </c>
      <c r="D112" s="1" t="s">
        <v>84</v>
      </c>
      <c r="E112" s="1" t="s">
        <v>374</v>
      </c>
      <c r="F112" s="2" t="s">
        <v>441</v>
      </c>
      <c r="G112" s="1">
        <f ca="1">IFERROR(__xludf.DUMMYFUNCTION("COUNTA(SPLIT(F112,"" ""))"),24)</f>
        <v>24</v>
      </c>
      <c r="H112" s="1">
        <v>24</v>
      </c>
      <c r="I112" s="1"/>
      <c r="J112" s="1"/>
      <c r="K112" s="1"/>
      <c r="L112" s="1"/>
      <c r="M112" s="1"/>
      <c r="N112" s="1"/>
      <c r="O112" s="1"/>
      <c r="P112" s="1"/>
      <c r="Q112" s="1"/>
      <c r="R112" s="1"/>
      <c r="S112" s="1"/>
      <c r="T112" s="1"/>
    </row>
    <row r="113" spans="1:20" ht="33.75" hidden="1" customHeight="1">
      <c r="A113" s="1" t="s">
        <v>442</v>
      </c>
      <c r="B113" s="1" t="s">
        <v>160</v>
      </c>
      <c r="C113" s="4">
        <v>39847.052083333336</v>
      </c>
      <c r="D113" s="1" t="s">
        <v>320</v>
      </c>
      <c r="E113" s="1" t="s">
        <v>392</v>
      </c>
      <c r="F113" s="2" t="s">
        <v>444</v>
      </c>
      <c r="G113" s="1">
        <f ca="1">IFERROR(__xludf.DUMMYFUNCTION("COUNTA(SPLIT(F113,"" ""))"),150)</f>
        <v>150</v>
      </c>
      <c r="H113" s="1">
        <v>150</v>
      </c>
      <c r="I113" s="1"/>
      <c r="J113" s="1"/>
      <c r="K113" s="1"/>
      <c r="L113" s="1"/>
      <c r="M113" s="1"/>
      <c r="N113" s="1"/>
      <c r="O113" s="1"/>
      <c r="P113" s="1"/>
      <c r="Q113" s="1"/>
      <c r="R113" s="1"/>
      <c r="S113" s="1"/>
      <c r="T113" s="1"/>
    </row>
    <row r="114" spans="1:20" ht="33.75" customHeight="1">
      <c r="A114" s="1" t="s">
        <v>445</v>
      </c>
      <c r="B114" s="1" t="s">
        <v>156</v>
      </c>
      <c r="C114" s="4">
        <v>39847.056250000001</v>
      </c>
      <c r="D114" s="1" t="s">
        <v>446</v>
      </c>
      <c r="E114" s="1"/>
      <c r="F114" s="2" t="s">
        <v>448</v>
      </c>
      <c r="G114" s="1">
        <f ca="1">IFERROR(__xludf.DUMMYFUNCTION("COUNTA(SPLIT(F114,"" ""))"),47)</f>
        <v>47</v>
      </c>
      <c r="H114" s="1">
        <v>47</v>
      </c>
      <c r="I114" s="1"/>
      <c r="J114" s="1"/>
      <c r="K114" s="1"/>
      <c r="L114" s="1"/>
      <c r="M114" s="1"/>
      <c r="N114" s="1"/>
      <c r="O114" s="1"/>
      <c r="P114" s="1"/>
      <c r="Q114" s="1"/>
      <c r="R114" s="1"/>
      <c r="S114" s="1"/>
      <c r="T114" s="1"/>
    </row>
    <row r="115" spans="1:20" ht="33.75" customHeight="1">
      <c r="A115" s="1" t="s">
        <v>449</v>
      </c>
      <c r="B115" s="1" t="s">
        <v>160</v>
      </c>
      <c r="C115" s="4">
        <v>39847.064583333333</v>
      </c>
      <c r="D115" s="1" t="s">
        <v>54</v>
      </c>
      <c r="E115" s="1"/>
      <c r="F115" s="2" t="s">
        <v>451</v>
      </c>
      <c r="G115" s="1">
        <f ca="1">IFERROR(__xludf.DUMMYFUNCTION("COUNTA(SPLIT(F115,"" ""))"),129)</f>
        <v>129</v>
      </c>
      <c r="H115" s="1">
        <v>129</v>
      </c>
      <c r="I115" s="1"/>
      <c r="J115" s="1"/>
      <c r="K115" s="1"/>
      <c r="L115" s="1"/>
      <c r="M115" s="1"/>
      <c r="N115" s="1"/>
      <c r="O115" s="1"/>
      <c r="P115" s="1"/>
      <c r="Q115" s="1"/>
      <c r="R115" s="1"/>
      <c r="S115" s="1"/>
      <c r="T115" s="1"/>
    </row>
    <row r="116" spans="1:20" ht="33.75" customHeight="1">
      <c r="A116" s="1" t="s">
        <v>452</v>
      </c>
      <c r="B116" s="1" t="s">
        <v>160</v>
      </c>
      <c r="C116" s="4">
        <v>39847.077777777777</v>
      </c>
      <c r="D116" s="1" t="s">
        <v>14</v>
      </c>
      <c r="E116" s="1"/>
      <c r="F116" s="2" t="s">
        <v>455</v>
      </c>
      <c r="G116" s="1">
        <f ca="1">IFERROR(__xludf.DUMMYFUNCTION("COUNTA(SPLIT(F116,"" ""))"),170)</f>
        <v>170</v>
      </c>
      <c r="H116" s="1">
        <v>170</v>
      </c>
      <c r="I116" s="1"/>
      <c r="J116" s="1"/>
      <c r="K116" s="1"/>
      <c r="L116" s="1"/>
      <c r="M116" s="1"/>
      <c r="N116" s="1"/>
      <c r="O116" s="1"/>
      <c r="P116" s="1"/>
      <c r="Q116" s="1"/>
      <c r="R116" s="1"/>
      <c r="S116" s="1"/>
      <c r="T116" s="1"/>
    </row>
    <row r="117" spans="1:20" ht="33.75" customHeight="1">
      <c r="A117" s="1" t="s">
        <v>456</v>
      </c>
      <c r="B117" s="1" t="s">
        <v>160</v>
      </c>
      <c r="C117" s="4">
        <v>39847.12777777778</v>
      </c>
      <c r="D117" s="1" t="s">
        <v>54</v>
      </c>
      <c r="E117" s="1"/>
      <c r="F117" s="2" t="s">
        <v>459</v>
      </c>
      <c r="G117" s="1">
        <f ca="1">IFERROR(__xludf.DUMMYFUNCTION("COUNTA(SPLIT(F117,"" ""))"),280)</f>
        <v>280</v>
      </c>
      <c r="H117" s="1">
        <v>280</v>
      </c>
      <c r="I117" s="1"/>
      <c r="J117" s="1"/>
      <c r="K117" s="1"/>
      <c r="L117" s="1"/>
      <c r="M117" s="1"/>
      <c r="N117" s="1"/>
      <c r="O117" s="1"/>
      <c r="P117" s="1"/>
      <c r="Q117" s="1"/>
      <c r="R117" s="1"/>
      <c r="S117" s="1"/>
      <c r="T117" s="1"/>
    </row>
    <row r="118" spans="1:20" ht="33.75" hidden="1" customHeight="1">
      <c r="A118" s="1" t="s">
        <v>460</v>
      </c>
      <c r="B118" s="1" t="s">
        <v>160</v>
      </c>
      <c r="C118" s="4">
        <v>39847.232638888891</v>
      </c>
      <c r="D118" s="1" t="s">
        <v>320</v>
      </c>
      <c r="E118" s="1" t="s">
        <v>392</v>
      </c>
      <c r="F118" s="2" t="s">
        <v>462</v>
      </c>
      <c r="G118" s="1">
        <f ca="1">IFERROR(__xludf.DUMMYFUNCTION("COUNTA(SPLIT(F118,"" ""))"),292)</f>
        <v>292</v>
      </c>
      <c r="H118" s="1">
        <v>292</v>
      </c>
      <c r="I118" s="1"/>
      <c r="J118" s="1"/>
      <c r="K118" s="1"/>
      <c r="L118" s="1"/>
      <c r="M118" s="1"/>
      <c r="N118" s="1"/>
      <c r="O118" s="1"/>
      <c r="P118" s="1"/>
      <c r="Q118" s="1"/>
      <c r="R118" s="1"/>
      <c r="S118" s="1"/>
      <c r="T118" s="1"/>
    </row>
    <row r="119" spans="1:20" ht="33.75" hidden="1" customHeight="1">
      <c r="A119" s="1" t="s">
        <v>463</v>
      </c>
      <c r="B119" s="1" t="s">
        <v>160</v>
      </c>
      <c r="C119" s="4">
        <v>39847.259722222225</v>
      </c>
      <c r="D119" s="1" t="s">
        <v>393</v>
      </c>
      <c r="E119" s="1" t="s">
        <v>464</v>
      </c>
      <c r="F119" s="2" t="s">
        <v>466</v>
      </c>
      <c r="G119" s="1">
        <f ca="1">IFERROR(__xludf.DUMMYFUNCTION("COUNTA(SPLIT(F119,"" ""))"),91)</f>
        <v>91</v>
      </c>
      <c r="H119" s="1">
        <v>91</v>
      </c>
      <c r="I119" s="1"/>
      <c r="J119" s="1"/>
      <c r="K119" s="1"/>
      <c r="L119" s="1"/>
      <c r="M119" s="1"/>
      <c r="N119" s="1"/>
      <c r="O119" s="1"/>
      <c r="P119" s="1"/>
      <c r="Q119" s="1"/>
      <c r="R119" s="1"/>
      <c r="S119" s="1"/>
      <c r="T119" s="1"/>
    </row>
    <row r="120" spans="1:20" ht="33.75" customHeight="1">
      <c r="A120" s="1" t="s">
        <v>467</v>
      </c>
      <c r="B120" s="1" t="s">
        <v>156</v>
      </c>
      <c r="C120" s="4">
        <v>39847.453472222223</v>
      </c>
      <c r="D120" s="1" t="s">
        <v>101</v>
      </c>
      <c r="E120" s="1"/>
      <c r="F120" s="2" t="s">
        <v>469</v>
      </c>
      <c r="G120" s="1">
        <f ca="1">IFERROR(__xludf.DUMMYFUNCTION("COUNTA(SPLIT(F120,"" ""))"),70)</f>
        <v>70</v>
      </c>
      <c r="H120" s="1">
        <v>70</v>
      </c>
      <c r="I120" s="1"/>
      <c r="J120" s="1"/>
      <c r="K120" s="1"/>
      <c r="L120" s="1"/>
      <c r="M120" s="1"/>
      <c r="N120" s="1"/>
      <c r="O120" s="1"/>
      <c r="P120" s="1"/>
      <c r="Q120" s="1"/>
      <c r="R120" s="1"/>
      <c r="S120" s="1"/>
      <c r="T120" s="1"/>
    </row>
    <row r="121" spans="1:20" ht="33.75" hidden="1" customHeight="1">
      <c r="A121" s="1" t="s">
        <v>470</v>
      </c>
      <c r="B121" s="1" t="s">
        <v>156</v>
      </c>
      <c r="C121" s="4">
        <v>39847.482638888891</v>
      </c>
      <c r="D121" s="1" t="s">
        <v>14</v>
      </c>
      <c r="E121" s="1" t="s">
        <v>467</v>
      </c>
      <c r="F121" s="2" t="s">
        <v>472</v>
      </c>
      <c r="G121" s="1">
        <f ca="1">IFERROR(__xludf.DUMMYFUNCTION("COUNTA(SPLIT(F121,"" ""))"),170)</f>
        <v>170</v>
      </c>
      <c r="H121" s="1">
        <v>170</v>
      </c>
      <c r="I121" s="1"/>
      <c r="J121" s="1"/>
      <c r="K121" s="1"/>
      <c r="L121" s="1"/>
      <c r="M121" s="1"/>
      <c r="N121" s="1"/>
      <c r="O121" s="1"/>
      <c r="P121" s="1"/>
      <c r="Q121" s="1"/>
      <c r="R121" s="1"/>
      <c r="S121" s="1"/>
      <c r="T121" s="1"/>
    </row>
    <row r="122" spans="1:20" ht="33.75" customHeight="1">
      <c r="A122" s="1" t="s">
        <v>473</v>
      </c>
      <c r="B122" s="1" t="s">
        <v>160</v>
      </c>
      <c r="C122" s="4">
        <v>39847.491666666669</v>
      </c>
      <c r="D122" s="1" t="s">
        <v>474</v>
      </c>
      <c r="E122" s="1"/>
      <c r="F122" s="2" t="s">
        <v>476</v>
      </c>
      <c r="G122" s="1">
        <f ca="1">IFERROR(__xludf.DUMMYFUNCTION("COUNTA(SPLIT(F122,"" ""))"),11)</f>
        <v>11</v>
      </c>
      <c r="H122" s="1">
        <v>11</v>
      </c>
      <c r="I122" s="1"/>
      <c r="J122" s="1"/>
      <c r="K122" s="1"/>
      <c r="L122" s="1"/>
      <c r="M122" s="1"/>
      <c r="N122" s="1"/>
      <c r="O122" s="1"/>
      <c r="P122" s="1"/>
      <c r="Q122" s="1"/>
      <c r="R122" s="1"/>
      <c r="S122" s="1"/>
      <c r="T122" s="1"/>
    </row>
    <row r="123" spans="1:20" ht="33.75" hidden="1" customHeight="1">
      <c r="A123" s="1" t="s">
        <v>477</v>
      </c>
      <c r="B123" s="1" t="s">
        <v>160</v>
      </c>
      <c r="C123" s="4">
        <v>39847.493055555555</v>
      </c>
      <c r="D123" s="1" t="s">
        <v>14</v>
      </c>
      <c r="E123" s="1" t="s">
        <v>478</v>
      </c>
      <c r="F123" s="2" t="s">
        <v>483</v>
      </c>
      <c r="G123" s="1">
        <f ca="1">IFERROR(__xludf.DUMMYFUNCTION("COUNTA(SPLIT(F123,"" ""))"),246)</f>
        <v>246</v>
      </c>
      <c r="H123" s="1">
        <v>246</v>
      </c>
      <c r="I123" s="1"/>
      <c r="J123" s="1"/>
      <c r="K123" s="1"/>
      <c r="L123" s="1"/>
      <c r="M123" s="1"/>
      <c r="N123" s="1"/>
      <c r="O123" s="1"/>
      <c r="P123" s="1"/>
      <c r="Q123" s="1"/>
      <c r="R123" s="1"/>
      <c r="S123" s="1"/>
      <c r="T123" s="1"/>
    </row>
    <row r="124" spans="1:20" ht="33.75" customHeight="1">
      <c r="A124" s="1" t="s">
        <v>484</v>
      </c>
      <c r="B124" s="3" t="s">
        <v>13</v>
      </c>
      <c r="C124" s="4">
        <v>39847.532638888886</v>
      </c>
      <c r="D124" s="1" t="s">
        <v>485</v>
      </c>
      <c r="E124" s="1"/>
      <c r="F124" s="2" t="s">
        <v>487</v>
      </c>
      <c r="G124" s="1">
        <f ca="1">IFERROR(__xludf.DUMMYFUNCTION("COUNTA(SPLIT(F124,"" ""))"),135)</f>
        <v>135</v>
      </c>
      <c r="H124" s="1">
        <v>135</v>
      </c>
      <c r="I124" s="1"/>
      <c r="J124" s="1"/>
      <c r="K124" s="1"/>
      <c r="L124" s="1"/>
      <c r="M124" s="1"/>
      <c r="N124" s="1"/>
      <c r="O124" s="1"/>
      <c r="P124" s="1"/>
      <c r="Q124" s="1"/>
      <c r="R124" s="1"/>
      <c r="S124" s="1"/>
      <c r="T124" s="1"/>
    </row>
    <row r="125" spans="1:20" ht="33.75" hidden="1" customHeight="1">
      <c r="A125" s="1" t="s">
        <v>488</v>
      </c>
      <c r="B125" s="3" t="s">
        <v>13</v>
      </c>
      <c r="C125" s="4">
        <v>39847.556250000001</v>
      </c>
      <c r="D125" s="1" t="s">
        <v>14</v>
      </c>
      <c r="E125" s="1" t="s">
        <v>484</v>
      </c>
      <c r="F125" s="2" t="s">
        <v>490</v>
      </c>
      <c r="G125" s="1">
        <f ca="1">IFERROR(__xludf.DUMMYFUNCTION("COUNTA(SPLIT(F125,"" ""))"),79)</f>
        <v>79</v>
      </c>
      <c r="H125" s="1">
        <v>79</v>
      </c>
      <c r="I125" s="1"/>
      <c r="J125" s="1"/>
      <c r="K125" s="1"/>
      <c r="L125" s="1"/>
      <c r="M125" s="1"/>
      <c r="N125" s="1"/>
      <c r="O125" s="1"/>
      <c r="P125" s="1"/>
      <c r="Q125" s="1"/>
      <c r="R125" s="1"/>
      <c r="S125" s="1"/>
      <c r="T125" s="1"/>
    </row>
    <row r="126" spans="1:20" ht="33.75" hidden="1" customHeight="1">
      <c r="A126" s="1" t="s">
        <v>491</v>
      </c>
      <c r="B126" s="1" t="s">
        <v>160</v>
      </c>
      <c r="C126" s="4">
        <v>39847.56527777778</v>
      </c>
      <c r="D126" s="1" t="s">
        <v>14</v>
      </c>
      <c r="E126" s="1" t="s">
        <v>492</v>
      </c>
      <c r="F126" s="2" t="s">
        <v>495</v>
      </c>
      <c r="G126" s="1">
        <f ca="1">IFERROR(__xludf.DUMMYFUNCTION("COUNTA(SPLIT(F126,"" ""))"),334)</f>
        <v>334</v>
      </c>
      <c r="H126" s="1">
        <v>334</v>
      </c>
      <c r="I126" s="1"/>
      <c r="J126" s="1"/>
      <c r="K126" s="1"/>
      <c r="L126" s="1"/>
      <c r="M126" s="1"/>
      <c r="N126" s="1"/>
      <c r="O126" s="1"/>
      <c r="P126" s="1"/>
      <c r="Q126" s="1"/>
      <c r="R126" s="1"/>
      <c r="S126" s="1"/>
      <c r="T126" s="1"/>
    </row>
    <row r="127" spans="1:20" ht="33.75" hidden="1" customHeight="1">
      <c r="A127" s="1" t="s">
        <v>496</v>
      </c>
      <c r="B127" s="1" t="s">
        <v>160</v>
      </c>
      <c r="C127" s="4">
        <v>39847.574305555558</v>
      </c>
      <c r="D127" s="1" t="s">
        <v>14</v>
      </c>
      <c r="E127" s="1" t="s">
        <v>497</v>
      </c>
      <c r="F127" s="2" t="s">
        <v>499</v>
      </c>
      <c r="G127" s="1">
        <f ca="1">IFERROR(__xludf.DUMMYFUNCTION("COUNTA(SPLIT(F127,"" ""))"),231)</f>
        <v>231</v>
      </c>
      <c r="H127" s="1">
        <v>231</v>
      </c>
      <c r="I127" s="1"/>
      <c r="J127" s="1"/>
      <c r="K127" s="1"/>
      <c r="L127" s="1"/>
      <c r="M127" s="1"/>
      <c r="N127" s="1"/>
      <c r="O127" s="1"/>
      <c r="P127" s="1"/>
      <c r="Q127" s="1"/>
      <c r="R127" s="1"/>
      <c r="S127" s="1"/>
      <c r="T127" s="1"/>
    </row>
    <row r="128" spans="1:20" ht="33.75" hidden="1" customHeight="1">
      <c r="A128" s="1" t="s">
        <v>500</v>
      </c>
      <c r="B128" s="3" t="s">
        <v>13</v>
      </c>
      <c r="C128" s="4">
        <v>39847.574999999997</v>
      </c>
      <c r="D128" s="1" t="s">
        <v>485</v>
      </c>
      <c r="E128" s="1" t="s">
        <v>488</v>
      </c>
      <c r="F128" s="2" t="s">
        <v>502</v>
      </c>
      <c r="G128" s="1">
        <f ca="1">IFERROR(__xludf.DUMMYFUNCTION("COUNTA(SPLIT(F128,"" ""))"),55)</f>
        <v>55</v>
      </c>
      <c r="H128" s="1">
        <v>55</v>
      </c>
      <c r="I128" s="1"/>
      <c r="J128" s="1"/>
      <c r="K128" s="1"/>
      <c r="L128" s="1"/>
      <c r="M128" s="1"/>
      <c r="N128" s="1"/>
      <c r="O128" s="1"/>
      <c r="P128" s="1"/>
      <c r="Q128" s="1"/>
      <c r="R128" s="1"/>
      <c r="S128" s="1"/>
      <c r="T128" s="1"/>
    </row>
    <row r="129" spans="1:20" ht="33.75" customHeight="1">
      <c r="A129" s="1" t="s">
        <v>503</v>
      </c>
      <c r="B129" s="1" t="s">
        <v>160</v>
      </c>
      <c r="C129" s="4">
        <v>39847.585416666669</v>
      </c>
      <c r="D129" s="1" t="s">
        <v>14</v>
      </c>
      <c r="E129" s="1"/>
      <c r="F129" s="2" t="s">
        <v>506</v>
      </c>
      <c r="G129" s="1">
        <f ca="1">IFERROR(__xludf.DUMMYFUNCTION("COUNTA(SPLIT(F129,"" ""))"),227)</f>
        <v>227</v>
      </c>
      <c r="H129" s="1">
        <v>227</v>
      </c>
      <c r="I129" s="1"/>
      <c r="J129" s="1"/>
      <c r="K129" s="1"/>
      <c r="L129" s="1"/>
      <c r="M129" s="1"/>
      <c r="N129" s="1"/>
      <c r="O129" s="1"/>
      <c r="P129" s="1"/>
      <c r="Q129" s="1"/>
      <c r="R129" s="1"/>
      <c r="S129" s="1"/>
      <c r="T129" s="1"/>
    </row>
    <row r="130" spans="1:20" ht="33.75" hidden="1" customHeight="1">
      <c r="A130" s="1" t="s">
        <v>507</v>
      </c>
      <c r="B130" s="1" t="s">
        <v>160</v>
      </c>
      <c r="C130" s="4">
        <v>39847.600694444445</v>
      </c>
      <c r="D130" s="1" t="s">
        <v>14</v>
      </c>
      <c r="E130" s="1" t="s">
        <v>503</v>
      </c>
      <c r="F130" s="2" t="s">
        <v>508</v>
      </c>
      <c r="G130" s="1">
        <f ca="1">IFERROR(__xludf.DUMMYFUNCTION("COUNTA(SPLIT(F130,"" ""))"),342)</f>
        <v>342</v>
      </c>
      <c r="H130" s="1">
        <v>342</v>
      </c>
      <c r="I130" s="1"/>
      <c r="J130" s="1"/>
      <c r="K130" s="1"/>
      <c r="L130" s="1"/>
      <c r="M130" s="1"/>
      <c r="N130" s="1"/>
      <c r="O130" s="1"/>
      <c r="P130" s="1"/>
      <c r="Q130" s="1"/>
      <c r="R130" s="1"/>
      <c r="S130" s="1"/>
      <c r="T130" s="1"/>
    </row>
    <row r="131" spans="1:20" ht="33.75" hidden="1" customHeight="1">
      <c r="A131" s="1" t="s">
        <v>509</v>
      </c>
      <c r="B131" s="1" t="s">
        <v>160</v>
      </c>
      <c r="C131" s="4">
        <v>39847.616666666669</v>
      </c>
      <c r="D131" s="1" t="s">
        <v>320</v>
      </c>
      <c r="E131" s="1" t="s">
        <v>510</v>
      </c>
      <c r="F131" s="2" t="s">
        <v>512</v>
      </c>
      <c r="G131" s="1">
        <f ca="1">IFERROR(__xludf.DUMMYFUNCTION("COUNTA(SPLIT(F131,"" ""))"),70)</f>
        <v>70</v>
      </c>
      <c r="H131" s="1">
        <v>70</v>
      </c>
      <c r="I131" s="1"/>
      <c r="J131" s="1"/>
      <c r="K131" s="1"/>
      <c r="L131" s="1"/>
      <c r="M131" s="1"/>
      <c r="N131" s="1"/>
      <c r="O131" s="1"/>
      <c r="P131" s="1"/>
      <c r="Q131" s="1"/>
      <c r="R131" s="1"/>
      <c r="S131" s="1"/>
      <c r="T131" s="1"/>
    </row>
    <row r="132" spans="1:20" ht="33.75" hidden="1" customHeight="1">
      <c r="A132" s="1" t="s">
        <v>513</v>
      </c>
      <c r="B132" s="1" t="s">
        <v>160</v>
      </c>
      <c r="C132" s="4">
        <v>39847.636111111111</v>
      </c>
      <c r="D132" s="1" t="s">
        <v>14</v>
      </c>
      <c r="E132" s="1" t="s">
        <v>503</v>
      </c>
      <c r="F132" s="2" t="s">
        <v>514</v>
      </c>
      <c r="G132" s="1">
        <f ca="1">IFERROR(__xludf.DUMMYFUNCTION("COUNTA(SPLIT(F132,"" ""))"),256)</f>
        <v>256</v>
      </c>
      <c r="H132" s="1">
        <v>256</v>
      </c>
      <c r="I132" s="1"/>
      <c r="J132" s="1"/>
      <c r="K132" s="1"/>
      <c r="L132" s="1"/>
      <c r="M132" s="1"/>
      <c r="N132" s="1"/>
      <c r="O132" s="1"/>
      <c r="P132" s="1"/>
      <c r="Q132" s="1"/>
      <c r="R132" s="1"/>
      <c r="S132" s="1"/>
      <c r="T132" s="1"/>
    </row>
    <row r="133" spans="1:20" ht="33.75" hidden="1" customHeight="1">
      <c r="A133" s="1" t="s">
        <v>515</v>
      </c>
      <c r="B133" s="1" t="s">
        <v>160</v>
      </c>
      <c r="C133" s="4">
        <v>39847.643055555556</v>
      </c>
      <c r="D133" s="1" t="s">
        <v>14</v>
      </c>
      <c r="E133" s="1" t="s">
        <v>516</v>
      </c>
      <c r="F133" s="2" t="s">
        <v>518</v>
      </c>
      <c r="G133" s="1">
        <f ca="1">IFERROR(__xludf.DUMMYFUNCTION("COUNTA(SPLIT(F133,"" ""))"),278)</f>
        <v>278</v>
      </c>
      <c r="H133" s="1">
        <v>278</v>
      </c>
      <c r="I133" s="1"/>
      <c r="J133" s="1"/>
      <c r="K133" s="1"/>
      <c r="L133" s="1"/>
      <c r="M133" s="1"/>
      <c r="N133" s="1"/>
      <c r="O133" s="1"/>
      <c r="P133" s="1"/>
      <c r="Q133" s="1"/>
      <c r="R133" s="1"/>
      <c r="S133" s="1"/>
      <c r="T133" s="1"/>
    </row>
    <row r="134" spans="1:20" ht="33.75" hidden="1" customHeight="1">
      <c r="A134" s="1" t="s">
        <v>519</v>
      </c>
      <c r="B134" s="1" t="s">
        <v>160</v>
      </c>
      <c r="C134" s="4">
        <v>39847.655555555553</v>
      </c>
      <c r="D134" s="1" t="s">
        <v>14</v>
      </c>
      <c r="E134" s="1" t="s">
        <v>515</v>
      </c>
      <c r="F134" s="2" t="s">
        <v>521</v>
      </c>
      <c r="G134" s="1">
        <f ca="1">IFERROR(__xludf.DUMMYFUNCTION("COUNTA(SPLIT(F134,"" ""))"),339)</f>
        <v>339</v>
      </c>
      <c r="H134" s="1">
        <v>339</v>
      </c>
      <c r="I134" s="1"/>
      <c r="J134" s="1"/>
      <c r="K134" s="1"/>
      <c r="L134" s="1"/>
      <c r="M134" s="1"/>
      <c r="N134" s="1"/>
      <c r="O134" s="1"/>
      <c r="P134" s="1"/>
      <c r="Q134" s="1"/>
      <c r="R134" s="1"/>
      <c r="S134" s="1"/>
      <c r="T134" s="1"/>
    </row>
    <row r="135" spans="1:20" ht="33.75" customHeight="1">
      <c r="A135" s="1" t="s">
        <v>522</v>
      </c>
      <c r="B135" s="1" t="s">
        <v>160</v>
      </c>
      <c r="C135" s="4">
        <v>39847.662499999999</v>
      </c>
      <c r="D135" s="1" t="s">
        <v>14</v>
      </c>
      <c r="E135" s="1"/>
      <c r="F135" s="2" t="s">
        <v>524</v>
      </c>
      <c r="G135" s="1">
        <f ca="1">IFERROR(__xludf.DUMMYFUNCTION("COUNTA(SPLIT(F135,"" ""))"),296)</f>
        <v>296</v>
      </c>
      <c r="H135" s="1">
        <v>296</v>
      </c>
      <c r="I135" s="1"/>
      <c r="J135" s="1"/>
      <c r="K135" s="1"/>
      <c r="L135" s="1"/>
      <c r="M135" s="1"/>
      <c r="N135" s="1"/>
      <c r="O135" s="1"/>
      <c r="P135" s="1"/>
      <c r="Q135" s="1"/>
      <c r="R135" s="1"/>
      <c r="S135" s="1"/>
      <c r="T135" s="1"/>
    </row>
    <row r="136" spans="1:20" ht="33.75" hidden="1" customHeight="1">
      <c r="A136" s="1" t="s">
        <v>525</v>
      </c>
      <c r="B136" s="3" t="s">
        <v>13</v>
      </c>
      <c r="C136" s="4">
        <v>39847.671527777777</v>
      </c>
      <c r="D136" s="1" t="s">
        <v>526</v>
      </c>
      <c r="E136" s="1" t="s">
        <v>527</v>
      </c>
      <c r="F136" s="2" t="s">
        <v>529</v>
      </c>
      <c r="G136" s="1">
        <f ca="1">IFERROR(__xludf.DUMMYFUNCTION("COUNTA(SPLIT(F136,"" ""))"),413)</f>
        <v>413</v>
      </c>
      <c r="H136" s="1">
        <v>413</v>
      </c>
      <c r="I136" s="1"/>
      <c r="J136" s="1"/>
      <c r="K136" s="1"/>
      <c r="L136" s="1"/>
      <c r="M136" s="1"/>
      <c r="N136" s="1"/>
      <c r="O136" s="1"/>
      <c r="P136" s="1"/>
      <c r="Q136" s="1"/>
      <c r="R136" s="1"/>
      <c r="S136" s="1"/>
      <c r="T136" s="1"/>
    </row>
    <row r="137" spans="1:20" ht="33.75" hidden="1" customHeight="1">
      <c r="A137" s="1" t="s">
        <v>530</v>
      </c>
      <c r="B137" s="1" t="s">
        <v>160</v>
      </c>
      <c r="C137" s="4">
        <v>39847.677083333336</v>
      </c>
      <c r="D137" s="1" t="s">
        <v>14</v>
      </c>
      <c r="E137" s="1" t="s">
        <v>522</v>
      </c>
      <c r="F137" s="2" t="s">
        <v>532</v>
      </c>
      <c r="G137" s="1">
        <f ca="1">IFERROR(__xludf.DUMMYFUNCTION("COUNTA(SPLIT(F137,"" ""))"),391)</f>
        <v>391</v>
      </c>
      <c r="H137" s="1">
        <v>391</v>
      </c>
      <c r="I137" s="1"/>
      <c r="J137" s="1"/>
      <c r="K137" s="1"/>
      <c r="L137" s="1"/>
      <c r="M137" s="1"/>
      <c r="N137" s="1"/>
      <c r="O137" s="1"/>
      <c r="P137" s="1"/>
      <c r="Q137" s="1"/>
      <c r="R137" s="1"/>
      <c r="S137" s="1"/>
      <c r="T137" s="1"/>
    </row>
    <row r="138" spans="1:20" ht="33.75" hidden="1" customHeight="1">
      <c r="A138" s="1" t="s">
        <v>533</v>
      </c>
      <c r="B138" s="1" t="s">
        <v>160</v>
      </c>
      <c r="C138" s="4">
        <v>39847.700694444444</v>
      </c>
      <c r="D138" s="1" t="s">
        <v>14</v>
      </c>
      <c r="E138" s="1" t="s">
        <v>534</v>
      </c>
      <c r="F138" s="2" t="s">
        <v>536</v>
      </c>
      <c r="G138" s="1">
        <f ca="1">IFERROR(__xludf.DUMMYFUNCTION("COUNTA(SPLIT(F138,"" ""))"),443)</f>
        <v>443</v>
      </c>
      <c r="H138" s="1">
        <v>443</v>
      </c>
      <c r="I138" s="1"/>
      <c r="J138" s="1"/>
      <c r="K138" s="1"/>
      <c r="L138" s="1"/>
      <c r="M138" s="1"/>
      <c r="N138" s="1"/>
      <c r="O138" s="1"/>
      <c r="P138" s="1"/>
      <c r="Q138" s="1"/>
      <c r="R138" s="1"/>
      <c r="S138" s="1"/>
      <c r="T138" s="1"/>
    </row>
    <row r="139" spans="1:20" ht="33.75" hidden="1" customHeight="1">
      <c r="A139" s="1" t="s">
        <v>537</v>
      </c>
      <c r="B139" s="1" t="s">
        <v>160</v>
      </c>
      <c r="C139" s="4">
        <v>39847.702777777777</v>
      </c>
      <c r="D139" s="1" t="s">
        <v>393</v>
      </c>
      <c r="E139" s="1" t="s">
        <v>538</v>
      </c>
      <c r="F139" s="2" t="s">
        <v>539</v>
      </c>
      <c r="G139" s="1">
        <f ca="1">IFERROR(__xludf.DUMMYFUNCTION("COUNTA(SPLIT(F139,"" ""))"),114)</f>
        <v>114</v>
      </c>
      <c r="H139" s="1">
        <v>114</v>
      </c>
      <c r="I139" s="1"/>
      <c r="J139" s="1"/>
      <c r="K139" s="1"/>
      <c r="L139" s="1"/>
      <c r="M139" s="1"/>
      <c r="N139" s="1"/>
      <c r="O139" s="1"/>
      <c r="P139" s="1"/>
      <c r="Q139" s="1"/>
      <c r="R139" s="1"/>
      <c r="S139" s="1"/>
      <c r="T139" s="1"/>
    </row>
    <row r="140" spans="1:20" ht="33.75" hidden="1" customHeight="1">
      <c r="A140" s="1" t="s">
        <v>540</v>
      </c>
      <c r="B140" s="1" t="s">
        <v>160</v>
      </c>
      <c r="C140" s="4">
        <v>39847.710416666669</v>
      </c>
      <c r="D140" s="1" t="s">
        <v>393</v>
      </c>
      <c r="E140" s="1" t="s">
        <v>533</v>
      </c>
      <c r="F140" s="2" t="s">
        <v>543</v>
      </c>
      <c r="G140" s="1">
        <f ca="1">IFERROR(__xludf.DUMMYFUNCTION("COUNTA(SPLIT(F140,"" ""))"),58)</f>
        <v>58</v>
      </c>
      <c r="H140" s="1">
        <v>58</v>
      </c>
      <c r="I140" s="1"/>
      <c r="J140" s="1"/>
      <c r="K140" s="1"/>
      <c r="L140" s="1"/>
      <c r="M140" s="1"/>
      <c r="N140" s="1"/>
      <c r="O140" s="1"/>
      <c r="P140" s="1"/>
      <c r="Q140" s="1"/>
      <c r="R140" s="1"/>
      <c r="S140" s="1"/>
      <c r="T140" s="1"/>
    </row>
    <row r="141" spans="1:20" ht="33.75" customHeight="1">
      <c r="A141" s="1" t="s">
        <v>544</v>
      </c>
      <c r="B141" s="3" t="s">
        <v>13</v>
      </c>
      <c r="C141" s="4">
        <v>39847.726388888892</v>
      </c>
      <c r="D141" s="1" t="s">
        <v>545</v>
      </c>
      <c r="E141" s="1"/>
      <c r="F141" s="2" t="s">
        <v>546</v>
      </c>
      <c r="G141" s="1">
        <f ca="1">IFERROR(__xludf.DUMMYFUNCTION("COUNTA(SPLIT(F141,"" ""))"),59)</f>
        <v>59</v>
      </c>
      <c r="H141" s="1">
        <v>59</v>
      </c>
      <c r="I141" s="1"/>
      <c r="J141" s="1"/>
      <c r="K141" s="1"/>
      <c r="L141" s="1"/>
      <c r="M141" s="1"/>
      <c r="N141" s="1"/>
      <c r="O141" s="1"/>
      <c r="P141" s="1"/>
      <c r="Q141" s="1"/>
      <c r="R141" s="1"/>
      <c r="S141" s="1"/>
      <c r="T141" s="1"/>
    </row>
    <row r="142" spans="1:20" ht="33.75" hidden="1" customHeight="1">
      <c r="A142" s="1" t="s">
        <v>547</v>
      </c>
      <c r="B142" s="1" t="s">
        <v>160</v>
      </c>
      <c r="C142" s="4">
        <v>39847.757638888892</v>
      </c>
      <c r="D142" s="1" t="s">
        <v>14</v>
      </c>
      <c r="E142" s="1" t="s">
        <v>537</v>
      </c>
      <c r="F142" s="2" t="s">
        <v>549</v>
      </c>
      <c r="G142" s="1">
        <f ca="1">IFERROR(__xludf.DUMMYFUNCTION("COUNTA(SPLIT(F142,"" ""))"),134)</f>
        <v>134</v>
      </c>
      <c r="H142" s="1">
        <v>134</v>
      </c>
      <c r="I142" s="1"/>
      <c r="J142" s="1"/>
      <c r="K142" s="1"/>
      <c r="L142" s="1"/>
      <c r="M142" s="1"/>
      <c r="N142" s="1"/>
      <c r="O142" s="1"/>
      <c r="P142" s="1"/>
      <c r="Q142" s="1"/>
      <c r="R142" s="1"/>
      <c r="S142" s="1"/>
      <c r="T142" s="1"/>
    </row>
    <row r="143" spans="1:20" ht="33.75" hidden="1" customHeight="1">
      <c r="A143" s="1" t="s">
        <v>550</v>
      </c>
      <c r="B143" s="1" t="s">
        <v>160</v>
      </c>
      <c r="C143" s="4">
        <v>39847.767361111109</v>
      </c>
      <c r="D143" s="1" t="s">
        <v>14</v>
      </c>
      <c r="E143" s="1" t="s">
        <v>540</v>
      </c>
      <c r="F143" s="2" t="s">
        <v>551</v>
      </c>
      <c r="G143" s="1">
        <f ca="1">IFERROR(__xludf.DUMMYFUNCTION("COUNTA(SPLIT(F143,"" ""))"),162)</f>
        <v>162</v>
      </c>
      <c r="H143" s="1">
        <v>162</v>
      </c>
      <c r="I143" s="1"/>
      <c r="J143" s="1"/>
      <c r="K143" s="1"/>
      <c r="L143" s="1"/>
      <c r="M143" s="1"/>
      <c r="N143" s="1"/>
      <c r="O143" s="1"/>
      <c r="P143" s="1"/>
      <c r="Q143" s="1"/>
      <c r="R143" s="1"/>
      <c r="S143" s="1"/>
      <c r="T143" s="1"/>
    </row>
    <row r="144" spans="1:20" ht="33.75" hidden="1" customHeight="1">
      <c r="A144" s="1" t="s">
        <v>552</v>
      </c>
      <c r="B144" s="3" t="s">
        <v>13</v>
      </c>
      <c r="C144" s="4">
        <v>39847.768055555556</v>
      </c>
      <c r="D144" s="1" t="s">
        <v>553</v>
      </c>
      <c r="E144" s="1" t="s">
        <v>554</v>
      </c>
      <c r="F144" s="2" t="s">
        <v>558</v>
      </c>
      <c r="G144" s="1">
        <f ca="1">IFERROR(__xludf.DUMMYFUNCTION("COUNTA(SPLIT(F144,"" ""))"),97)</f>
        <v>97</v>
      </c>
      <c r="H144" s="1">
        <v>97</v>
      </c>
      <c r="I144" s="1"/>
      <c r="J144" s="1"/>
      <c r="K144" s="1"/>
      <c r="L144" s="1"/>
      <c r="M144" s="1"/>
      <c r="N144" s="1"/>
      <c r="O144" s="1"/>
      <c r="P144" s="1"/>
      <c r="Q144" s="1"/>
      <c r="R144" s="1"/>
      <c r="S144" s="1"/>
      <c r="T144" s="1"/>
    </row>
    <row r="145" spans="1:20" ht="33.75" hidden="1" customHeight="1">
      <c r="A145" s="1" t="s">
        <v>559</v>
      </c>
      <c r="B145" s="1" t="s">
        <v>160</v>
      </c>
      <c r="C145" s="4">
        <v>39847.777083333334</v>
      </c>
      <c r="D145" s="1" t="s">
        <v>14</v>
      </c>
      <c r="E145" s="1" t="s">
        <v>550</v>
      </c>
      <c r="F145" s="2" t="s">
        <v>560</v>
      </c>
      <c r="G145" s="1">
        <f ca="1">IFERROR(__xludf.DUMMYFUNCTION("COUNTA(SPLIT(F145,"" ""))"),64)</f>
        <v>64</v>
      </c>
      <c r="H145" s="1">
        <v>64</v>
      </c>
      <c r="I145" s="1"/>
      <c r="J145" s="1"/>
      <c r="K145" s="1"/>
      <c r="L145" s="1"/>
      <c r="M145" s="1"/>
      <c r="N145" s="1"/>
      <c r="O145" s="1"/>
      <c r="P145" s="1"/>
      <c r="Q145" s="1"/>
      <c r="R145" s="1"/>
      <c r="S145" s="1"/>
      <c r="T145" s="1"/>
    </row>
    <row r="146" spans="1:20" ht="33.75" hidden="1" customHeight="1">
      <c r="A146" s="1" t="s">
        <v>561</v>
      </c>
      <c r="B146" s="1" t="s">
        <v>160</v>
      </c>
      <c r="C146" s="4">
        <v>39847.779166666667</v>
      </c>
      <c r="D146" s="1" t="s">
        <v>54</v>
      </c>
      <c r="E146" s="1" t="s">
        <v>562</v>
      </c>
      <c r="F146" s="2" t="s">
        <v>563</v>
      </c>
      <c r="G146" s="1">
        <f ca="1">IFERROR(__xludf.DUMMYFUNCTION("COUNTA(SPLIT(F146,"" ""))"),524)</f>
        <v>524</v>
      </c>
      <c r="H146" s="1">
        <v>524</v>
      </c>
      <c r="I146" s="1"/>
      <c r="J146" s="1"/>
      <c r="K146" s="1"/>
      <c r="L146" s="1"/>
      <c r="M146" s="1"/>
      <c r="N146" s="1"/>
      <c r="O146" s="1"/>
      <c r="P146" s="1"/>
      <c r="Q146" s="1"/>
      <c r="R146" s="1"/>
      <c r="S146" s="1"/>
      <c r="T146" s="1"/>
    </row>
    <row r="147" spans="1:20" ht="33.75" hidden="1" customHeight="1">
      <c r="A147" s="1" t="s">
        <v>564</v>
      </c>
      <c r="B147" s="1" t="s">
        <v>160</v>
      </c>
      <c r="C147" s="4">
        <v>39847.781944444447</v>
      </c>
      <c r="D147" s="1" t="s">
        <v>54</v>
      </c>
      <c r="E147" s="1" t="s">
        <v>473</v>
      </c>
      <c r="F147" s="2" t="s">
        <v>565</v>
      </c>
      <c r="G147" s="1">
        <f ca="1">IFERROR(__xludf.DUMMYFUNCTION("COUNTA(SPLIT(F147,"" ""))"),74)</f>
        <v>74</v>
      </c>
      <c r="H147" s="1">
        <v>74</v>
      </c>
      <c r="I147" s="1"/>
      <c r="J147" s="1"/>
      <c r="K147" s="1"/>
      <c r="L147" s="1"/>
      <c r="M147" s="1"/>
      <c r="N147" s="1"/>
      <c r="O147" s="1"/>
      <c r="P147" s="1"/>
      <c r="Q147" s="1"/>
      <c r="R147" s="1"/>
      <c r="S147" s="1"/>
      <c r="T147" s="1"/>
    </row>
    <row r="148" spans="1:20" ht="33.75" hidden="1" customHeight="1">
      <c r="A148" s="1" t="s">
        <v>566</v>
      </c>
      <c r="B148" s="1" t="s">
        <v>160</v>
      </c>
      <c r="C148" s="4">
        <v>39847.78402777778</v>
      </c>
      <c r="D148" s="1" t="s">
        <v>14</v>
      </c>
      <c r="E148" s="1" t="s">
        <v>310</v>
      </c>
      <c r="F148" s="2" t="s">
        <v>568</v>
      </c>
      <c r="G148" s="1">
        <f ca="1">IFERROR(__xludf.DUMMYFUNCTION("COUNTA(SPLIT(F148,"" ""))"),166)</f>
        <v>166</v>
      </c>
      <c r="H148" s="1">
        <v>166</v>
      </c>
      <c r="I148" s="1"/>
      <c r="J148" s="1"/>
      <c r="K148" s="1"/>
      <c r="L148" s="1"/>
      <c r="M148" s="1"/>
      <c r="N148" s="1"/>
      <c r="O148" s="1"/>
      <c r="P148" s="1"/>
      <c r="Q148" s="1"/>
      <c r="R148" s="1"/>
      <c r="S148" s="1"/>
      <c r="T148" s="1"/>
    </row>
    <row r="149" spans="1:20" ht="33.75" customHeight="1">
      <c r="A149" s="1" t="s">
        <v>569</v>
      </c>
      <c r="B149" s="1" t="s">
        <v>160</v>
      </c>
      <c r="C149" s="4">
        <v>39847.786805555559</v>
      </c>
      <c r="D149" s="1" t="s">
        <v>14</v>
      </c>
      <c r="E149" s="1"/>
      <c r="F149" s="2" t="s">
        <v>570</v>
      </c>
      <c r="G149" s="1">
        <f ca="1">IFERROR(__xludf.DUMMYFUNCTION("COUNTA(SPLIT(F149,"" ""))"),43)</f>
        <v>43</v>
      </c>
      <c r="H149" s="1">
        <v>43</v>
      </c>
      <c r="I149" s="1"/>
      <c r="J149" s="1"/>
      <c r="K149" s="1"/>
      <c r="L149" s="1"/>
      <c r="M149" s="1"/>
      <c r="N149" s="1"/>
      <c r="O149" s="1"/>
      <c r="P149" s="1"/>
      <c r="Q149" s="1"/>
      <c r="R149" s="1"/>
      <c r="S149" s="1"/>
      <c r="T149" s="1"/>
    </row>
    <row r="150" spans="1:20" ht="33.75" hidden="1" customHeight="1">
      <c r="A150" s="1" t="s">
        <v>571</v>
      </c>
      <c r="B150" s="1" t="s">
        <v>160</v>
      </c>
      <c r="C150" s="4">
        <v>39847.796527777777</v>
      </c>
      <c r="D150" s="1" t="s">
        <v>393</v>
      </c>
      <c r="E150" s="1" t="s">
        <v>559</v>
      </c>
      <c r="F150" s="2" t="s">
        <v>573</v>
      </c>
      <c r="G150" s="1">
        <f ca="1">IFERROR(__xludf.DUMMYFUNCTION("COUNTA(SPLIT(F150,"" ""))"),48)</f>
        <v>48</v>
      </c>
      <c r="H150" s="1">
        <v>48</v>
      </c>
      <c r="I150" s="1"/>
      <c r="J150" s="1"/>
      <c r="K150" s="1"/>
      <c r="L150" s="1"/>
      <c r="M150" s="1"/>
      <c r="N150" s="1"/>
      <c r="O150" s="1"/>
      <c r="P150" s="1"/>
      <c r="Q150" s="1"/>
      <c r="R150" s="1"/>
      <c r="S150" s="1"/>
      <c r="T150" s="1"/>
    </row>
    <row r="151" spans="1:20" ht="33.75" hidden="1" customHeight="1">
      <c r="A151" s="1" t="s">
        <v>574</v>
      </c>
      <c r="B151" s="1" t="s">
        <v>160</v>
      </c>
      <c r="C151" s="4">
        <v>39847.807638888888</v>
      </c>
      <c r="D151" s="1" t="s">
        <v>320</v>
      </c>
      <c r="E151" s="1" t="s">
        <v>575</v>
      </c>
      <c r="F151" s="2" t="s">
        <v>577</v>
      </c>
      <c r="G151" s="1">
        <f ca="1">IFERROR(__xludf.DUMMYFUNCTION("COUNTA(SPLIT(F151,"" ""))"),46)</f>
        <v>46</v>
      </c>
      <c r="H151" s="1">
        <v>46</v>
      </c>
      <c r="I151" s="1"/>
      <c r="J151" s="1"/>
      <c r="K151" s="1"/>
      <c r="L151" s="1"/>
      <c r="M151" s="1"/>
      <c r="N151" s="1"/>
      <c r="O151" s="1"/>
      <c r="P151" s="1"/>
      <c r="Q151" s="1"/>
      <c r="R151" s="1"/>
      <c r="S151" s="1"/>
      <c r="T151" s="1"/>
    </row>
    <row r="152" spans="1:20" ht="33.75" hidden="1" customHeight="1">
      <c r="A152" s="1" t="s">
        <v>578</v>
      </c>
      <c r="B152" s="1" t="s">
        <v>160</v>
      </c>
      <c r="C152" s="4">
        <v>39847.822916666664</v>
      </c>
      <c r="D152" s="1" t="s">
        <v>416</v>
      </c>
      <c r="E152" s="1" t="s">
        <v>366</v>
      </c>
      <c r="F152" s="2" t="s">
        <v>579</v>
      </c>
      <c r="G152" s="1">
        <f ca="1">IFERROR(__xludf.DUMMYFUNCTION("COUNTA(SPLIT(F152,"" ""))"),75)</f>
        <v>75</v>
      </c>
      <c r="H152" s="1">
        <v>75</v>
      </c>
      <c r="I152" s="1"/>
      <c r="J152" s="1"/>
      <c r="K152" s="1"/>
      <c r="L152" s="1"/>
      <c r="M152" s="1"/>
      <c r="N152" s="1"/>
      <c r="O152" s="1"/>
      <c r="P152" s="1"/>
      <c r="Q152" s="1"/>
      <c r="R152" s="1"/>
      <c r="S152" s="1"/>
      <c r="T152" s="1"/>
    </row>
    <row r="153" spans="1:20" ht="33.75" hidden="1" customHeight="1">
      <c r="A153" s="1" t="s">
        <v>580</v>
      </c>
      <c r="B153" s="1" t="s">
        <v>160</v>
      </c>
      <c r="C153" s="4">
        <v>39847.841666666667</v>
      </c>
      <c r="D153" s="1" t="s">
        <v>54</v>
      </c>
      <c r="E153" s="1" t="s">
        <v>578</v>
      </c>
      <c r="F153" s="2" t="s">
        <v>582</v>
      </c>
      <c r="G153" s="1">
        <f ca="1">IFERROR(__xludf.DUMMYFUNCTION("COUNTA(SPLIT(F153,"" ""))"),226)</f>
        <v>226</v>
      </c>
      <c r="H153" s="1">
        <v>226</v>
      </c>
      <c r="I153" s="1"/>
      <c r="J153" s="1"/>
      <c r="K153" s="1"/>
      <c r="L153" s="1"/>
      <c r="M153" s="1"/>
      <c r="N153" s="1"/>
      <c r="O153" s="1"/>
      <c r="P153" s="1"/>
      <c r="Q153" s="1"/>
      <c r="R153" s="1"/>
      <c r="S153" s="1"/>
      <c r="T153" s="1"/>
    </row>
    <row r="154" spans="1:20" ht="33.75" customHeight="1">
      <c r="A154" s="1" t="s">
        <v>583</v>
      </c>
      <c r="B154" s="3" t="s">
        <v>13</v>
      </c>
      <c r="C154" s="4">
        <v>39847.845138888886</v>
      </c>
      <c r="D154" s="1" t="s">
        <v>584</v>
      </c>
      <c r="E154" s="1"/>
      <c r="F154" s="2" t="s">
        <v>587</v>
      </c>
      <c r="G154" s="1">
        <f ca="1">IFERROR(__xludf.DUMMYFUNCTION("COUNTA(SPLIT(F154,"" ""))"),156)</f>
        <v>156</v>
      </c>
      <c r="H154" s="1">
        <v>156</v>
      </c>
      <c r="I154" s="1"/>
      <c r="J154" s="1"/>
      <c r="K154" s="1"/>
      <c r="L154" s="1"/>
      <c r="M154" s="1"/>
      <c r="N154" s="1"/>
      <c r="O154" s="1"/>
      <c r="P154" s="1"/>
      <c r="Q154" s="1"/>
      <c r="R154" s="1"/>
      <c r="S154" s="1"/>
      <c r="T154" s="1"/>
    </row>
    <row r="155" spans="1:20" ht="33.75" hidden="1" customHeight="1">
      <c r="A155" s="1" t="s">
        <v>588</v>
      </c>
      <c r="B155" s="1" t="s">
        <v>160</v>
      </c>
      <c r="C155" s="4">
        <v>39847.855555555558</v>
      </c>
      <c r="D155" s="1" t="s">
        <v>54</v>
      </c>
      <c r="E155" s="1" t="s">
        <v>589</v>
      </c>
      <c r="F155" s="2" t="s">
        <v>591</v>
      </c>
      <c r="G155" s="1">
        <f ca="1">IFERROR(__xludf.DUMMYFUNCTION("COUNTA(SPLIT(F155,"" ""))"),280)</f>
        <v>280</v>
      </c>
      <c r="H155" s="1">
        <v>280</v>
      </c>
      <c r="I155" s="1"/>
      <c r="J155" s="1"/>
      <c r="K155" s="1"/>
      <c r="L155" s="1"/>
      <c r="M155" s="1"/>
      <c r="N155" s="1"/>
      <c r="O155" s="1"/>
      <c r="P155" s="1"/>
      <c r="Q155" s="1"/>
      <c r="R155" s="1"/>
      <c r="S155" s="1"/>
      <c r="T155" s="1"/>
    </row>
    <row r="156" spans="1:20" ht="33.75" hidden="1" customHeight="1">
      <c r="A156" s="1" t="s">
        <v>592</v>
      </c>
      <c r="B156" s="1" t="s">
        <v>160</v>
      </c>
      <c r="C156" s="4">
        <v>39847.877083333333</v>
      </c>
      <c r="D156" s="1" t="s">
        <v>54</v>
      </c>
      <c r="E156" s="1" t="s">
        <v>588</v>
      </c>
      <c r="F156" s="2" t="s">
        <v>594</v>
      </c>
      <c r="G156" s="1">
        <f ca="1">IFERROR(__xludf.DUMMYFUNCTION("COUNTA(SPLIT(F156,"" ""))"),241)</f>
        <v>241</v>
      </c>
      <c r="H156" s="1">
        <v>241</v>
      </c>
      <c r="I156" s="1"/>
      <c r="J156" s="1"/>
      <c r="K156" s="1"/>
      <c r="L156" s="1"/>
      <c r="M156" s="1"/>
      <c r="N156" s="1"/>
      <c r="O156" s="1"/>
      <c r="P156" s="1"/>
      <c r="Q156" s="1"/>
      <c r="R156" s="1"/>
      <c r="S156" s="1"/>
      <c r="T156" s="1"/>
    </row>
    <row r="157" spans="1:20" ht="33.75" customHeight="1">
      <c r="A157" s="1" t="s">
        <v>595</v>
      </c>
      <c r="B157" s="3" t="s">
        <v>13</v>
      </c>
      <c r="C157" s="4">
        <v>39847.879166666666</v>
      </c>
      <c r="D157" s="1" t="s">
        <v>596</v>
      </c>
      <c r="E157" s="1"/>
      <c r="F157" s="2" t="s">
        <v>598</v>
      </c>
      <c r="G157" s="1">
        <f ca="1">IFERROR(__xludf.DUMMYFUNCTION("COUNTA(SPLIT(F157,"" ""))"),1915)</f>
        <v>1915</v>
      </c>
      <c r="H157" s="1">
        <v>1915</v>
      </c>
      <c r="I157" s="1"/>
      <c r="J157" s="1"/>
      <c r="K157" s="1"/>
      <c r="L157" s="1"/>
      <c r="M157" s="1"/>
      <c r="N157" s="1"/>
      <c r="O157" s="1"/>
      <c r="P157" s="1"/>
      <c r="Q157" s="1"/>
      <c r="R157" s="1"/>
      <c r="S157" s="1"/>
      <c r="T157" s="1"/>
    </row>
    <row r="158" spans="1:20" ht="33.75" customHeight="1">
      <c r="A158" s="1" t="s">
        <v>599</v>
      </c>
      <c r="B158" s="1" t="s">
        <v>156</v>
      </c>
      <c r="C158" s="4">
        <v>39847.943055555559</v>
      </c>
      <c r="D158" s="1" t="s">
        <v>14</v>
      </c>
      <c r="E158" s="1"/>
      <c r="F158" s="2" t="s">
        <v>601</v>
      </c>
      <c r="G158" s="1">
        <f ca="1">IFERROR(__xludf.DUMMYFUNCTION("COUNTA(SPLIT(F158,"" ""))"),236)</f>
        <v>236</v>
      </c>
      <c r="H158" s="1">
        <v>236</v>
      </c>
      <c r="I158" s="1"/>
      <c r="J158" s="1"/>
      <c r="K158" s="1"/>
      <c r="L158" s="1"/>
      <c r="M158" s="1"/>
      <c r="N158" s="1"/>
      <c r="O158" s="1"/>
      <c r="P158" s="1"/>
      <c r="Q158" s="1"/>
      <c r="R158" s="1"/>
      <c r="S158" s="1"/>
      <c r="T158" s="1"/>
    </row>
    <row r="159" spans="1:20" ht="33.75" hidden="1" customHeight="1">
      <c r="A159" s="1" t="s">
        <v>602</v>
      </c>
      <c r="B159" s="1" t="s">
        <v>160</v>
      </c>
      <c r="C159" s="4">
        <v>39847.954861111109</v>
      </c>
      <c r="D159" s="1" t="s">
        <v>14</v>
      </c>
      <c r="E159" s="1" t="s">
        <v>574</v>
      </c>
      <c r="F159" s="2" t="s">
        <v>604</v>
      </c>
      <c r="G159" s="1">
        <f ca="1">IFERROR(__xludf.DUMMYFUNCTION("COUNTA(SPLIT(F159,"" ""))"),195)</f>
        <v>195</v>
      </c>
      <c r="H159" s="1">
        <v>195</v>
      </c>
      <c r="I159" s="1"/>
      <c r="J159" s="1"/>
      <c r="K159" s="1"/>
      <c r="L159" s="1"/>
      <c r="M159" s="1"/>
      <c r="N159" s="1"/>
      <c r="O159" s="1"/>
      <c r="P159" s="1"/>
      <c r="Q159" s="1"/>
      <c r="R159" s="1"/>
      <c r="S159" s="1"/>
      <c r="T159" s="1"/>
    </row>
    <row r="160" spans="1:20" ht="33.75" hidden="1" customHeight="1">
      <c r="A160" s="1" t="s">
        <v>605</v>
      </c>
      <c r="B160" s="1" t="s">
        <v>160</v>
      </c>
      <c r="C160" s="4">
        <v>39847.970833333333</v>
      </c>
      <c r="D160" s="1" t="s">
        <v>14</v>
      </c>
      <c r="E160" s="1" t="s">
        <v>606</v>
      </c>
      <c r="F160" s="2" t="s">
        <v>607</v>
      </c>
      <c r="G160" s="1">
        <f ca="1">IFERROR(__xludf.DUMMYFUNCTION("COUNTA(SPLIT(F160,"" ""))"),424)</f>
        <v>424</v>
      </c>
      <c r="H160" s="1">
        <v>424</v>
      </c>
      <c r="I160" s="1"/>
      <c r="J160" s="1"/>
      <c r="K160" s="1"/>
      <c r="L160" s="1"/>
      <c r="M160" s="1"/>
      <c r="N160" s="1"/>
      <c r="O160" s="1"/>
      <c r="P160" s="1"/>
      <c r="Q160" s="1"/>
      <c r="R160" s="1"/>
      <c r="S160" s="1"/>
      <c r="T160" s="1"/>
    </row>
    <row r="161" spans="1:20" ht="33.75" hidden="1" customHeight="1">
      <c r="A161" s="1" t="s">
        <v>608</v>
      </c>
      <c r="B161" s="1" t="s">
        <v>160</v>
      </c>
      <c r="C161" s="4">
        <v>39847.995138888888</v>
      </c>
      <c r="D161" s="1" t="s">
        <v>14</v>
      </c>
      <c r="E161" s="1" t="s">
        <v>609</v>
      </c>
      <c r="F161" s="2" t="s">
        <v>611</v>
      </c>
      <c r="G161" s="1">
        <f ca="1">IFERROR(__xludf.DUMMYFUNCTION("COUNTA(SPLIT(F161,"" ""))"),433)</f>
        <v>433</v>
      </c>
      <c r="H161" s="1">
        <v>433</v>
      </c>
      <c r="I161" s="1"/>
      <c r="J161" s="1"/>
      <c r="K161" s="1"/>
      <c r="L161" s="1"/>
      <c r="M161" s="1"/>
      <c r="N161" s="1"/>
      <c r="O161" s="1"/>
      <c r="P161" s="1"/>
      <c r="Q161" s="1"/>
      <c r="R161" s="1"/>
      <c r="S161" s="1"/>
      <c r="T161" s="1"/>
    </row>
    <row r="162" spans="1:20" ht="33.75" hidden="1" customHeight="1">
      <c r="A162" s="1" t="s">
        <v>612</v>
      </c>
      <c r="B162" s="1" t="s">
        <v>160</v>
      </c>
      <c r="C162" s="4">
        <v>39848.001388888886</v>
      </c>
      <c r="D162" s="1" t="s">
        <v>474</v>
      </c>
      <c r="E162" s="1" t="s">
        <v>613</v>
      </c>
      <c r="F162" s="2" t="s">
        <v>615</v>
      </c>
      <c r="G162" s="1">
        <f ca="1">IFERROR(__xludf.DUMMYFUNCTION("COUNTA(SPLIT(F162,"" ""))"),158)</f>
        <v>158</v>
      </c>
      <c r="H162" s="1">
        <v>158</v>
      </c>
      <c r="I162" s="1"/>
      <c r="J162" s="1"/>
      <c r="K162" s="1"/>
      <c r="L162" s="1"/>
      <c r="M162" s="1"/>
      <c r="N162" s="1"/>
      <c r="O162" s="1"/>
      <c r="P162" s="1"/>
      <c r="Q162" s="1"/>
      <c r="R162" s="1"/>
      <c r="S162" s="1"/>
      <c r="T162" s="1"/>
    </row>
    <row r="163" spans="1:20" ht="33.75" customHeight="1">
      <c r="A163" s="1" t="s">
        <v>616</v>
      </c>
      <c r="B163" s="1" t="s">
        <v>156</v>
      </c>
      <c r="C163" s="4">
        <v>39848.004166666666</v>
      </c>
      <c r="D163" s="1" t="s">
        <v>101</v>
      </c>
      <c r="E163" s="1"/>
      <c r="F163" s="2" t="s">
        <v>618</v>
      </c>
      <c r="G163" s="1">
        <f ca="1">IFERROR(__xludf.DUMMYFUNCTION("COUNTA(SPLIT(F163,"" ""))"),95)</f>
        <v>95</v>
      </c>
      <c r="H163" s="1">
        <v>95</v>
      </c>
      <c r="I163" s="1"/>
      <c r="J163" s="1"/>
      <c r="K163" s="1"/>
      <c r="L163" s="1"/>
      <c r="M163" s="1"/>
      <c r="N163" s="1"/>
      <c r="O163" s="1"/>
      <c r="P163" s="1"/>
      <c r="Q163" s="1"/>
      <c r="R163" s="1"/>
      <c r="S163" s="1"/>
      <c r="T163" s="1"/>
    </row>
    <row r="164" spans="1:20" ht="33.75" hidden="1" customHeight="1">
      <c r="A164" s="1" t="s">
        <v>619</v>
      </c>
      <c r="B164" s="1" t="s">
        <v>160</v>
      </c>
      <c r="C164" s="4">
        <v>39848.013194444444</v>
      </c>
      <c r="D164" s="1" t="s">
        <v>14</v>
      </c>
      <c r="E164" s="1" t="s">
        <v>620</v>
      </c>
      <c r="F164" s="2" t="s">
        <v>621</v>
      </c>
      <c r="G164" s="1">
        <f ca="1">IFERROR(__xludf.DUMMYFUNCTION("COUNTA(SPLIT(F164,"" ""))"),70)</f>
        <v>70</v>
      </c>
      <c r="H164" s="1">
        <v>70</v>
      </c>
      <c r="I164" s="1"/>
      <c r="J164" s="1"/>
      <c r="K164" s="1"/>
      <c r="L164" s="1"/>
      <c r="M164" s="1"/>
      <c r="N164" s="1"/>
      <c r="O164" s="1"/>
      <c r="P164" s="1"/>
      <c r="Q164" s="1"/>
      <c r="R164" s="1"/>
      <c r="S164" s="1"/>
      <c r="T164" s="1"/>
    </row>
    <row r="165" spans="1:20" ht="33.75" hidden="1" customHeight="1">
      <c r="A165" s="1" t="s">
        <v>622</v>
      </c>
      <c r="B165" s="1" t="s">
        <v>160</v>
      </c>
      <c r="C165" s="4">
        <v>39848.030555555553</v>
      </c>
      <c r="D165" s="1" t="s">
        <v>320</v>
      </c>
      <c r="E165" s="1" t="s">
        <v>623</v>
      </c>
      <c r="F165" s="2" t="s">
        <v>625</v>
      </c>
      <c r="G165" s="1">
        <f ca="1">IFERROR(__xludf.DUMMYFUNCTION("COUNTA(SPLIT(F165,"" ""))"),349)</f>
        <v>349</v>
      </c>
      <c r="H165" s="1">
        <v>349</v>
      </c>
      <c r="I165" s="1"/>
      <c r="J165" s="1"/>
      <c r="K165" s="1"/>
      <c r="L165" s="1"/>
      <c r="M165" s="1"/>
      <c r="N165" s="1"/>
      <c r="O165" s="1"/>
      <c r="P165" s="1"/>
      <c r="Q165" s="1"/>
      <c r="R165" s="1"/>
      <c r="S165" s="1"/>
      <c r="T165" s="1"/>
    </row>
    <row r="166" spans="1:20" ht="33.75" hidden="1" customHeight="1">
      <c r="A166" s="1" t="s">
        <v>626</v>
      </c>
      <c r="B166" s="1" t="s">
        <v>160</v>
      </c>
      <c r="C166" s="4">
        <v>39848.031944444447</v>
      </c>
      <c r="D166" s="1" t="s">
        <v>196</v>
      </c>
      <c r="E166" s="1" t="s">
        <v>477</v>
      </c>
      <c r="F166" s="2" t="s">
        <v>627</v>
      </c>
      <c r="G166" s="1">
        <f ca="1">IFERROR(__xludf.DUMMYFUNCTION("COUNTA(SPLIT(F166,"" ""))"),120)</f>
        <v>120</v>
      </c>
      <c r="H166" s="1">
        <v>120</v>
      </c>
      <c r="I166" s="1"/>
      <c r="J166" s="1"/>
      <c r="K166" s="1"/>
      <c r="L166" s="1"/>
      <c r="M166" s="1"/>
      <c r="N166" s="1"/>
      <c r="O166" s="1"/>
      <c r="P166" s="1"/>
      <c r="Q166" s="1"/>
      <c r="R166" s="1"/>
      <c r="S166" s="1"/>
      <c r="T166" s="1"/>
    </row>
    <row r="167" spans="1:20" ht="33.75" customHeight="1">
      <c r="A167" s="1" t="s">
        <v>628</v>
      </c>
      <c r="B167" s="1" t="s">
        <v>160</v>
      </c>
      <c r="C167" s="4">
        <v>39848.040972222225</v>
      </c>
      <c r="D167" s="1" t="s">
        <v>320</v>
      </c>
      <c r="E167" s="1"/>
      <c r="F167" s="2" t="s">
        <v>630</v>
      </c>
      <c r="G167" s="1">
        <f ca="1">IFERROR(__xludf.DUMMYFUNCTION("COUNTA(SPLIT(F167,"" ""))"),92)</f>
        <v>92</v>
      </c>
      <c r="H167" s="1">
        <v>92</v>
      </c>
      <c r="I167" s="1"/>
      <c r="J167" s="1"/>
      <c r="K167" s="1"/>
      <c r="L167" s="1"/>
      <c r="M167" s="1"/>
      <c r="N167" s="1"/>
      <c r="O167" s="1"/>
      <c r="P167" s="1"/>
      <c r="Q167" s="1"/>
      <c r="R167" s="1"/>
      <c r="S167" s="1"/>
      <c r="T167" s="1"/>
    </row>
    <row r="168" spans="1:20" ht="33.75" hidden="1" customHeight="1">
      <c r="A168" s="1" t="s">
        <v>631</v>
      </c>
      <c r="B168" s="1" t="s">
        <v>160</v>
      </c>
      <c r="C168" s="4">
        <v>39848.043749999997</v>
      </c>
      <c r="D168" s="1" t="s">
        <v>14</v>
      </c>
      <c r="E168" s="1" t="s">
        <v>569</v>
      </c>
      <c r="F168" s="2" t="s">
        <v>633</v>
      </c>
      <c r="G168" s="1">
        <f ca="1">IFERROR(__xludf.DUMMYFUNCTION("COUNTA(SPLIT(F168,"" ""))"),218)</f>
        <v>218</v>
      </c>
      <c r="H168" s="1">
        <v>218</v>
      </c>
      <c r="I168" s="1"/>
      <c r="J168" s="1"/>
      <c r="K168" s="1"/>
      <c r="L168" s="1"/>
      <c r="M168" s="1"/>
      <c r="N168" s="1"/>
      <c r="O168" s="1"/>
      <c r="P168" s="1"/>
      <c r="Q168" s="1"/>
      <c r="R168" s="1"/>
      <c r="S168" s="1"/>
      <c r="T168" s="1"/>
    </row>
    <row r="169" spans="1:20" ht="33.75" hidden="1" customHeight="1">
      <c r="A169" s="1" t="s">
        <v>634</v>
      </c>
      <c r="B169" s="1" t="s">
        <v>160</v>
      </c>
      <c r="C169" s="4">
        <v>39848.050694444442</v>
      </c>
      <c r="D169" s="1" t="s">
        <v>14</v>
      </c>
      <c r="E169" s="1" t="s">
        <v>635</v>
      </c>
      <c r="F169" s="2" t="s">
        <v>636</v>
      </c>
      <c r="G169" s="1">
        <f ca="1">IFERROR(__xludf.DUMMYFUNCTION("COUNTA(SPLIT(F169,"" ""))"),68)</f>
        <v>68</v>
      </c>
      <c r="H169" s="1">
        <v>68</v>
      </c>
      <c r="I169" s="1"/>
      <c r="J169" s="1"/>
      <c r="K169" s="1"/>
      <c r="L169" s="1"/>
      <c r="M169" s="1"/>
      <c r="N169" s="1"/>
      <c r="O169" s="1"/>
      <c r="P169" s="1"/>
      <c r="Q169" s="1"/>
      <c r="R169" s="1"/>
      <c r="S169" s="1"/>
      <c r="T169" s="1"/>
    </row>
    <row r="170" spans="1:20" ht="33.75" hidden="1" customHeight="1">
      <c r="A170" s="1" t="s">
        <v>637</v>
      </c>
      <c r="B170" s="1" t="s">
        <v>160</v>
      </c>
      <c r="C170" s="4">
        <v>39848.077777777777</v>
      </c>
      <c r="D170" s="1" t="s">
        <v>14</v>
      </c>
      <c r="E170" s="1" t="s">
        <v>631</v>
      </c>
      <c r="F170" s="2" t="s">
        <v>638</v>
      </c>
      <c r="G170" s="1">
        <f ca="1">IFERROR(__xludf.DUMMYFUNCTION("COUNTA(SPLIT(F170,"" ""))"),85)</f>
        <v>85</v>
      </c>
      <c r="H170" s="1">
        <v>85</v>
      </c>
      <c r="I170" s="1"/>
      <c r="J170" s="1"/>
      <c r="K170" s="1"/>
      <c r="L170" s="1"/>
      <c r="M170" s="1"/>
      <c r="N170" s="1"/>
      <c r="O170" s="1"/>
      <c r="P170" s="1"/>
      <c r="Q170" s="1"/>
      <c r="R170" s="1"/>
      <c r="S170" s="1"/>
      <c r="T170" s="1"/>
    </row>
    <row r="171" spans="1:20" ht="33.75" hidden="1" customHeight="1">
      <c r="A171" s="1" t="s">
        <v>639</v>
      </c>
      <c r="B171" s="1" t="s">
        <v>160</v>
      </c>
      <c r="C171" s="4">
        <v>39848.131944444445</v>
      </c>
      <c r="D171" s="1" t="s">
        <v>320</v>
      </c>
      <c r="E171" s="1" t="s">
        <v>640</v>
      </c>
      <c r="F171" s="2" t="s">
        <v>641</v>
      </c>
      <c r="G171" s="1">
        <f ca="1">IFERROR(__xludf.DUMMYFUNCTION("COUNTA(SPLIT(F171,"" ""))"),30)</f>
        <v>30</v>
      </c>
      <c r="H171" s="1">
        <v>30</v>
      </c>
      <c r="I171" s="1"/>
      <c r="J171" s="1"/>
      <c r="K171" s="1"/>
      <c r="L171" s="1"/>
      <c r="M171" s="1"/>
      <c r="N171" s="1"/>
      <c r="O171" s="1"/>
      <c r="P171" s="1"/>
      <c r="Q171" s="1"/>
      <c r="R171" s="1"/>
      <c r="S171" s="1"/>
      <c r="T171" s="1"/>
    </row>
    <row r="172" spans="1:20" ht="33.75" hidden="1" customHeight="1">
      <c r="A172" s="1" t="s">
        <v>642</v>
      </c>
      <c r="B172" s="1" t="s">
        <v>160</v>
      </c>
      <c r="C172" s="4">
        <v>39848.149305555555</v>
      </c>
      <c r="D172" s="1" t="s">
        <v>54</v>
      </c>
      <c r="E172" s="1" t="s">
        <v>643</v>
      </c>
      <c r="F172" s="2" t="s">
        <v>645</v>
      </c>
      <c r="G172" s="1">
        <f ca="1">IFERROR(__xludf.DUMMYFUNCTION("COUNTA(SPLIT(F172,"" ""))"),113)</f>
        <v>113</v>
      </c>
      <c r="H172" s="1">
        <v>113</v>
      </c>
      <c r="I172" s="1"/>
      <c r="J172" s="1"/>
      <c r="K172" s="1"/>
      <c r="L172" s="1"/>
      <c r="M172" s="1"/>
      <c r="N172" s="1"/>
      <c r="O172" s="1"/>
      <c r="P172" s="1"/>
      <c r="Q172" s="1"/>
      <c r="R172" s="1"/>
      <c r="S172" s="1"/>
      <c r="T172" s="1"/>
    </row>
    <row r="173" spans="1:20" ht="33.75" hidden="1" customHeight="1">
      <c r="A173" s="1" t="s">
        <v>646</v>
      </c>
      <c r="B173" s="1" t="s">
        <v>160</v>
      </c>
      <c r="C173" s="4">
        <v>39848.154861111114</v>
      </c>
      <c r="D173" s="1" t="s">
        <v>54</v>
      </c>
      <c r="E173" s="1" t="s">
        <v>588</v>
      </c>
      <c r="F173" s="2" t="s">
        <v>647</v>
      </c>
      <c r="G173" s="1">
        <f ca="1">IFERROR(__xludf.DUMMYFUNCTION("COUNTA(SPLIT(F173,"" ""))"),342)</f>
        <v>342</v>
      </c>
      <c r="H173" s="1">
        <v>342</v>
      </c>
      <c r="I173" s="1"/>
      <c r="J173" s="1"/>
      <c r="K173" s="1"/>
      <c r="L173" s="1"/>
      <c r="M173" s="1"/>
      <c r="N173" s="1"/>
      <c r="O173" s="1"/>
      <c r="P173" s="1"/>
      <c r="Q173" s="1"/>
      <c r="R173" s="1"/>
      <c r="S173" s="1"/>
      <c r="T173" s="1"/>
    </row>
    <row r="174" spans="1:20" ht="33.75" hidden="1" customHeight="1">
      <c r="A174" s="1" t="s">
        <v>648</v>
      </c>
      <c r="B174" s="1" t="s">
        <v>160</v>
      </c>
      <c r="C174" s="4">
        <v>39848.161111111112</v>
      </c>
      <c r="D174" s="1" t="s">
        <v>54</v>
      </c>
      <c r="E174" s="1" t="s">
        <v>612</v>
      </c>
      <c r="F174" s="2" t="s">
        <v>650</v>
      </c>
      <c r="G174" s="1">
        <f ca="1">IFERROR(__xludf.DUMMYFUNCTION("COUNTA(SPLIT(F174,"" ""))"),67)</f>
        <v>67</v>
      </c>
      <c r="H174" s="1">
        <v>67</v>
      </c>
      <c r="I174" s="1"/>
      <c r="J174" s="1"/>
      <c r="K174" s="1"/>
      <c r="L174" s="1"/>
      <c r="M174" s="1"/>
      <c r="N174" s="1"/>
      <c r="O174" s="1"/>
      <c r="P174" s="1"/>
      <c r="Q174" s="1"/>
      <c r="R174" s="1"/>
      <c r="S174" s="1"/>
      <c r="T174" s="1"/>
    </row>
    <row r="175" spans="1:20" ht="33.75" hidden="1" customHeight="1">
      <c r="A175" s="1" t="s">
        <v>651</v>
      </c>
      <c r="B175" s="1" t="s">
        <v>160</v>
      </c>
      <c r="C175" s="4">
        <v>39848.165277777778</v>
      </c>
      <c r="D175" s="1" t="s">
        <v>320</v>
      </c>
      <c r="E175" s="1" t="s">
        <v>392</v>
      </c>
      <c r="F175" s="2" t="s">
        <v>652</v>
      </c>
      <c r="G175" s="1">
        <f ca="1">IFERROR(__xludf.DUMMYFUNCTION("COUNTA(SPLIT(F175,"" ""))"),215)</f>
        <v>215</v>
      </c>
      <c r="H175" s="1">
        <v>215</v>
      </c>
      <c r="I175" s="1"/>
      <c r="J175" s="1"/>
      <c r="K175" s="1"/>
      <c r="L175" s="1"/>
      <c r="M175" s="1"/>
      <c r="N175" s="1"/>
      <c r="O175" s="1"/>
      <c r="P175" s="1"/>
      <c r="Q175" s="1"/>
      <c r="R175" s="1"/>
      <c r="S175" s="1"/>
      <c r="T175" s="1"/>
    </row>
    <row r="176" spans="1:20" ht="33.75" hidden="1" customHeight="1">
      <c r="A176" s="1" t="s">
        <v>653</v>
      </c>
      <c r="B176" s="1" t="s">
        <v>160</v>
      </c>
      <c r="C176" s="4">
        <v>39848.170138888891</v>
      </c>
      <c r="D176" s="1" t="s">
        <v>54</v>
      </c>
      <c r="E176" s="1" t="s">
        <v>592</v>
      </c>
      <c r="F176" s="2" t="s">
        <v>654</v>
      </c>
      <c r="G176" s="1">
        <f ca="1">IFERROR(__xludf.DUMMYFUNCTION("COUNTA(SPLIT(F176,"" ""))"),287)</f>
        <v>287</v>
      </c>
      <c r="H176" s="1">
        <v>287</v>
      </c>
      <c r="I176" s="1"/>
      <c r="J176" s="1"/>
      <c r="K176" s="1"/>
      <c r="L176" s="1"/>
      <c r="M176" s="1"/>
      <c r="N176" s="1"/>
      <c r="O176" s="1"/>
      <c r="P176" s="1"/>
      <c r="Q176" s="1"/>
      <c r="R176" s="1"/>
      <c r="S176" s="1"/>
      <c r="T176" s="1"/>
    </row>
    <row r="177" spans="1:20" ht="33.75" hidden="1" customHeight="1">
      <c r="A177" s="1" t="s">
        <v>655</v>
      </c>
      <c r="B177" s="1" t="s">
        <v>160</v>
      </c>
      <c r="C177" s="4">
        <v>39848.401388888888</v>
      </c>
      <c r="D177" s="1" t="s">
        <v>14</v>
      </c>
      <c r="E177" s="1" t="s">
        <v>656</v>
      </c>
      <c r="F177" s="2" t="s">
        <v>657</v>
      </c>
      <c r="G177" s="1">
        <f ca="1">IFERROR(__xludf.DUMMYFUNCTION("COUNTA(SPLIT(F177,"" ""))"),330)</f>
        <v>330</v>
      </c>
      <c r="H177" s="1">
        <v>330</v>
      </c>
      <c r="I177" s="1"/>
      <c r="J177" s="1"/>
      <c r="K177" s="1"/>
      <c r="L177" s="1"/>
      <c r="M177" s="1"/>
      <c r="N177" s="1"/>
      <c r="O177" s="1"/>
      <c r="P177" s="1"/>
      <c r="Q177" s="1"/>
      <c r="R177" s="1"/>
      <c r="S177" s="1"/>
      <c r="T177" s="1"/>
    </row>
    <row r="178" spans="1:20" ht="33.75" hidden="1" customHeight="1">
      <c r="A178" s="1" t="s">
        <v>658</v>
      </c>
      <c r="B178" s="1" t="s">
        <v>160</v>
      </c>
      <c r="C178" s="4">
        <v>39848.410416666666</v>
      </c>
      <c r="D178" s="1" t="s">
        <v>196</v>
      </c>
      <c r="E178" s="1" t="s">
        <v>631</v>
      </c>
      <c r="F178" s="2" t="s">
        <v>659</v>
      </c>
      <c r="G178" s="1">
        <f ca="1">IFERROR(__xludf.DUMMYFUNCTION("COUNTA(SPLIT(F178,"" ""))"),103)</f>
        <v>103</v>
      </c>
      <c r="H178" s="1">
        <v>103</v>
      </c>
      <c r="I178" s="1"/>
      <c r="J178" s="1"/>
      <c r="K178" s="1"/>
      <c r="L178" s="1"/>
      <c r="M178" s="1"/>
      <c r="N178" s="1"/>
      <c r="O178" s="1"/>
      <c r="P178" s="1"/>
      <c r="Q178" s="1"/>
      <c r="R178" s="1"/>
      <c r="S178" s="1"/>
      <c r="T178" s="1"/>
    </row>
    <row r="179" spans="1:20" ht="33.75" customHeight="1">
      <c r="A179" s="1" t="s">
        <v>660</v>
      </c>
      <c r="B179" s="1" t="s">
        <v>160</v>
      </c>
      <c r="C179" s="4">
        <v>39848.412499999999</v>
      </c>
      <c r="D179" s="1" t="s">
        <v>196</v>
      </c>
      <c r="E179" s="1"/>
      <c r="F179" s="2" t="s">
        <v>662</v>
      </c>
      <c r="G179" s="1">
        <f ca="1">IFERROR(__xludf.DUMMYFUNCTION("COUNTA(SPLIT(F179,"" ""))"),10)</f>
        <v>10</v>
      </c>
      <c r="H179" s="1">
        <v>10</v>
      </c>
      <c r="I179" s="1"/>
      <c r="J179" s="1"/>
      <c r="K179" s="1"/>
      <c r="L179" s="1"/>
      <c r="M179" s="1"/>
      <c r="N179" s="1"/>
      <c r="O179" s="1"/>
      <c r="P179" s="1"/>
      <c r="Q179" s="1"/>
      <c r="R179" s="1"/>
      <c r="S179" s="1"/>
      <c r="T179" s="1"/>
    </row>
    <row r="180" spans="1:20" ht="33.75" hidden="1" customHeight="1">
      <c r="A180" s="1" t="s">
        <v>663</v>
      </c>
      <c r="B180" s="1" t="s">
        <v>160</v>
      </c>
      <c r="C180" s="4">
        <v>39848.416666666664</v>
      </c>
      <c r="D180" s="1" t="s">
        <v>14</v>
      </c>
      <c r="E180" s="1" t="s">
        <v>655</v>
      </c>
      <c r="F180" s="2" t="s">
        <v>666</v>
      </c>
      <c r="G180" s="1">
        <f ca="1">IFERROR(__xludf.DUMMYFUNCTION("COUNTA(SPLIT(F180,"" ""))"),33)</f>
        <v>33</v>
      </c>
      <c r="H180" s="1">
        <v>33</v>
      </c>
      <c r="I180" s="1"/>
      <c r="J180" s="1"/>
      <c r="K180" s="1"/>
      <c r="L180" s="1"/>
      <c r="M180" s="1"/>
      <c r="N180" s="1"/>
      <c r="O180" s="1"/>
      <c r="P180" s="1"/>
      <c r="Q180" s="1"/>
      <c r="R180" s="1"/>
      <c r="S180" s="1"/>
      <c r="T180" s="1"/>
    </row>
    <row r="181" spans="1:20" ht="33.75" hidden="1" customHeight="1">
      <c r="A181" s="1" t="s">
        <v>667</v>
      </c>
      <c r="B181" s="1" t="s">
        <v>160</v>
      </c>
      <c r="C181" s="4">
        <v>39848.458333333336</v>
      </c>
      <c r="D181" s="1" t="s">
        <v>14</v>
      </c>
      <c r="E181" s="1" t="s">
        <v>658</v>
      </c>
      <c r="F181" s="2" t="s">
        <v>668</v>
      </c>
      <c r="G181" s="1">
        <f ca="1">IFERROR(__xludf.DUMMYFUNCTION("COUNTA(SPLIT(F181,"" ""))"),213)</f>
        <v>213</v>
      </c>
      <c r="H181" s="1">
        <v>213</v>
      </c>
      <c r="I181" s="1"/>
      <c r="J181" s="1"/>
      <c r="K181" s="1"/>
      <c r="L181" s="1"/>
      <c r="M181" s="1"/>
      <c r="N181" s="1"/>
      <c r="O181" s="1"/>
      <c r="P181" s="1"/>
      <c r="Q181" s="1"/>
      <c r="R181" s="1"/>
      <c r="S181" s="1"/>
      <c r="T181" s="1"/>
    </row>
    <row r="182" spans="1:20" ht="33.75" customHeight="1">
      <c r="A182" s="1" t="s">
        <v>669</v>
      </c>
      <c r="B182" s="1" t="s">
        <v>160</v>
      </c>
      <c r="C182" s="4">
        <v>39848.470138888886</v>
      </c>
      <c r="D182" s="1" t="s">
        <v>14</v>
      </c>
      <c r="E182" s="1"/>
      <c r="F182" s="2" t="s">
        <v>670</v>
      </c>
      <c r="G182" s="1">
        <f ca="1">IFERROR(__xludf.DUMMYFUNCTION("COUNTA(SPLIT(F182,"" ""))"),199)</f>
        <v>199</v>
      </c>
      <c r="H182" s="1">
        <v>199</v>
      </c>
      <c r="I182" s="1"/>
      <c r="J182" s="1"/>
      <c r="K182" s="1"/>
      <c r="L182" s="1"/>
      <c r="M182" s="1"/>
      <c r="N182" s="1"/>
      <c r="O182" s="1"/>
      <c r="P182" s="1"/>
      <c r="Q182" s="1"/>
      <c r="R182" s="1"/>
      <c r="S182" s="1"/>
      <c r="T182" s="1"/>
    </row>
    <row r="183" spans="1:20" ht="33.75" hidden="1" customHeight="1">
      <c r="A183" s="1" t="s">
        <v>671</v>
      </c>
      <c r="B183" s="1" t="s">
        <v>160</v>
      </c>
      <c r="C183" s="4">
        <v>39848.479861111111</v>
      </c>
      <c r="D183" s="1" t="s">
        <v>14</v>
      </c>
      <c r="E183" s="1" t="s">
        <v>672</v>
      </c>
      <c r="F183" s="2" t="s">
        <v>675</v>
      </c>
      <c r="G183" s="1">
        <f ca="1">IFERROR(__xludf.DUMMYFUNCTION("COUNTA(SPLIT(F183,"" ""))"),450)</f>
        <v>450</v>
      </c>
      <c r="H183" s="1">
        <v>450</v>
      </c>
      <c r="I183" s="1"/>
      <c r="J183" s="1"/>
      <c r="K183" s="1"/>
      <c r="L183" s="1"/>
      <c r="M183" s="1"/>
      <c r="N183" s="1"/>
      <c r="O183" s="1"/>
      <c r="P183" s="1"/>
      <c r="Q183" s="1"/>
      <c r="R183" s="1"/>
      <c r="S183" s="1"/>
      <c r="T183" s="1"/>
    </row>
    <row r="184" spans="1:20" ht="33.75" hidden="1" customHeight="1">
      <c r="A184" s="1" t="s">
        <v>676</v>
      </c>
      <c r="B184" s="1" t="s">
        <v>160</v>
      </c>
      <c r="C184" s="4">
        <v>39848.49722222222</v>
      </c>
      <c r="D184" s="1" t="s">
        <v>14</v>
      </c>
      <c r="E184" s="1" t="s">
        <v>677</v>
      </c>
      <c r="F184" s="2" t="s">
        <v>679</v>
      </c>
      <c r="G184" s="1">
        <f ca="1">IFERROR(__xludf.DUMMYFUNCTION("COUNTA(SPLIT(F184,"" ""))"),429)</f>
        <v>429</v>
      </c>
      <c r="H184" s="1">
        <v>429</v>
      </c>
      <c r="I184" s="1"/>
      <c r="J184" s="1"/>
      <c r="K184" s="1"/>
      <c r="L184" s="1"/>
      <c r="M184" s="1"/>
      <c r="N184" s="1"/>
      <c r="O184" s="1"/>
      <c r="P184" s="1"/>
      <c r="Q184" s="1"/>
      <c r="R184" s="1"/>
      <c r="S184" s="1"/>
      <c r="T184" s="1"/>
    </row>
    <row r="185" spans="1:20" ht="33.75" customHeight="1">
      <c r="A185" s="1" t="s">
        <v>12</v>
      </c>
      <c r="B185" s="1" t="s">
        <v>680</v>
      </c>
      <c r="C185" s="4">
        <v>39848.504895833335</v>
      </c>
      <c r="D185" s="1" t="s">
        <v>14</v>
      </c>
      <c r="E185" s="1"/>
      <c r="F185" s="2" t="s">
        <v>682</v>
      </c>
      <c r="G185" s="1">
        <f ca="1">IFERROR(__xludf.DUMMYFUNCTION("COUNTA(SPLIT(F185,"" ""))"),211)</f>
        <v>211</v>
      </c>
      <c r="H185" s="1">
        <v>211</v>
      </c>
      <c r="I185" s="1"/>
      <c r="J185" s="1"/>
      <c r="K185" s="1"/>
      <c r="L185" s="1"/>
      <c r="M185" s="1"/>
      <c r="N185" s="1"/>
      <c r="O185" s="1"/>
      <c r="P185" s="1"/>
      <c r="Q185" s="1"/>
      <c r="R185" s="1"/>
      <c r="S185" s="1"/>
      <c r="T185" s="1"/>
    </row>
    <row r="186" spans="1:20" ht="33.75" customHeight="1">
      <c r="A186" s="1" t="s">
        <v>683</v>
      </c>
      <c r="B186" s="1" t="s">
        <v>160</v>
      </c>
      <c r="C186" s="4">
        <v>39848.555555555555</v>
      </c>
      <c r="D186" s="1" t="s">
        <v>14</v>
      </c>
      <c r="E186" s="1"/>
      <c r="F186" s="2" t="s">
        <v>686</v>
      </c>
      <c r="G186" s="1">
        <f ca="1">IFERROR(__xludf.DUMMYFUNCTION("COUNTA(SPLIT(F186,"" ""))"),208)</f>
        <v>208</v>
      </c>
      <c r="H186" s="1">
        <v>208</v>
      </c>
      <c r="I186" s="1"/>
      <c r="J186" s="1"/>
      <c r="K186" s="1"/>
      <c r="L186" s="1"/>
      <c r="M186" s="1"/>
      <c r="N186" s="1"/>
      <c r="O186" s="1"/>
      <c r="P186" s="1"/>
      <c r="Q186" s="1"/>
      <c r="R186" s="1"/>
      <c r="S186" s="1"/>
      <c r="T186" s="1"/>
    </row>
    <row r="187" spans="1:20" ht="33.75" customHeight="1">
      <c r="A187" s="1" t="s">
        <v>687</v>
      </c>
      <c r="B187" s="1" t="s">
        <v>680</v>
      </c>
      <c r="C187" s="4">
        <v>39848.560416666667</v>
      </c>
      <c r="D187" s="1" t="s">
        <v>688</v>
      </c>
      <c r="E187" s="1"/>
      <c r="F187" s="2" t="s">
        <v>689</v>
      </c>
      <c r="G187" s="1">
        <f ca="1">IFERROR(__xludf.DUMMYFUNCTION("COUNTA(SPLIT(F187,"" ""))"),57)</f>
        <v>57</v>
      </c>
      <c r="H187" s="1">
        <v>57</v>
      </c>
      <c r="I187" s="1"/>
      <c r="J187" s="1"/>
      <c r="K187" s="1"/>
      <c r="L187" s="1"/>
      <c r="M187" s="1"/>
      <c r="N187" s="1"/>
      <c r="O187" s="1"/>
      <c r="P187" s="1"/>
      <c r="Q187" s="1"/>
      <c r="R187" s="1"/>
      <c r="S187" s="1"/>
      <c r="T187" s="1"/>
    </row>
    <row r="188" spans="1:20" ht="33.75" customHeight="1">
      <c r="A188" s="1" t="s">
        <v>690</v>
      </c>
      <c r="B188" s="1" t="s">
        <v>160</v>
      </c>
      <c r="C188" s="4">
        <v>39848.561805555553</v>
      </c>
      <c r="D188" s="1" t="s">
        <v>14</v>
      </c>
      <c r="E188" s="1"/>
      <c r="F188" s="2" t="s">
        <v>692</v>
      </c>
      <c r="G188" s="1">
        <f ca="1">IFERROR(__xludf.DUMMYFUNCTION("COUNTA(SPLIT(F188,"" ""))"),225)</f>
        <v>225</v>
      </c>
      <c r="H188" s="1">
        <v>225</v>
      </c>
      <c r="I188" s="1"/>
      <c r="J188" s="1"/>
      <c r="K188" s="1"/>
      <c r="L188" s="1"/>
      <c r="M188" s="1"/>
      <c r="N188" s="1"/>
      <c r="O188" s="1"/>
      <c r="P188" s="1"/>
      <c r="Q188" s="1"/>
      <c r="R188" s="1"/>
      <c r="S188" s="1"/>
      <c r="T188" s="1"/>
    </row>
    <row r="189" spans="1:20" ht="33.75" customHeight="1">
      <c r="A189" s="1" t="s">
        <v>693</v>
      </c>
      <c r="B189" s="1" t="s">
        <v>680</v>
      </c>
      <c r="C189" s="4">
        <v>39848.567361111112</v>
      </c>
      <c r="D189" s="1" t="s">
        <v>70</v>
      </c>
      <c r="E189" s="1"/>
      <c r="F189" s="2" t="s">
        <v>695</v>
      </c>
      <c r="G189" s="1">
        <f ca="1">IFERROR(__xludf.DUMMYFUNCTION("COUNTA(SPLIT(F189,"" ""))"),19)</f>
        <v>19</v>
      </c>
      <c r="H189" s="1">
        <v>19</v>
      </c>
      <c r="I189" s="1"/>
      <c r="J189" s="1"/>
      <c r="K189" s="1"/>
      <c r="L189" s="1"/>
      <c r="M189" s="1"/>
      <c r="N189" s="1"/>
      <c r="O189" s="1"/>
      <c r="P189" s="1"/>
      <c r="Q189" s="1"/>
      <c r="R189" s="1"/>
      <c r="S189" s="1"/>
      <c r="T189" s="1"/>
    </row>
    <row r="190" spans="1:20" ht="33.75" customHeight="1">
      <c r="A190" s="1" t="s">
        <v>696</v>
      </c>
      <c r="B190" s="1" t="s">
        <v>680</v>
      </c>
      <c r="C190" s="4">
        <v>39848.569444444445</v>
      </c>
      <c r="D190" s="1" t="s">
        <v>70</v>
      </c>
      <c r="E190" s="1"/>
      <c r="F190" s="2" t="s">
        <v>697</v>
      </c>
      <c r="G190" s="1">
        <f ca="1">IFERROR(__xludf.DUMMYFUNCTION("COUNTA(SPLIT(F190,"" ""))"),16)</f>
        <v>16</v>
      </c>
      <c r="H190" s="1">
        <v>16</v>
      </c>
      <c r="I190" s="1"/>
      <c r="J190" s="1"/>
      <c r="K190" s="1"/>
      <c r="L190" s="1"/>
      <c r="M190" s="1"/>
      <c r="N190" s="1"/>
      <c r="O190" s="1"/>
      <c r="P190" s="1"/>
      <c r="Q190" s="1"/>
      <c r="R190" s="1"/>
      <c r="S190" s="1"/>
      <c r="T190" s="1"/>
    </row>
    <row r="191" spans="1:20" ht="33.75" hidden="1" customHeight="1">
      <c r="A191" s="1" t="s">
        <v>698</v>
      </c>
      <c r="B191" s="1" t="s">
        <v>160</v>
      </c>
      <c r="C191" s="4">
        <v>39848.626388888886</v>
      </c>
      <c r="D191" s="1" t="s">
        <v>314</v>
      </c>
      <c r="E191" s="1">
        <v>31</v>
      </c>
      <c r="F191" s="2" t="s">
        <v>699</v>
      </c>
      <c r="G191" s="1">
        <f ca="1">IFERROR(__xludf.DUMMYFUNCTION("COUNTA(SPLIT(F191,"" ""))"),320)</f>
        <v>320</v>
      </c>
      <c r="H191" s="1">
        <v>320</v>
      </c>
      <c r="I191" s="1"/>
      <c r="J191" s="1"/>
      <c r="K191" s="1"/>
      <c r="L191" s="1"/>
      <c r="M191" s="1"/>
      <c r="N191" s="1"/>
      <c r="O191" s="1"/>
      <c r="P191" s="1"/>
      <c r="Q191" s="1"/>
      <c r="R191" s="1"/>
      <c r="S191" s="1"/>
      <c r="T191" s="1"/>
    </row>
    <row r="192" spans="1:20" ht="33.75" hidden="1" customHeight="1">
      <c r="A192" s="1" t="s">
        <v>700</v>
      </c>
      <c r="B192" s="1" t="s">
        <v>160</v>
      </c>
      <c r="C192" s="4">
        <v>39848.656944444447</v>
      </c>
      <c r="D192" s="1" t="s">
        <v>320</v>
      </c>
      <c r="E192" s="1" t="s">
        <v>663</v>
      </c>
      <c r="F192" s="2" t="s">
        <v>701</v>
      </c>
      <c r="G192" s="1">
        <f ca="1">IFERROR(__xludf.DUMMYFUNCTION("COUNTA(SPLIT(F192,"" ""))"),40)</f>
        <v>40</v>
      </c>
      <c r="H192" s="1">
        <v>40</v>
      </c>
      <c r="I192" s="1"/>
      <c r="J192" s="1"/>
      <c r="K192" s="1"/>
      <c r="L192" s="1"/>
      <c r="M192" s="1"/>
      <c r="N192" s="1"/>
      <c r="O192" s="1"/>
      <c r="P192" s="1"/>
      <c r="Q192" s="1"/>
      <c r="R192" s="1"/>
      <c r="S192" s="1"/>
      <c r="T192" s="1"/>
    </row>
    <row r="193" spans="1:20" ht="33.75" hidden="1" customHeight="1">
      <c r="A193" s="1" t="s">
        <v>702</v>
      </c>
      <c r="B193" s="1" t="s">
        <v>160</v>
      </c>
      <c r="C193" s="4">
        <v>39848.661111111112</v>
      </c>
      <c r="D193" s="1" t="s">
        <v>320</v>
      </c>
      <c r="E193" s="1" t="s">
        <v>703</v>
      </c>
      <c r="F193" s="2" t="s">
        <v>704</v>
      </c>
      <c r="G193" s="1">
        <f ca="1">IFERROR(__xludf.DUMMYFUNCTION("COUNTA(SPLIT(F193,"" ""))"),89)</f>
        <v>89</v>
      </c>
      <c r="H193" s="1">
        <v>89</v>
      </c>
      <c r="I193" s="1"/>
      <c r="J193" s="1"/>
      <c r="K193" s="1"/>
      <c r="L193" s="1"/>
      <c r="M193" s="1"/>
      <c r="N193" s="1"/>
      <c r="O193" s="1"/>
      <c r="P193" s="1"/>
      <c r="Q193" s="1"/>
      <c r="R193" s="1"/>
      <c r="S193" s="1"/>
      <c r="T193" s="1"/>
    </row>
    <row r="194" spans="1:20" ht="33.75" hidden="1" customHeight="1">
      <c r="A194" s="1" t="s">
        <v>705</v>
      </c>
      <c r="B194" s="1" t="s">
        <v>160</v>
      </c>
      <c r="C194" s="4">
        <v>39848.661805555559</v>
      </c>
      <c r="D194" s="1" t="s">
        <v>320</v>
      </c>
      <c r="E194" s="1" t="s">
        <v>706</v>
      </c>
      <c r="F194" s="2" t="s">
        <v>707</v>
      </c>
      <c r="G194" s="1">
        <f ca="1">IFERROR(__xludf.DUMMYFUNCTION("COUNTA(SPLIT(F194,"" ""))"),67)</f>
        <v>67</v>
      </c>
      <c r="H194" s="1">
        <v>67</v>
      </c>
      <c r="I194" s="1"/>
      <c r="J194" s="1"/>
      <c r="K194" s="1"/>
      <c r="L194" s="1"/>
      <c r="M194" s="1"/>
      <c r="N194" s="1"/>
      <c r="O194" s="1"/>
      <c r="P194" s="1"/>
      <c r="Q194" s="1"/>
      <c r="R194" s="1"/>
      <c r="S194" s="1"/>
      <c r="T194" s="1"/>
    </row>
    <row r="195" spans="1:20" ht="33.75" hidden="1" customHeight="1">
      <c r="A195" s="1" t="s">
        <v>708</v>
      </c>
      <c r="B195" s="1" t="s">
        <v>160</v>
      </c>
      <c r="C195" s="4">
        <v>39848.694444444445</v>
      </c>
      <c r="D195" s="1" t="s">
        <v>84</v>
      </c>
      <c r="E195" s="1" t="s">
        <v>709</v>
      </c>
      <c r="F195" s="2" t="s">
        <v>711</v>
      </c>
      <c r="G195" s="1">
        <f ca="1">IFERROR(__xludf.DUMMYFUNCTION("COUNTA(SPLIT(F195,"" ""))"),95)</f>
        <v>95</v>
      </c>
      <c r="H195" s="1">
        <v>95</v>
      </c>
      <c r="I195" s="1"/>
      <c r="J195" s="1"/>
      <c r="K195" s="1"/>
      <c r="L195" s="1"/>
      <c r="M195" s="1"/>
      <c r="N195" s="1"/>
      <c r="O195" s="1"/>
      <c r="P195" s="1"/>
      <c r="Q195" s="1"/>
      <c r="R195" s="1"/>
      <c r="S195" s="1"/>
      <c r="T195" s="1"/>
    </row>
    <row r="196" spans="1:20" ht="33.75" customHeight="1">
      <c r="A196" s="1" t="s">
        <v>712</v>
      </c>
      <c r="B196" s="1" t="s">
        <v>680</v>
      </c>
      <c r="C196" s="4">
        <v>39848.697916666664</v>
      </c>
      <c r="D196" s="1" t="s">
        <v>84</v>
      </c>
      <c r="E196" s="1"/>
      <c r="F196" s="2" t="s">
        <v>714</v>
      </c>
      <c r="G196" s="1">
        <f ca="1">IFERROR(__xludf.DUMMYFUNCTION("COUNTA(SPLIT(F196,"" ""))"),49)</f>
        <v>49</v>
      </c>
      <c r="H196" s="1">
        <v>49</v>
      </c>
      <c r="I196" s="1"/>
      <c r="J196" s="1"/>
      <c r="K196" s="1"/>
      <c r="L196" s="1"/>
      <c r="M196" s="1"/>
      <c r="N196" s="1"/>
      <c r="O196" s="1"/>
      <c r="P196" s="1"/>
      <c r="Q196" s="1"/>
      <c r="R196" s="1"/>
      <c r="S196" s="1"/>
      <c r="T196" s="1"/>
    </row>
    <row r="197" spans="1:20" ht="33.75" hidden="1" customHeight="1">
      <c r="A197" s="1" t="s">
        <v>715</v>
      </c>
      <c r="B197" s="1" t="s">
        <v>160</v>
      </c>
      <c r="C197" s="4">
        <v>39848.722916666666</v>
      </c>
      <c r="D197" s="1" t="s">
        <v>14</v>
      </c>
      <c r="E197" s="1" t="s">
        <v>700</v>
      </c>
      <c r="F197" s="2" t="s">
        <v>716</v>
      </c>
      <c r="G197" s="1">
        <f ca="1">IFERROR(__xludf.DUMMYFUNCTION("COUNTA(SPLIT(F197,"" ""))"),55)</f>
        <v>55</v>
      </c>
      <c r="H197" s="1">
        <v>55</v>
      </c>
      <c r="I197" s="1"/>
      <c r="J197" s="1"/>
      <c r="K197" s="1"/>
      <c r="L197" s="1"/>
      <c r="M197" s="1"/>
      <c r="N197" s="1"/>
      <c r="O197" s="1"/>
      <c r="P197" s="1"/>
      <c r="Q197" s="1"/>
      <c r="R197" s="1"/>
      <c r="S197" s="1"/>
      <c r="T197" s="1"/>
    </row>
    <row r="198" spans="1:20" ht="33.75" customHeight="1">
      <c r="A198" s="1" t="s">
        <v>717</v>
      </c>
      <c r="B198" s="1" t="s">
        <v>680</v>
      </c>
      <c r="C198" s="4">
        <v>39848.743055555555</v>
      </c>
      <c r="D198" s="1" t="s">
        <v>416</v>
      </c>
      <c r="E198" s="1"/>
      <c r="F198" s="2" t="s">
        <v>719</v>
      </c>
      <c r="G198" s="1">
        <f ca="1">IFERROR(__xludf.DUMMYFUNCTION("COUNTA(SPLIT(F198,"" ""))"),117)</f>
        <v>117</v>
      </c>
      <c r="H198" s="1">
        <v>117</v>
      </c>
      <c r="I198" s="1"/>
      <c r="J198" s="1"/>
      <c r="K198" s="1"/>
      <c r="L198" s="1"/>
      <c r="M198" s="1"/>
      <c r="N198" s="1"/>
      <c r="O198" s="1"/>
      <c r="P198" s="1"/>
      <c r="Q198" s="1"/>
      <c r="R198" s="1"/>
      <c r="S198" s="1"/>
      <c r="T198" s="1"/>
    </row>
    <row r="199" spans="1:20" ht="33.75" hidden="1" customHeight="1">
      <c r="A199" s="1" t="s">
        <v>720</v>
      </c>
      <c r="B199" s="1" t="s">
        <v>160</v>
      </c>
      <c r="C199" s="4">
        <v>39848.75</v>
      </c>
      <c r="D199" s="1" t="s">
        <v>14</v>
      </c>
      <c r="E199" s="1" t="s">
        <v>721</v>
      </c>
      <c r="F199" s="2" t="s">
        <v>723</v>
      </c>
      <c r="G199" s="1">
        <f ca="1">IFERROR(__xludf.DUMMYFUNCTION("COUNTA(SPLIT(F199,"" ""))"),354)</f>
        <v>354</v>
      </c>
      <c r="H199" s="1">
        <v>354</v>
      </c>
      <c r="I199" s="1"/>
      <c r="J199" s="1"/>
      <c r="K199" s="1"/>
      <c r="L199" s="1"/>
      <c r="M199" s="1"/>
      <c r="N199" s="1"/>
      <c r="O199" s="1"/>
      <c r="P199" s="1"/>
      <c r="Q199" s="1"/>
      <c r="R199" s="1"/>
      <c r="S199" s="1"/>
      <c r="T199" s="1"/>
    </row>
    <row r="200" spans="1:20" ht="33.75" hidden="1" customHeight="1">
      <c r="A200" s="1" t="s">
        <v>724</v>
      </c>
      <c r="B200" s="1" t="s">
        <v>160</v>
      </c>
      <c r="C200" s="4">
        <v>39848.761805555558</v>
      </c>
      <c r="D200" s="1" t="s">
        <v>320</v>
      </c>
      <c r="E200" s="1" t="s">
        <v>715</v>
      </c>
      <c r="F200" s="2" t="s">
        <v>725</v>
      </c>
      <c r="G200" s="1">
        <f ca="1">IFERROR(__xludf.DUMMYFUNCTION("COUNTA(SPLIT(F200,"" ""))"),193)</f>
        <v>193</v>
      </c>
      <c r="H200" s="1">
        <v>193</v>
      </c>
      <c r="I200" s="1"/>
      <c r="J200" s="1"/>
      <c r="K200" s="1"/>
      <c r="L200" s="1"/>
      <c r="M200" s="1"/>
      <c r="N200" s="1"/>
      <c r="O200" s="1"/>
      <c r="P200" s="1"/>
      <c r="Q200" s="1"/>
      <c r="R200" s="1"/>
      <c r="S200" s="1"/>
      <c r="T200" s="1"/>
    </row>
    <row r="201" spans="1:20" ht="33.75" hidden="1" customHeight="1">
      <c r="A201" s="1" t="s">
        <v>726</v>
      </c>
      <c r="B201" s="1" t="s">
        <v>160</v>
      </c>
      <c r="C201" s="4">
        <v>39848.770138888889</v>
      </c>
      <c r="D201" s="1" t="s">
        <v>54</v>
      </c>
      <c r="E201" s="1" t="s">
        <v>727</v>
      </c>
      <c r="F201" s="2" t="s">
        <v>729</v>
      </c>
      <c r="G201" s="1">
        <f ca="1">IFERROR(__xludf.DUMMYFUNCTION("COUNTA(SPLIT(F201,"" ""))"),469)</f>
        <v>469</v>
      </c>
      <c r="H201" s="1">
        <v>469</v>
      </c>
      <c r="I201" s="1"/>
      <c r="J201" s="1"/>
      <c r="K201" s="1"/>
      <c r="L201" s="1"/>
      <c r="M201" s="1"/>
      <c r="N201" s="1"/>
      <c r="O201" s="1"/>
      <c r="P201" s="1"/>
      <c r="Q201" s="1"/>
      <c r="R201" s="1"/>
      <c r="S201" s="1"/>
      <c r="T201" s="1"/>
    </row>
    <row r="202" spans="1:20" ht="33.75" hidden="1" customHeight="1">
      <c r="A202" s="1" t="s">
        <v>730</v>
      </c>
      <c r="B202" s="1" t="s">
        <v>160</v>
      </c>
      <c r="C202" s="4">
        <v>39848.772916666669</v>
      </c>
      <c r="D202" s="1" t="s">
        <v>14</v>
      </c>
      <c r="E202" s="1" t="s">
        <v>731</v>
      </c>
      <c r="F202" s="2" t="s">
        <v>732</v>
      </c>
      <c r="G202" s="1">
        <f ca="1">IFERROR(__xludf.DUMMYFUNCTION("COUNTA(SPLIT(F202,"" ""))"),76)</f>
        <v>76</v>
      </c>
      <c r="H202" s="1">
        <v>76</v>
      </c>
      <c r="I202" s="1"/>
      <c r="J202" s="1"/>
      <c r="K202" s="1"/>
      <c r="L202" s="1"/>
      <c r="M202" s="1"/>
      <c r="N202" s="1"/>
      <c r="O202" s="1"/>
      <c r="P202" s="1"/>
      <c r="Q202" s="1"/>
      <c r="R202" s="1"/>
      <c r="S202" s="1"/>
      <c r="T202" s="1"/>
    </row>
    <row r="203" spans="1:20" ht="33.75" hidden="1" customHeight="1">
      <c r="A203" s="1" t="s">
        <v>733</v>
      </c>
      <c r="B203" s="1" t="s">
        <v>160</v>
      </c>
      <c r="C203" s="4">
        <v>39848.776388888888</v>
      </c>
      <c r="D203" s="1" t="s">
        <v>54</v>
      </c>
      <c r="E203" s="1" t="s">
        <v>724</v>
      </c>
      <c r="F203" s="2" t="s">
        <v>734</v>
      </c>
      <c r="G203" s="1">
        <f ca="1">IFERROR(__xludf.DUMMYFUNCTION("COUNTA(SPLIT(F203,"" ""))"),292)</f>
        <v>292</v>
      </c>
      <c r="H203" s="1">
        <v>292</v>
      </c>
      <c r="I203" s="1"/>
      <c r="J203" s="1"/>
      <c r="K203" s="1"/>
      <c r="L203" s="1"/>
      <c r="M203" s="1"/>
      <c r="N203" s="1"/>
      <c r="O203" s="1"/>
      <c r="P203" s="1"/>
      <c r="Q203" s="1"/>
      <c r="R203" s="1"/>
      <c r="S203" s="1"/>
      <c r="T203" s="1"/>
    </row>
    <row r="204" spans="1:20" ht="33.75" hidden="1" customHeight="1">
      <c r="A204" s="1" t="s">
        <v>735</v>
      </c>
      <c r="B204" s="1" t="s">
        <v>160</v>
      </c>
      <c r="C204" s="4">
        <v>39848.789583333331</v>
      </c>
      <c r="D204" s="1" t="s">
        <v>54</v>
      </c>
      <c r="E204" s="1" t="s">
        <v>733</v>
      </c>
      <c r="F204" s="2" t="s">
        <v>738</v>
      </c>
      <c r="G204" s="1">
        <f ca="1">IFERROR(__xludf.DUMMYFUNCTION("COUNTA(SPLIT(F204,"" ""))"),296)</f>
        <v>296</v>
      </c>
      <c r="H204" s="1">
        <v>296</v>
      </c>
      <c r="I204" s="1"/>
      <c r="J204" s="1"/>
      <c r="K204" s="1"/>
      <c r="L204" s="1"/>
      <c r="M204" s="1"/>
      <c r="N204" s="1"/>
      <c r="O204" s="1"/>
      <c r="P204" s="1"/>
      <c r="Q204" s="1"/>
      <c r="R204" s="1"/>
      <c r="S204" s="1"/>
      <c r="T204" s="1"/>
    </row>
    <row r="205" spans="1:20" ht="33.75" hidden="1" customHeight="1">
      <c r="A205" s="1" t="s">
        <v>739</v>
      </c>
      <c r="B205" s="1" t="s">
        <v>160</v>
      </c>
      <c r="C205" s="4">
        <v>39848.792361111111</v>
      </c>
      <c r="D205" s="1" t="s">
        <v>320</v>
      </c>
      <c r="E205" s="1" t="s">
        <v>733</v>
      </c>
      <c r="F205" s="2" t="s">
        <v>740</v>
      </c>
      <c r="G205" s="1">
        <f ca="1">IFERROR(__xludf.DUMMYFUNCTION("COUNTA(SPLIT(F205,"" ""))"),37)</f>
        <v>37</v>
      </c>
      <c r="H205" s="1">
        <v>37</v>
      </c>
      <c r="I205" s="1"/>
      <c r="J205" s="1"/>
      <c r="K205" s="1"/>
      <c r="L205" s="1"/>
      <c r="M205" s="1"/>
      <c r="N205" s="1"/>
      <c r="O205" s="1"/>
      <c r="P205" s="1"/>
      <c r="Q205" s="1"/>
      <c r="R205" s="1"/>
      <c r="S205" s="1"/>
      <c r="T205" s="1"/>
    </row>
    <row r="206" spans="1:20" ht="33.75" customHeight="1">
      <c r="A206" s="1" t="s">
        <v>741</v>
      </c>
      <c r="B206" s="3" t="s">
        <v>13</v>
      </c>
      <c r="C206" s="4">
        <v>39848.79583333333</v>
      </c>
      <c r="D206" s="1" t="s">
        <v>742</v>
      </c>
      <c r="E206" s="1"/>
      <c r="F206" s="2" t="s">
        <v>744</v>
      </c>
      <c r="G206" s="1">
        <f ca="1">IFERROR(__xludf.DUMMYFUNCTION("COUNTA(SPLIT(F206,"" ""))"),148)</f>
        <v>148</v>
      </c>
      <c r="H206" s="1">
        <v>148</v>
      </c>
      <c r="I206" s="1"/>
      <c r="J206" s="1"/>
      <c r="K206" s="1"/>
      <c r="L206" s="1"/>
      <c r="M206" s="1"/>
      <c r="N206" s="1"/>
      <c r="O206" s="1"/>
      <c r="P206" s="1"/>
      <c r="Q206" s="1"/>
      <c r="R206" s="1"/>
      <c r="S206" s="1"/>
      <c r="T206" s="1"/>
    </row>
    <row r="207" spans="1:20" ht="33.75" customHeight="1">
      <c r="A207" s="1" t="s">
        <v>745</v>
      </c>
      <c r="B207" s="1" t="s">
        <v>160</v>
      </c>
      <c r="C207" s="4">
        <v>39848.801388888889</v>
      </c>
      <c r="D207" s="1" t="s">
        <v>320</v>
      </c>
      <c r="E207" s="1"/>
      <c r="F207" s="2" t="s">
        <v>747</v>
      </c>
      <c r="G207" s="1">
        <f ca="1">IFERROR(__xludf.DUMMYFUNCTION("COUNTA(SPLIT(F207,"" ""))"),50)</f>
        <v>50</v>
      </c>
      <c r="H207" s="1">
        <v>50</v>
      </c>
      <c r="I207" s="1"/>
      <c r="J207" s="1"/>
      <c r="K207" s="1"/>
      <c r="L207" s="1"/>
      <c r="M207" s="1"/>
      <c r="N207" s="1"/>
      <c r="O207" s="1"/>
      <c r="P207" s="1"/>
      <c r="Q207" s="1"/>
      <c r="R207" s="1"/>
      <c r="S207" s="1"/>
      <c r="T207" s="1"/>
    </row>
    <row r="208" spans="1:20" ht="33.75" hidden="1" customHeight="1">
      <c r="A208" s="1" t="s">
        <v>748</v>
      </c>
      <c r="B208" s="1" t="s">
        <v>680</v>
      </c>
      <c r="C208" s="4">
        <v>39848.811805555553</v>
      </c>
      <c r="D208" s="1" t="s">
        <v>688</v>
      </c>
      <c r="E208" s="1" t="s">
        <v>717</v>
      </c>
      <c r="F208" s="2" t="s">
        <v>750</v>
      </c>
      <c r="G208" s="1">
        <f ca="1">IFERROR(__xludf.DUMMYFUNCTION("COUNTA(SPLIT(F208,"" ""))"),16)</f>
        <v>16</v>
      </c>
      <c r="H208" s="1">
        <v>16</v>
      </c>
      <c r="I208" s="1"/>
      <c r="J208" s="1"/>
      <c r="K208" s="1"/>
      <c r="L208" s="1"/>
      <c r="M208" s="1"/>
      <c r="N208" s="1"/>
      <c r="O208" s="1"/>
      <c r="P208" s="1"/>
      <c r="Q208" s="1"/>
      <c r="R208" s="1"/>
      <c r="S208" s="1"/>
      <c r="T208" s="1"/>
    </row>
    <row r="209" spans="1:20" ht="33.75" hidden="1" customHeight="1">
      <c r="A209" s="1" t="s">
        <v>751</v>
      </c>
      <c r="B209" s="1" t="s">
        <v>160</v>
      </c>
      <c r="C209" s="4">
        <v>39848.820138888892</v>
      </c>
      <c r="D209" s="1" t="s">
        <v>196</v>
      </c>
      <c r="E209" s="1" t="s">
        <v>667</v>
      </c>
      <c r="F209" s="2" t="s">
        <v>752</v>
      </c>
      <c r="G209" s="1">
        <f ca="1">IFERROR(__xludf.DUMMYFUNCTION("COUNTA(SPLIT(F209,"" ""))"),87)</f>
        <v>87</v>
      </c>
      <c r="H209" s="1">
        <v>87</v>
      </c>
      <c r="I209" s="1"/>
      <c r="J209" s="1"/>
      <c r="K209" s="1"/>
      <c r="L209" s="1"/>
      <c r="M209" s="1"/>
      <c r="N209" s="1"/>
      <c r="O209" s="1"/>
      <c r="P209" s="1"/>
      <c r="Q209" s="1"/>
      <c r="R209" s="1"/>
      <c r="S209" s="1"/>
      <c r="T209" s="1"/>
    </row>
    <row r="210" spans="1:20" ht="33.75" hidden="1" customHeight="1">
      <c r="A210" s="1" t="s">
        <v>753</v>
      </c>
      <c r="B210" s="1" t="s">
        <v>160</v>
      </c>
      <c r="C210" s="4">
        <v>39848.824999999997</v>
      </c>
      <c r="D210" s="1" t="s">
        <v>255</v>
      </c>
      <c r="E210" s="1">
        <v>111</v>
      </c>
      <c r="F210" s="2" t="s">
        <v>755</v>
      </c>
      <c r="G210" s="1">
        <f ca="1">IFERROR(__xludf.DUMMYFUNCTION("COUNTA(SPLIT(F210,"" ""))"),32)</f>
        <v>32</v>
      </c>
      <c r="H210" s="1">
        <v>32</v>
      </c>
      <c r="I210" s="1"/>
      <c r="J210" s="1"/>
      <c r="K210" s="1"/>
      <c r="L210" s="1"/>
      <c r="M210" s="1"/>
      <c r="N210" s="1"/>
      <c r="O210" s="1"/>
      <c r="P210" s="1"/>
      <c r="Q210" s="1"/>
      <c r="R210" s="1"/>
      <c r="S210" s="1"/>
      <c r="T210" s="1"/>
    </row>
    <row r="211" spans="1:20" ht="33.75" customHeight="1">
      <c r="A211" s="1" t="s">
        <v>756</v>
      </c>
      <c r="B211" s="3" t="s">
        <v>13</v>
      </c>
      <c r="C211" s="4">
        <v>39848.838194444441</v>
      </c>
      <c r="D211" s="1" t="s">
        <v>688</v>
      </c>
      <c r="E211" s="1"/>
      <c r="F211" s="2" t="s">
        <v>758</v>
      </c>
      <c r="G211" s="1">
        <f ca="1">IFERROR(__xludf.DUMMYFUNCTION("COUNTA(SPLIT(F211,"" ""))"),65)</f>
        <v>65</v>
      </c>
      <c r="H211" s="1">
        <v>65</v>
      </c>
      <c r="I211" s="1"/>
      <c r="J211" s="1"/>
      <c r="K211" s="1"/>
      <c r="L211" s="1"/>
      <c r="M211" s="1"/>
      <c r="N211" s="1"/>
      <c r="O211" s="1"/>
      <c r="P211" s="1"/>
      <c r="Q211" s="1"/>
      <c r="R211" s="1"/>
      <c r="S211" s="1"/>
      <c r="T211" s="1"/>
    </row>
    <row r="212" spans="1:20" ht="33.75" hidden="1" customHeight="1">
      <c r="A212" s="1" t="s">
        <v>759</v>
      </c>
      <c r="B212" s="1" t="s">
        <v>160</v>
      </c>
      <c r="C212" s="4">
        <v>39848.84652777778</v>
      </c>
      <c r="D212" s="1" t="s">
        <v>760</v>
      </c>
      <c r="E212" s="1" t="s">
        <v>398</v>
      </c>
      <c r="F212" s="2" t="s">
        <v>761</v>
      </c>
      <c r="G212" s="1">
        <f ca="1">IFERROR(__xludf.DUMMYFUNCTION("COUNTA(SPLIT(F212,"" ""))"),35)</f>
        <v>35</v>
      </c>
      <c r="H212" s="1">
        <v>35</v>
      </c>
      <c r="I212" s="1"/>
      <c r="J212" s="1"/>
      <c r="K212" s="1"/>
      <c r="L212" s="1"/>
      <c r="M212" s="1"/>
      <c r="N212" s="1"/>
      <c r="O212" s="1"/>
      <c r="P212" s="1"/>
      <c r="Q212" s="1"/>
      <c r="R212" s="1"/>
      <c r="S212" s="1"/>
      <c r="T212" s="1"/>
    </row>
    <row r="213" spans="1:20" ht="33.75" hidden="1" customHeight="1">
      <c r="A213" s="1" t="s">
        <v>762</v>
      </c>
      <c r="B213" s="1" t="s">
        <v>160</v>
      </c>
      <c r="C213" s="4">
        <v>39848.854166666664</v>
      </c>
      <c r="D213" s="1" t="s">
        <v>54</v>
      </c>
      <c r="E213" s="1" t="s">
        <v>739</v>
      </c>
      <c r="F213" s="2" t="s">
        <v>763</v>
      </c>
      <c r="G213" s="1">
        <f ca="1">IFERROR(__xludf.DUMMYFUNCTION("COUNTA(SPLIT(F213,"" ""))"),117)</f>
        <v>117</v>
      </c>
      <c r="H213" s="1">
        <v>117</v>
      </c>
      <c r="I213" s="1"/>
      <c r="J213" s="1"/>
      <c r="K213" s="1"/>
      <c r="L213" s="1"/>
      <c r="M213" s="1"/>
      <c r="N213" s="1"/>
      <c r="O213" s="1"/>
      <c r="P213" s="1"/>
      <c r="Q213" s="1"/>
      <c r="R213" s="1"/>
      <c r="S213" s="1"/>
      <c r="T213" s="1"/>
    </row>
    <row r="214" spans="1:20" ht="33.75" customHeight="1">
      <c r="A214" s="1" t="s">
        <v>764</v>
      </c>
      <c r="B214" s="1" t="s">
        <v>680</v>
      </c>
      <c r="C214" s="4">
        <v>39848.857638888891</v>
      </c>
      <c r="D214" s="1" t="s">
        <v>54</v>
      </c>
      <c r="E214" s="1"/>
      <c r="F214" s="2" t="s">
        <v>765</v>
      </c>
      <c r="G214" s="1">
        <f ca="1">IFERROR(__xludf.DUMMYFUNCTION("COUNTA(SPLIT(F214,"" ""))"),76)</f>
        <v>76</v>
      </c>
      <c r="H214" s="1">
        <v>76</v>
      </c>
      <c r="I214" s="1"/>
      <c r="J214" s="1"/>
      <c r="K214" s="1"/>
      <c r="L214" s="1"/>
      <c r="M214" s="1"/>
      <c r="N214" s="1"/>
      <c r="O214" s="1"/>
      <c r="P214" s="1"/>
      <c r="Q214" s="1"/>
      <c r="R214" s="1"/>
      <c r="S214" s="1"/>
      <c r="T214" s="1"/>
    </row>
    <row r="215" spans="1:20" ht="33.75" hidden="1" customHeight="1">
      <c r="A215" s="1" t="s">
        <v>766</v>
      </c>
      <c r="B215" s="1" t="s">
        <v>160</v>
      </c>
      <c r="C215" s="4">
        <v>39848.87777777778</v>
      </c>
      <c r="D215" s="1" t="s">
        <v>54</v>
      </c>
      <c r="E215" s="1" t="s">
        <v>767</v>
      </c>
      <c r="F215" s="2" t="s">
        <v>770</v>
      </c>
      <c r="G215" s="1">
        <f ca="1">IFERROR(__xludf.DUMMYFUNCTION("COUNTA(SPLIT(F215,"" ""))"),84)</f>
        <v>84</v>
      </c>
      <c r="H215" s="1">
        <v>84</v>
      </c>
      <c r="I215" s="1"/>
      <c r="J215" s="1"/>
      <c r="K215" s="1"/>
      <c r="L215" s="1"/>
      <c r="M215" s="1"/>
      <c r="N215" s="1"/>
      <c r="O215" s="1"/>
      <c r="P215" s="1"/>
      <c r="Q215" s="1"/>
      <c r="R215" s="1"/>
      <c r="S215" s="1"/>
      <c r="T215" s="1"/>
    </row>
    <row r="216" spans="1:20" ht="33.75" customHeight="1">
      <c r="A216" s="1" t="s">
        <v>771</v>
      </c>
      <c r="B216" s="1" t="s">
        <v>680</v>
      </c>
      <c r="C216" s="4">
        <v>39848.911111111112</v>
      </c>
      <c r="D216" s="1" t="s">
        <v>772</v>
      </c>
      <c r="E216" s="1"/>
      <c r="F216" s="2" t="s">
        <v>773</v>
      </c>
      <c r="G216" s="1">
        <f ca="1">IFERROR(__xludf.DUMMYFUNCTION("COUNTA(SPLIT(F216,"" ""))"),34)</f>
        <v>34</v>
      </c>
      <c r="H216" s="1">
        <v>34</v>
      </c>
      <c r="I216" s="1"/>
      <c r="J216" s="1"/>
      <c r="K216" s="1"/>
      <c r="L216" s="1"/>
      <c r="M216" s="1"/>
      <c r="N216" s="1"/>
      <c r="O216" s="1"/>
      <c r="P216" s="1"/>
      <c r="Q216" s="1"/>
      <c r="R216" s="1"/>
      <c r="S216" s="1"/>
      <c r="T216" s="1"/>
    </row>
    <row r="217" spans="1:20" ht="33.75" customHeight="1">
      <c r="A217" s="1" t="s">
        <v>774</v>
      </c>
      <c r="B217" s="1" t="s">
        <v>680</v>
      </c>
      <c r="C217" s="4">
        <v>39848.953472222223</v>
      </c>
      <c r="D217" s="1" t="s">
        <v>101</v>
      </c>
      <c r="E217" s="1"/>
      <c r="F217" s="2" t="s">
        <v>775</v>
      </c>
      <c r="G217" s="1">
        <f ca="1">IFERROR(__xludf.DUMMYFUNCTION("COUNTA(SPLIT(F217,"" ""))"),57)</f>
        <v>57</v>
      </c>
      <c r="H217" s="1">
        <v>57</v>
      </c>
      <c r="I217" s="1"/>
      <c r="J217" s="1"/>
      <c r="K217" s="1"/>
      <c r="L217" s="1"/>
      <c r="M217" s="1"/>
      <c r="N217" s="1"/>
      <c r="O217" s="1"/>
      <c r="P217" s="1"/>
      <c r="Q217" s="1"/>
      <c r="R217" s="1"/>
      <c r="S217" s="1"/>
      <c r="T217" s="1"/>
    </row>
    <row r="218" spans="1:20" ht="33.75" hidden="1" customHeight="1">
      <c r="A218" s="1" t="s">
        <v>776</v>
      </c>
      <c r="B218" s="1" t="s">
        <v>160</v>
      </c>
      <c r="C218" s="4">
        <v>39848.954861111109</v>
      </c>
      <c r="D218" s="1" t="s">
        <v>14</v>
      </c>
      <c r="E218" s="1" t="s">
        <v>751</v>
      </c>
      <c r="F218" s="2" t="s">
        <v>778</v>
      </c>
      <c r="G218" s="1">
        <f ca="1">IFERROR(__xludf.DUMMYFUNCTION("COUNTA(SPLIT(F218,"" ""))"),116)</f>
        <v>116</v>
      </c>
      <c r="H218" s="1">
        <v>116</v>
      </c>
      <c r="I218" s="1"/>
      <c r="J218" s="1"/>
      <c r="K218" s="1"/>
      <c r="L218" s="1"/>
      <c r="M218" s="1"/>
      <c r="N218" s="1"/>
      <c r="O218" s="1"/>
      <c r="P218" s="1"/>
      <c r="Q218" s="1"/>
      <c r="R218" s="1"/>
      <c r="S218" s="1"/>
      <c r="T218" s="1"/>
    </row>
    <row r="219" spans="1:20" ht="33.75" customHeight="1">
      <c r="A219" s="1" t="s">
        <v>779</v>
      </c>
      <c r="B219" s="1" t="s">
        <v>160</v>
      </c>
      <c r="C219" s="4">
        <v>39848.959027777775</v>
      </c>
      <c r="D219" s="1" t="s">
        <v>14</v>
      </c>
      <c r="E219" s="1"/>
      <c r="F219" s="2" t="s">
        <v>781</v>
      </c>
      <c r="G219" s="1">
        <f ca="1">IFERROR(__xludf.DUMMYFUNCTION("COUNTA(SPLIT(F219,"" ""))"),101)</f>
        <v>101</v>
      </c>
      <c r="H219" s="1">
        <v>101</v>
      </c>
      <c r="I219" s="1"/>
      <c r="J219" s="1"/>
      <c r="K219" s="1"/>
      <c r="L219" s="1"/>
      <c r="M219" s="1"/>
      <c r="N219" s="1"/>
      <c r="O219" s="1"/>
      <c r="P219" s="1"/>
      <c r="Q219" s="1"/>
      <c r="R219" s="1"/>
      <c r="S219" s="1"/>
      <c r="T219" s="1"/>
    </row>
    <row r="220" spans="1:20" ht="33.75" customHeight="1">
      <c r="A220" s="1" t="s">
        <v>782</v>
      </c>
      <c r="B220" s="1" t="s">
        <v>680</v>
      </c>
      <c r="C220" s="4">
        <v>39848.963888888888</v>
      </c>
      <c r="D220" s="1" t="s">
        <v>14</v>
      </c>
      <c r="E220" s="1"/>
      <c r="F220" s="2" t="s">
        <v>784</v>
      </c>
      <c r="G220" s="1">
        <f ca="1">IFERROR(__xludf.DUMMYFUNCTION("COUNTA(SPLIT(F220,"" ""))"),169)</f>
        <v>169</v>
      </c>
      <c r="H220" s="1">
        <v>169</v>
      </c>
      <c r="I220" s="1"/>
      <c r="J220" s="1"/>
      <c r="K220" s="1"/>
      <c r="L220" s="1"/>
      <c r="M220" s="1"/>
      <c r="N220" s="1"/>
      <c r="O220" s="1"/>
      <c r="P220" s="1"/>
      <c r="Q220" s="1"/>
      <c r="R220" s="1"/>
      <c r="S220" s="1"/>
      <c r="T220" s="1"/>
    </row>
    <row r="221" spans="1:20" ht="33.75" customHeight="1">
      <c r="A221" s="1" t="s">
        <v>785</v>
      </c>
      <c r="B221" s="1" t="s">
        <v>156</v>
      </c>
      <c r="C221" s="4">
        <v>39848.970138888886</v>
      </c>
      <c r="D221" s="1" t="s">
        <v>14</v>
      </c>
      <c r="E221" s="1"/>
      <c r="F221" s="2" t="s">
        <v>787</v>
      </c>
      <c r="G221" s="1">
        <f ca="1">IFERROR(__xludf.DUMMYFUNCTION("COUNTA(SPLIT(F221,"" ""))"),158)</f>
        <v>158</v>
      </c>
      <c r="H221" s="1">
        <v>158</v>
      </c>
      <c r="I221" s="1"/>
      <c r="J221" s="1"/>
      <c r="K221" s="1"/>
      <c r="L221" s="1"/>
      <c r="M221" s="1"/>
      <c r="N221" s="1"/>
      <c r="O221" s="1"/>
      <c r="P221" s="1"/>
      <c r="Q221" s="1"/>
      <c r="R221" s="1"/>
      <c r="S221" s="1"/>
      <c r="T221" s="1"/>
    </row>
    <row r="222" spans="1:20" ht="33.75" customHeight="1">
      <c r="A222" s="1" t="s">
        <v>788</v>
      </c>
      <c r="B222" s="1" t="s">
        <v>680</v>
      </c>
      <c r="C222" s="4">
        <v>39849.026388888888</v>
      </c>
      <c r="D222" s="1" t="s">
        <v>54</v>
      </c>
      <c r="E222" s="1"/>
      <c r="F222" s="2" t="s">
        <v>790</v>
      </c>
      <c r="G222" s="1">
        <f ca="1">IFERROR(__xludf.DUMMYFUNCTION("COUNTA(SPLIT(F222,"" ""))"),106)</f>
        <v>106</v>
      </c>
      <c r="H222" s="1">
        <v>106</v>
      </c>
      <c r="I222" s="1"/>
      <c r="J222" s="1"/>
      <c r="K222" s="1"/>
      <c r="L222" s="1"/>
      <c r="M222" s="1"/>
      <c r="N222" s="1"/>
      <c r="O222" s="1"/>
      <c r="P222" s="1"/>
      <c r="Q222" s="1"/>
      <c r="R222" s="1"/>
      <c r="S222" s="1"/>
      <c r="T222" s="1"/>
    </row>
    <row r="223" spans="1:20" ht="33.75" customHeight="1">
      <c r="A223" s="1" t="s">
        <v>791</v>
      </c>
      <c r="B223" s="1" t="s">
        <v>160</v>
      </c>
      <c r="C223" s="4">
        <v>39849.171527777777</v>
      </c>
      <c r="D223" s="1" t="s">
        <v>54</v>
      </c>
      <c r="E223" s="1"/>
      <c r="F223" s="2" t="s">
        <v>795</v>
      </c>
      <c r="G223" s="1">
        <f ca="1">IFERROR(__xludf.DUMMYFUNCTION("COUNTA(SPLIT(F223,"" ""))"),166)</f>
        <v>166</v>
      </c>
      <c r="H223" s="1">
        <v>166</v>
      </c>
      <c r="I223" s="1"/>
      <c r="J223" s="1"/>
      <c r="K223" s="1"/>
      <c r="L223" s="1"/>
      <c r="M223" s="1"/>
      <c r="N223" s="1"/>
      <c r="O223" s="1"/>
      <c r="P223" s="1"/>
      <c r="Q223" s="1"/>
      <c r="R223" s="1"/>
      <c r="S223" s="1"/>
      <c r="T223" s="1"/>
    </row>
    <row r="224" spans="1:20" ht="33.75" hidden="1" customHeight="1">
      <c r="A224" s="1" t="s">
        <v>796</v>
      </c>
      <c r="B224" s="1" t="s">
        <v>160</v>
      </c>
      <c r="C224" s="4">
        <v>39849.175000000003</v>
      </c>
      <c r="D224" s="1" t="s">
        <v>54</v>
      </c>
      <c r="E224" s="9">
        <v>86118</v>
      </c>
      <c r="F224" s="2" t="s">
        <v>797</v>
      </c>
      <c r="G224" s="1">
        <f ca="1">IFERROR(__xludf.DUMMYFUNCTION("COUNTA(SPLIT(F224,"" ""))"),186)</f>
        <v>186</v>
      </c>
      <c r="H224" s="1">
        <v>186</v>
      </c>
      <c r="I224" s="1"/>
      <c r="J224" s="1"/>
      <c r="K224" s="1"/>
      <c r="L224" s="1"/>
      <c r="M224" s="1"/>
      <c r="N224" s="1"/>
      <c r="O224" s="1"/>
      <c r="P224" s="1"/>
      <c r="Q224" s="1"/>
      <c r="R224" s="1"/>
      <c r="S224" s="1"/>
      <c r="T224" s="1"/>
    </row>
    <row r="225" spans="1:20" ht="33.75" hidden="1" customHeight="1">
      <c r="A225" s="1" t="s">
        <v>798</v>
      </c>
      <c r="B225" s="1" t="s">
        <v>160</v>
      </c>
      <c r="C225" s="4">
        <v>39849.226388888892</v>
      </c>
      <c r="D225" s="1" t="s">
        <v>320</v>
      </c>
      <c r="E225" s="1" t="s">
        <v>799</v>
      </c>
      <c r="F225" s="2" t="s">
        <v>802</v>
      </c>
      <c r="G225" s="1">
        <f ca="1">IFERROR(__xludf.DUMMYFUNCTION("COUNTA(SPLIT(F225,"" ""))"),102)</f>
        <v>102</v>
      </c>
      <c r="H225" s="1">
        <v>102</v>
      </c>
      <c r="I225" s="1"/>
      <c r="J225" s="1"/>
      <c r="K225" s="1"/>
      <c r="L225" s="1"/>
      <c r="M225" s="1"/>
      <c r="N225" s="1"/>
      <c r="O225" s="1"/>
      <c r="P225" s="1"/>
      <c r="Q225" s="1"/>
      <c r="R225" s="1"/>
      <c r="S225" s="1"/>
      <c r="T225" s="1"/>
    </row>
    <row r="226" spans="1:20" ht="33.75" hidden="1" customHeight="1">
      <c r="A226" s="1" t="s">
        <v>803</v>
      </c>
      <c r="B226" s="1" t="s">
        <v>160</v>
      </c>
      <c r="C226" s="4">
        <v>39849.240277777775</v>
      </c>
      <c r="D226" s="1" t="s">
        <v>393</v>
      </c>
      <c r="E226" s="1" t="s">
        <v>791</v>
      </c>
      <c r="F226" s="2" t="s">
        <v>804</v>
      </c>
      <c r="G226" s="1">
        <f ca="1">IFERROR(__xludf.DUMMYFUNCTION("COUNTA(SPLIT(F226,"" ""))"),86)</f>
        <v>86</v>
      </c>
      <c r="H226" s="1">
        <v>86</v>
      </c>
      <c r="I226" s="1"/>
      <c r="J226" s="1"/>
      <c r="K226" s="1"/>
      <c r="L226" s="1"/>
      <c r="M226" s="1"/>
      <c r="N226" s="1"/>
      <c r="O226" s="1"/>
      <c r="P226" s="1"/>
      <c r="Q226" s="1"/>
      <c r="R226" s="1"/>
      <c r="S226" s="1"/>
      <c r="T226" s="1"/>
    </row>
    <row r="227" spans="1:20" ht="33.75" hidden="1" customHeight="1">
      <c r="A227" s="1" t="s">
        <v>805</v>
      </c>
      <c r="B227" s="1" t="s">
        <v>160</v>
      </c>
      <c r="C227" s="4">
        <v>39849.249305555553</v>
      </c>
      <c r="D227" s="1" t="s">
        <v>320</v>
      </c>
      <c r="E227" s="1" t="s">
        <v>806</v>
      </c>
      <c r="F227" s="2" t="s">
        <v>807</v>
      </c>
      <c r="G227" s="1">
        <f ca="1">IFERROR(__xludf.DUMMYFUNCTION("COUNTA(SPLIT(F227,"" ""))"),50)</f>
        <v>50</v>
      </c>
      <c r="H227" s="1">
        <v>50</v>
      </c>
      <c r="I227" s="1"/>
      <c r="J227" s="1"/>
      <c r="K227" s="1"/>
      <c r="L227" s="1"/>
      <c r="M227" s="1"/>
      <c r="N227" s="1"/>
      <c r="O227" s="1"/>
      <c r="P227" s="1"/>
      <c r="Q227" s="1"/>
      <c r="R227" s="1"/>
      <c r="S227" s="1"/>
      <c r="T227" s="1"/>
    </row>
    <row r="228" spans="1:20" ht="33.75" customHeight="1">
      <c r="A228" s="1" t="s">
        <v>808</v>
      </c>
      <c r="B228" s="1" t="s">
        <v>160</v>
      </c>
      <c r="C228" s="4">
        <v>39849.253472222219</v>
      </c>
      <c r="D228" s="1" t="s">
        <v>320</v>
      </c>
      <c r="E228" s="1"/>
      <c r="F228" s="2" t="s">
        <v>810</v>
      </c>
      <c r="G228" s="1">
        <f ca="1">IFERROR(__xludf.DUMMYFUNCTION("COUNTA(SPLIT(F228,"" ""))"),86)</f>
        <v>86</v>
      </c>
      <c r="H228" s="1">
        <v>86</v>
      </c>
      <c r="I228" s="1"/>
      <c r="J228" s="1"/>
      <c r="K228" s="1"/>
      <c r="L228" s="1"/>
      <c r="M228" s="1"/>
      <c r="N228" s="1"/>
      <c r="O228" s="1"/>
      <c r="P228" s="1"/>
      <c r="Q228" s="1"/>
      <c r="R228" s="1"/>
      <c r="S228" s="1"/>
      <c r="T228" s="1"/>
    </row>
    <row r="229" spans="1:20" ht="33.75" customHeight="1">
      <c r="A229" s="1" t="s">
        <v>811</v>
      </c>
      <c r="B229" s="1" t="s">
        <v>160</v>
      </c>
      <c r="C229" s="4">
        <v>39849.3125</v>
      </c>
      <c r="D229" s="1" t="s">
        <v>196</v>
      </c>
      <c r="E229" s="1"/>
      <c r="F229" s="2" t="s">
        <v>813</v>
      </c>
      <c r="G229" s="1">
        <f ca="1">IFERROR(__xludf.DUMMYFUNCTION("COUNTA(SPLIT(F229,"" ""))"),157)</f>
        <v>157</v>
      </c>
      <c r="H229" s="1">
        <v>157</v>
      </c>
      <c r="I229" s="1"/>
      <c r="J229" s="1"/>
      <c r="K229" s="1"/>
      <c r="L229" s="1"/>
      <c r="M229" s="1"/>
      <c r="N229" s="1"/>
      <c r="O229" s="1"/>
      <c r="P229" s="1"/>
      <c r="Q229" s="1"/>
      <c r="R229" s="1"/>
      <c r="S229" s="1"/>
      <c r="T229" s="1"/>
    </row>
    <row r="230" spans="1:20" ht="33.75" hidden="1" customHeight="1">
      <c r="A230" s="1" t="s">
        <v>814</v>
      </c>
      <c r="B230" s="1" t="s">
        <v>160</v>
      </c>
      <c r="C230" s="4">
        <v>39849.322916666664</v>
      </c>
      <c r="D230" s="1" t="s">
        <v>196</v>
      </c>
      <c r="E230" s="1" t="s">
        <v>811</v>
      </c>
      <c r="F230" s="2" t="s">
        <v>815</v>
      </c>
      <c r="G230" s="1">
        <f ca="1">IFERROR(__xludf.DUMMYFUNCTION("COUNTA(SPLIT(F230,"" ""))"),51)</f>
        <v>51</v>
      </c>
      <c r="H230" s="1">
        <v>51</v>
      </c>
      <c r="I230" s="1"/>
      <c r="J230" s="1"/>
      <c r="K230" s="1"/>
      <c r="L230" s="1"/>
      <c r="M230" s="1"/>
      <c r="N230" s="1"/>
      <c r="O230" s="1"/>
      <c r="P230" s="1"/>
      <c r="Q230" s="1"/>
      <c r="R230" s="1"/>
      <c r="S230" s="1"/>
      <c r="T230" s="1"/>
    </row>
    <row r="231" spans="1:20" ht="33.75" customHeight="1">
      <c r="A231" s="1" t="s">
        <v>816</v>
      </c>
      <c r="B231" s="1" t="s">
        <v>160</v>
      </c>
      <c r="C231" s="4">
        <v>39849.338888888888</v>
      </c>
      <c r="D231" s="1" t="s">
        <v>196</v>
      </c>
      <c r="E231" s="1"/>
      <c r="F231" s="2" t="s">
        <v>817</v>
      </c>
      <c r="G231" s="1">
        <f ca="1">IFERROR(__xludf.DUMMYFUNCTION("COUNTA(SPLIT(F231,"" ""))"),42)</f>
        <v>42</v>
      </c>
      <c r="H231" s="1">
        <v>42</v>
      </c>
      <c r="I231" s="1"/>
      <c r="J231" s="1"/>
      <c r="K231" s="1"/>
      <c r="L231" s="1"/>
      <c r="M231" s="1"/>
      <c r="N231" s="1"/>
      <c r="O231" s="1"/>
      <c r="P231" s="1"/>
      <c r="Q231" s="1"/>
      <c r="R231" s="1"/>
      <c r="S231" s="1"/>
      <c r="T231" s="1"/>
    </row>
    <row r="232" spans="1:20" ht="33.75" hidden="1" customHeight="1">
      <c r="A232" s="1" t="s">
        <v>818</v>
      </c>
      <c r="B232" s="1" t="s">
        <v>160</v>
      </c>
      <c r="C232" s="4">
        <v>39849.356944444444</v>
      </c>
      <c r="D232" s="1" t="s">
        <v>196</v>
      </c>
      <c r="E232" s="1" t="s">
        <v>819</v>
      </c>
      <c r="F232" s="2" t="s">
        <v>821</v>
      </c>
      <c r="G232" s="1">
        <f ca="1">IFERROR(__xludf.DUMMYFUNCTION("COUNTA(SPLIT(F232,"" ""))"),74)</f>
        <v>74</v>
      </c>
      <c r="H232" s="1">
        <v>74</v>
      </c>
      <c r="I232" s="1"/>
      <c r="J232" s="1"/>
      <c r="K232" s="1"/>
      <c r="L232" s="1"/>
      <c r="M232" s="1"/>
      <c r="N232" s="1"/>
      <c r="O232" s="1"/>
      <c r="P232" s="1"/>
      <c r="Q232" s="1"/>
      <c r="R232" s="1"/>
      <c r="S232" s="1"/>
      <c r="T232" s="1"/>
    </row>
    <row r="233" spans="1:20" ht="33.75" customHeight="1">
      <c r="A233" s="1" t="s">
        <v>822</v>
      </c>
      <c r="B233" s="1" t="s">
        <v>160</v>
      </c>
      <c r="C233" s="4">
        <v>39849.455555555556</v>
      </c>
      <c r="D233" s="1" t="s">
        <v>14</v>
      </c>
      <c r="E233" s="1"/>
      <c r="F233" s="2" t="s">
        <v>824</v>
      </c>
      <c r="G233" s="1">
        <f ca="1">IFERROR(__xludf.DUMMYFUNCTION("COUNTA(SPLIT(F233,"" ""))"),270)</f>
        <v>270</v>
      </c>
      <c r="H233" s="1">
        <v>270</v>
      </c>
      <c r="I233" s="1"/>
      <c r="J233" s="1"/>
      <c r="K233" s="1"/>
      <c r="L233" s="1"/>
      <c r="M233" s="1"/>
      <c r="N233" s="1"/>
      <c r="O233" s="1"/>
      <c r="P233" s="1"/>
      <c r="Q233" s="1"/>
      <c r="R233" s="1"/>
      <c r="S233" s="1"/>
      <c r="T233" s="1"/>
    </row>
    <row r="234" spans="1:20" ht="33.75" customHeight="1">
      <c r="A234" s="1" t="s">
        <v>825</v>
      </c>
      <c r="B234" s="1" t="s">
        <v>160</v>
      </c>
      <c r="C234" s="4">
        <v>39849.480555555558</v>
      </c>
      <c r="D234" s="1" t="s">
        <v>14</v>
      </c>
      <c r="E234" s="1"/>
      <c r="F234" s="2" t="s">
        <v>828</v>
      </c>
      <c r="G234" s="1">
        <f ca="1">IFERROR(__xludf.DUMMYFUNCTION("COUNTA(SPLIT(F234,"" ""))"),67)</f>
        <v>67</v>
      </c>
      <c r="H234" s="1">
        <v>67</v>
      </c>
      <c r="I234" s="1"/>
      <c r="J234" s="1"/>
      <c r="K234" s="1"/>
      <c r="L234" s="1"/>
      <c r="M234" s="1"/>
      <c r="N234" s="1"/>
      <c r="O234" s="1"/>
      <c r="P234" s="1"/>
      <c r="Q234" s="1"/>
      <c r="R234" s="1"/>
      <c r="S234" s="1"/>
      <c r="T234" s="1"/>
    </row>
    <row r="235" spans="1:20" ht="33.75" customHeight="1">
      <c r="A235" s="1" t="s">
        <v>829</v>
      </c>
      <c r="B235" s="1" t="s">
        <v>680</v>
      </c>
      <c r="C235" s="4">
        <v>39849.693749999999</v>
      </c>
      <c r="D235" s="1" t="s">
        <v>830</v>
      </c>
      <c r="E235" s="1"/>
      <c r="F235" s="2" t="s">
        <v>832</v>
      </c>
      <c r="G235" s="1">
        <f ca="1">IFERROR(__xludf.DUMMYFUNCTION("COUNTA(SPLIT(F235,"" ""))"),53)</f>
        <v>53</v>
      </c>
      <c r="H235" s="1">
        <v>53</v>
      </c>
      <c r="I235" s="1"/>
      <c r="J235" s="1"/>
      <c r="K235" s="1"/>
      <c r="L235" s="1"/>
      <c r="M235" s="1"/>
      <c r="N235" s="1"/>
      <c r="O235" s="1"/>
      <c r="P235" s="1"/>
      <c r="Q235" s="1"/>
      <c r="R235" s="1"/>
      <c r="S235" s="1"/>
      <c r="T235" s="1"/>
    </row>
    <row r="236" spans="1:20" ht="33.75" customHeight="1">
      <c r="A236" s="1" t="s">
        <v>833</v>
      </c>
      <c r="B236" s="1" t="s">
        <v>160</v>
      </c>
      <c r="C236" s="4">
        <v>39849.715277777781</v>
      </c>
      <c r="D236" s="1" t="s">
        <v>14</v>
      </c>
      <c r="E236" s="1"/>
      <c r="F236" s="2" t="s">
        <v>835</v>
      </c>
      <c r="G236" s="1">
        <f ca="1">IFERROR(__xludf.DUMMYFUNCTION("COUNTA(SPLIT(F236,"" ""))"),280)</f>
        <v>280</v>
      </c>
      <c r="H236" s="1">
        <v>280</v>
      </c>
      <c r="I236" s="1"/>
      <c r="J236" s="1"/>
      <c r="K236" s="1"/>
      <c r="L236" s="1"/>
      <c r="M236" s="1"/>
      <c r="N236" s="1"/>
      <c r="O236" s="1"/>
      <c r="P236" s="1"/>
      <c r="Q236" s="1"/>
      <c r="R236" s="1"/>
      <c r="S236" s="1"/>
      <c r="T236" s="1"/>
    </row>
    <row r="237" spans="1:20" ht="33.75" hidden="1" customHeight="1">
      <c r="A237" s="1" t="s">
        <v>836</v>
      </c>
      <c r="B237" s="1" t="s">
        <v>160</v>
      </c>
      <c r="C237" s="4">
        <v>39849.738888888889</v>
      </c>
      <c r="D237" s="1" t="s">
        <v>14</v>
      </c>
      <c r="E237" s="1" t="s">
        <v>833</v>
      </c>
      <c r="F237" s="2" t="s">
        <v>838</v>
      </c>
      <c r="G237" s="1">
        <f ca="1">IFERROR(__xludf.DUMMYFUNCTION("COUNTA(SPLIT(F237,"" ""))"),83)</f>
        <v>83</v>
      </c>
      <c r="H237" s="1">
        <v>83</v>
      </c>
      <c r="I237" s="1"/>
      <c r="J237" s="1"/>
      <c r="K237" s="1"/>
      <c r="L237" s="1"/>
      <c r="M237" s="1"/>
      <c r="N237" s="1"/>
      <c r="O237" s="1"/>
      <c r="P237" s="1"/>
      <c r="Q237" s="1"/>
      <c r="R237" s="1"/>
      <c r="S237" s="1"/>
      <c r="T237" s="1"/>
    </row>
    <row r="238" spans="1:20" ht="33.75" customHeight="1">
      <c r="A238" s="1" t="s">
        <v>839</v>
      </c>
      <c r="B238" s="1" t="s">
        <v>160</v>
      </c>
      <c r="C238" s="4">
        <v>39849.747916666667</v>
      </c>
      <c r="D238" s="1" t="s">
        <v>14</v>
      </c>
      <c r="E238" s="1"/>
      <c r="F238" s="2" t="s">
        <v>841</v>
      </c>
      <c r="G238" s="1">
        <f ca="1">IFERROR(__xludf.DUMMYFUNCTION("COUNTA(SPLIT(F238,"" ""))"),336)</f>
        <v>336</v>
      </c>
      <c r="H238" s="1">
        <v>336</v>
      </c>
      <c r="I238" s="1"/>
      <c r="J238" s="1"/>
      <c r="K238" s="1"/>
      <c r="L238" s="1"/>
      <c r="M238" s="1"/>
      <c r="N238" s="1"/>
      <c r="O238" s="1"/>
      <c r="P238" s="1"/>
      <c r="Q238" s="1"/>
      <c r="R238" s="1"/>
      <c r="S238" s="1"/>
      <c r="T238" s="1"/>
    </row>
    <row r="239" spans="1:20" ht="33.75" hidden="1" customHeight="1">
      <c r="A239" s="1" t="s">
        <v>842</v>
      </c>
      <c r="B239" s="1" t="s">
        <v>160</v>
      </c>
      <c r="C239" s="4">
        <v>39849.770833333336</v>
      </c>
      <c r="D239" s="1" t="s">
        <v>54</v>
      </c>
      <c r="E239" s="1" t="s">
        <v>843</v>
      </c>
      <c r="F239" s="2" t="s">
        <v>844</v>
      </c>
      <c r="G239" s="1">
        <f ca="1">IFERROR(__xludf.DUMMYFUNCTION("COUNTA(SPLIT(F239,"" ""))"),412)</f>
        <v>412</v>
      </c>
      <c r="H239" s="1">
        <v>412</v>
      </c>
      <c r="I239" s="1"/>
      <c r="J239" s="1"/>
      <c r="K239" s="1"/>
      <c r="L239" s="1"/>
      <c r="M239" s="1"/>
      <c r="N239" s="1"/>
      <c r="O239" s="1"/>
      <c r="P239" s="1"/>
      <c r="Q239" s="1"/>
      <c r="R239" s="1"/>
      <c r="S239" s="1"/>
      <c r="T239" s="1"/>
    </row>
    <row r="240" spans="1:20" ht="33.75" customHeight="1">
      <c r="A240" s="1" t="s">
        <v>845</v>
      </c>
      <c r="B240" s="1" t="s">
        <v>846</v>
      </c>
      <c r="C240" s="4">
        <v>39849.779861111114</v>
      </c>
      <c r="D240" s="1" t="s">
        <v>847</v>
      </c>
      <c r="E240" s="1"/>
      <c r="F240" s="2" t="s">
        <v>848</v>
      </c>
      <c r="G240" s="1">
        <f ca="1">IFERROR(__xludf.DUMMYFUNCTION("COUNTA(SPLIT(F240,"" ""))"),18)</f>
        <v>18</v>
      </c>
      <c r="H240" s="1">
        <v>18</v>
      </c>
      <c r="I240" s="1"/>
      <c r="J240" s="1"/>
      <c r="K240" s="1"/>
      <c r="L240" s="1"/>
      <c r="M240" s="1"/>
      <c r="N240" s="1"/>
      <c r="O240" s="1"/>
      <c r="P240" s="1"/>
      <c r="Q240" s="1"/>
      <c r="R240" s="1"/>
      <c r="S240" s="1"/>
      <c r="T240" s="1"/>
    </row>
    <row r="241" spans="1:20" ht="33.75" hidden="1" customHeight="1">
      <c r="A241" s="1" t="s">
        <v>849</v>
      </c>
      <c r="B241" s="1" t="s">
        <v>160</v>
      </c>
      <c r="C241" s="4">
        <v>39849.790972222225</v>
      </c>
      <c r="D241" s="1" t="s">
        <v>196</v>
      </c>
      <c r="E241" s="1" t="s">
        <v>822</v>
      </c>
      <c r="F241" s="2" t="s">
        <v>850</v>
      </c>
      <c r="G241" s="1">
        <f ca="1">IFERROR(__xludf.DUMMYFUNCTION("COUNTA(SPLIT(F241,"" ""))"),110)</f>
        <v>110</v>
      </c>
      <c r="H241" s="1">
        <v>110</v>
      </c>
      <c r="I241" s="1"/>
      <c r="J241" s="1"/>
      <c r="K241" s="1"/>
      <c r="L241" s="1"/>
      <c r="M241" s="1"/>
      <c r="N241" s="1"/>
      <c r="O241" s="1"/>
      <c r="P241" s="1"/>
      <c r="Q241" s="1"/>
      <c r="R241" s="1"/>
      <c r="S241" s="1"/>
      <c r="T241" s="1"/>
    </row>
    <row r="242" spans="1:20" ht="33.75" hidden="1" customHeight="1">
      <c r="A242" s="1" t="s">
        <v>851</v>
      </c>
      <c r="B242" s="1" t="s">
        <v>160</v>
      </c>
      <c r="C242" s="4">
        <v>39849.793055555558</v>
      </c>
      <c r="D242" s="1" t="s">
        <v>196</v>
      </c>
      <c r="E242" s="1" t="s">
        <v>849</v>
      </c>
      <c r="F242" s="2" t="s">
        <v>852</v>
      </c>
      <c r="G242" s="1">
        <f ca="1">IFERROR(__xludf.DUMMYFUNCTION("COUNTA(SPLIT(F242,"" ""))"),6)</f>
        <v>6</v>
      </c>
      <c r="H242" s="1">
        <v>6</v>
      </c>
      <c r="I242" s="1"/>
      <c r="J242" s="1"/>
      <c r="K242" s="1"/>
      <c r="L242" s="1"/>
      <c r="M242" s="1"/>
      <c r="N242" s="1"/>
      <c r="O242" s="1"/>
      <c r="P242" s="1"/>
      <c r="Q242" s="1"/>
      <c r="R242" s="1"/>
      <c r="S242" s="1"/>
      <c r="T242" s="1"/>
    </row>
    <row r="243" spans="1:20" ht="33.75" hidden="1" customHeight="1">
      <c r="A243" s="1" t="s">
        <v>853</v>
      </c>
      <c r="B243" s="1" t="s">
        <v>160</v>
      </c>
      <c r="C243" s="4">
        <v>39849.79791666667</v>
      </c>
      <c r="D243" s="1" t="s">
        <v>854</v>
      </c>
      <c r="E243" s="1" t="s">
        <v>839</v>
      </c>
      <c r="F243" s="2" t="s">
        <v>855</v>
      </c>
      <c r="G243" s="1">
        <f ca="1">IFERROR(__xludf.DUMMYFUNCTION("COUNTA(SPLIT(F243,"" ""))"),155)</f>
        <v>155</v>
      </c>
      <c r="H243" s="1">
        <v>155</v>
      </c>
      <c r="I243" s="1"/>
      <c r="J243" s="1"/>
      <c r="K243" s="1"/>
      <c r="L243" s="1"/>
      <c r="M243" s="1"/>
      <c r="N243" s="1"/>
      <c r="O243" s="1"/>
      <c r="P243" s="1"/>
      <c r="Q243" s="1"/>
      <c r="R243" s="1"/>
      <c r="S243" s="1"/>
      <c r="T243" s="1"/>
    </row>
    <row r="244" spans="1:20" ht="33.75" hidden="1" customHeight="1">
      <c r="A244" s="1" t="s">
        <v>856</v>
      </c>
      <c r="B244" s="1" t="s">
        <v>160</v>
      </c>
      <c r="C244" s="4">
        <v>39849.806250000001</v>
      </c>
      <c r="D244" s="1" t="s">
        <v>196</v>
      </c>
      <c r="E244" s="1" t="s">
        <v>857</v>
      </c>
      <c r="F244" s="2" t="s">
        <v>859</v>
      </c>
      <c r="G244" s="1">
        <f ca="1">IFERROR(__xludf.DUMMYFUNCTION("COUNTA(SPLIT(F244,"" ""))"),76)</f>
        <v>76</v>
      </c>
      <c r="H244" s="1">
        <v>76</v>
      </c>
      <c r="I244" s="1"/>
      <c r="J244" s="1"/>
      <c r="K244" s="1"/>
      <c r="L244" s="1"/>
      <c r="M244" s="1"/>
      <c r="N244" s="1"/>
      <c r="O244" s="1"/>
      <c r="P244" s="1"/>
      <c r="Q244" s="1"/>
      <c r="R244" s="1"/>
      <c r="S244" s="1"/>
      <c r="T244" s="1"/>
    </row>
    <row r="245" spans="1:20" ht="33.75" hidden="1" customHeight="1">
      <c r="A245" s="1" t="s">
        <v>860</v>
      </c>
      <c r="B245" s="1" t="s">
        <v>160</v>
      </c>
      <c r="C245" s="4">
        <v>39849.830555555556</v>
      </c>
      <c r="D245" s="1" t="s">
        <v>14</v>
      </c>
      <c r="E245" s="1" t="s">
        <v>833</v>
      </c>
      <c r="F245" s="2" t="s">
        <v>863</v>
      </c>
      <c r="G245" s="1">
        <f ca="1">IFERROR(__xludf.DUMMYFUNCTION("COUNTA(SPLIT(F245,"" ""))"),185)</f>
        <v>185</v>
      </c>
      <c r="H245" s="1">
        <v>185</v>
      </c>
      <c r="I245" s="1"/>
      <c r="J245" s="1"/>
      <c r="K245" s="1"/>
      <c r="L245" s="1"/>
      <c r="M245" s="1"/>
      <c r="N245" s="1"/>
      <c r="O245" s="1"/>
      <c r="P245" s="1"/>
      <c r="Q245" s="1"/>
      <c r="R245" s="1"/>
      <c r="S245" s="1"/>
      <c r="T245" s="1"/>
    </row>
    <row r="246" spans="1:20" ht="33.75" hidden="1" customHeight="1">
      <c r="A246" s="1" t="s">
        <v>864</v>
      </c>
      <c r="B246" s="1" t="s">
        <v>160</v>
      </c>
      <c r="C246" s="4">
        <v>39849.85</v>
      </c>
      <c r="D246" s="1" t="s">
        <v>14</v>
      </c>
      <c r="E246" s="9">
        <v>124104</v>
      </c>
      <c r="F246" s="2" t="s">
        <v>867</v>
      </c>
      <c r="G246" s="1">
        <f ca="1">IFERROR(__xludf.DUMMYFUNCTION("COUNTA(SPLIT(F246,"" ""))"),379)</f>
        <v>379</v>
      </c>
      <c r="H246" s="1">
        <v>379</v>
      </c>
      <c r="I246" s="1"/>
      <c r="J246" s="1"/>
      <c r="K246" s="1"/>
      <c r="L246" s="1"/>
      <c r="M246" s="1"/>
      <c r="N246" s="1"/>
      <c r="O246" s="1"/>
      <c r="P246" s="1"/>
      <c r="Q246" s="1"/>
      <c r="R246" s="1"/>
      <c r="S246" s="1"/>
      <c r="T246" s="1"/>
    </row>
    <row r="247" spans="1:20" ht="33.75" hidden="1" customHeight="1">
      <c r="A247" s="1" t="s">
        <v>868</v>
      </c>
      <c r="B247" s="1" t="s">
        <v>160</v>
      </c>
      <c r="C247" s="4">
        <v>39849.852777777778</v>
      </c>
      <c r="D247" s="1" t="s">
        <v>54</v>
      </c>
      <c r="E247" s="1" t="s">
        <v>869</v>
      </c>
      <c r="F247" s="2" t="s">
        <v>871</v>
      </c>
      <c r="G247" s="1">
        <f ca="1">IFERROR(__xludf.DUMMYFUNCTION("COUNTA(SPLIT(F247,"" ""))"),448)</f>
        <v>448</v>
      </c>
      <c r="H247" s="1">
        <v>448</v>
      </c>
      <c r="I247" s="1"/>
      <c r="J247" s="1"/>
      <c r="K247" s="1"/>
      <c r="L247" s="1"/>
      <c r="M247" s="1"/>
      <c r="N247" s="1"/>
      <c r="O247" s="1"/>
      <c r="P247" s="1"/>
      <c r="Q247" s="1"/>
      <c r="R247" s="1"/>
      <c r="S247" s="1"/>
      <c r="T247" s="1"/>
    </row>
    <row r="248" spans="1:20" ht="33.75" hidden="1" customHeight="1">
      <c r="A248" s="1" t="s">
        <v>872</v>
      </c>
      <c r="B248" s="1" t="s">
        <v>160</v>
      </c>
      <c r="C248" s="4">
        <v>39849.868055555555</v>
      </c>
      <c r="D248" s="1" t="s">
        <v>14</v>
      </c>
      <c r="E248" s="1" t="s">
        <v>720</v>
      </c>
      <c r="F248" s="2" t="s">
        <v>873</v>
      </c>
      <c r="G248" s="1">
        <f ca="1">IFERROR(__xludf.DUMMYFUNCTION("COUNTA(SPLIT(F248,"" ""))"),87)</f>
        <v>87</v>
      </c>
      <c r="H248" s="1">
        <v>87</v>
      </c>
      <c r="I248" s="1"/>
      <c r="J248" s="1"/>
      <c r="K248" s="1"/>
      <c r="L248" s="1"/>
      <c r="M248" s="1"/>
      <c r="N248" s="1"/>
      <c r="O248" s="1"/>
      <c r="P248" s="1"/>
      <c r="Q248" s="1"/>
      <c r="R248" s="1"/>
      <c r="S248" s="1"/>
      <c r="T248" s="1"/>
    </row>
    <row r="249" spans="1:20" ht="33.75" hidden="1" customHeight="1">
      <c r="A249" s="1" t="s">
        <v>874</v>
      </c>
      <c r="B249" s="1" t="s">
        <v>160</v>
      </c>
      <c r="C249" s="4">
        <v>39849.905555555553</v>
      </c>
      <c r="D249" s="1" t="s">
        <v>320</v>
      </c>
      <c r="E249" s="1" t="s">
        <v>875</v>
      </c>
      <c r="F249" s="2" t="s">
        <v>876</v>
      </c>
      <c r="G249" s="1">
        <f ca="1">IFERROR(__xludf.DUMMYFUNCTION("COUNTA(SPLIT(F249,"" ""))"),141)</f>
        <v>141</v>
      </c>
      <c r="H249" s="1">
        <v>141</v>
      </c>
      <c r="I249" s="1"/>
      <c r="J249" s="1"/>
      <c r="K249" s="1"/>
      <c r="L249" s="1"/>
      <c r="M249" s="1"/>
      <c r="N249" s="1"/>
      <c r="O249" s="1"/>
      <c r="P249" s="1"/>
      <c r="Q249" s="1"/>
      <c r="R249" s="1"/>
      <c r="S249" s="1"/>
      <c r="T249" s="1"/>
    </row>
    <row r="250" spans="1:20" ht="33.75" hidden="1" customHeight="1">
      <c r="A250" s="1" t="s">
        <v>877</v>
      </c>
      <c r="B250" s="1" t="s">
        <v>160</v>
      </c>
      <c r="C250" s="4">
        <v>39849.95416666667</v>
      </c>
      <c r="D250" s="1" t="s">
        <v>14</v>
      </c>
      <c r="E250" s="1" t="s">
        <v>574</v>
      </c>
      <c r="F250" s="2" t="s">
        <v>879</v>
      </c>
      <c r="G250" s="1">
        <f ca="1">IFERROR(__xludf.DUMMYFUNCTION("COUNTA(SPLIT(F250,"" ""))"),99)</f>
        <v>99</v>
      </c>
      <c r="H250" s="1">
        <v>99</v>
      </c>
      <c r="I250" s="1"/>
      <c r="J250" s="1"/>
      <c r="K250" s="1"/>
      <c r="L250" s="1"/>
      <c r="M250" s="1"/>
      <c r="N250" s="1"/>
      <c r="O250" s="1"/>
      <c r="P250" s="1"/>
      <c r="Q250" s="1"/>
      <c r="R250" s="1"/>
      <c r="S250" s="1"/>
      <c r="T250" s="1"/>
    </row>
    <row r="251" spans="1:20" ht="33.75" hidden="1" customHeight="1">
      <c r="A251" s="1" t="s">
        <v>880</v>
      </c>
      <c r="B251" s="1" t="s">
        <v>680</v>
      </c>
      <c r="C251" s="4">
        <v>39849.965277777781</v>
      </c>
      <c r="D251" s="1" t="s">
        <v>14</v>
      </c>
      <c r="E251" s="1" t="s">
        <v>881</v>
      </c>
      <c r="F251" s="2" t="s">
        <v>883</v>
      </c>
      <c r="G251" s="1">
        <f ca="1">IFERROR(__xludf.DUMMYFUNCTION("COUNTA(SPLIT(F251,"" ""))"),269)</f>
        <v>269</v>
      </c>
      <c r="H251" s="1">
        <v>269</v>
      </c>
      <c r="I251" s="1"/>
      <c r="J251" s="1"/>
      <c r="K251" s="1"/>
      <c r="L251" s="1"/>
      <c r="M251" s="1"/>
      <c r="N251" s="1"/>
      <c r="O251" s="1"/>
      <c r="P251" s="1"/>
      <c r="Q251" s="1"/>
      <c r="R251" s="1"/>
      <c r="S251" s="1"/>
      <c r="T251" s="1"/>
    </row>
    <row r="252" spans="1:20" ht="33.75" customHeight="1">
      <c r="A252" s="1" t="s">
        <v>884</v>
      </c>
      <c r="B252" s="1" t="s">
        <v>160</v>
      </c>
      <c r="C252" s="4">
        <v>39849.993055555555</v>
      </c>
      <c r="D252" s="1" t="s">
        <v>320</v>
      </c>
      <c r="E252" s="1"/>
      <c r="F252" s="2" t="s">
        <v>885</v>
      </c>
      <c r="G252" s="1">
        <f ca="1">IFERROR(__xludf.DUMMYFUNCTION("COUNTA(SPLIT(F252,"" ""))"),46)</f>
        <v>46</v>
      </c>
      <c r="H252" s="1">
        <v>46</v>
      </c>
      <c r="I252" s="1"/>
      <c r="J252" s="1"/>
      <c r="K252" s="1"/>
      <c r="L252" s="1"/>
      <c r="M252" s="1"/>
      <c r="N252" s="1"/>
      <c r="O252" s="1"/>
      <c r="P252" s="1"/>
      <c r="Q252" s="1"/>
      <c r="R252" s="1"/>
      <c r="S252" s="1"/>
      <c r="T252" s="1"/>
    </row>
    <row r="253" spans="1:20" ht="33.75" customHeight="1">
      <c r="A253" s="1" t="s">
        <v>12</v>
      </c>
      <c r="B253" s="1" t="s">
        <v>846</v>
      </c>
      <c r="C253" s="4">
        <v>39850.045520833337</v>
      </c>
      <c r="D253" s="1" t="s">
        <v>175</v>
      </c>
      <c r="E253" s="1"/>
      <c r="F253" s="2" t="s">
        <v>888</v>
      </c>
      <c r="G253" s="1">
        <f ca="1">IFERROR(__xludf.DUMMYFUNCTION("COUNTA(SPLIT(F253,"" ""))"),1489)</f>
        <v>1489</v>
      </c>
      <c r="H253" s="1">
        <v>1489</v>
      </c>
      <c r="I253" s="1"/>
      <c r="J253" s="1"/>
      <c r="K253" s="1"/>
      <c r="L253" s="1"/>
      <c r="M253" s="1"/>
      <c r="N253" s="1"/>
      <c r="O253" s="1"/>
      <c r="P253" s="1"/>
      <c r="Q253" s="1"/>
      <c r="R253" s="1"/>
      <c r="S253" s="1"/>
      <c r="T253" s="1"/>
    </row>
    <row r="254" spans="1:20" ht="33.75" customHeight="1">
      <c r="A254" s="1" t="s">
        <v>889</v>
      </c>
      <c r="B254" s="1" t="s">
        <v>160</v>
      </c>
      <c r="C254" s="4">
        <v>39850.086111111108</v>
      </c>
      <c r="D254" s="1" t="s">
        <v>14</v>
      </c>
      <c r="E254" s="1"/>
      <c r="F254" s="2" t="s">
        <v>892</v>
      </c>
      <c r="G254" s="1">
        <f ca="1">IFERROR(__xludf.DUMMYFUNCTION("COUNTA(SPLIT(F254,"" ""))"),221)</f>
        <v>221</v>
      </c>
      <c r="H254" s="1">
        <v>221</v>
      </c>
      <c r="I254" s="1"/>
      <c r="J254" s="1"/>
      <c r="K254" s="1"/>
      <c r="L254" s="1"/>
      <c r="M254" s="1"/>
      <c r="N254" s="1"/>
      <c r="O254" s="1"/>
      <c r="P254" s="1"/>
      <c r="Q254" s="1"/>
      <c r="R254" s="1"/>
      <c r="S254" s="1"/>
      <c r="T254" s="1"/>
    </row>
    <row r="255" spans="1:20" ht="33.75" customHeight="1">
      <c r="A255" s="1" t="s">
        <v>893</v>
      </c>
      <c r="B255" s="1" t="s">
        <v>160</v>
      </c>
      <c r="C255" s="4">
        <v>39850.087500000001</v>
      </c>
      <c r="D255" s="1" t="s">
        <v>54</v>
      </c>
      <c r="E255" s="1"/>
      <c r="F255" s="2" t="s">
        <v>895</v>
      </c>
      <c r="G255" s="1">
        <f ca="1">IFERROR(__xludf.DUMMYFUNCTION("COUNTA(SPLIT(F255,"" ""))"),30)</f>
        <v>30</v>
      </c>
      <c r="H255" s="1">
        <v>30</v>
      </c>
      <c r="I255" s="1"/>
      <c r="J255" s="1"/>
      <c r="K255" s="1"/>
      <c r="L255" s="1"/>
      <c r="M255" s="1"/>
      <c r="N255" s="1"/>
      <c r="O255" s="1"/>
      <c r="P255" s="1"/>
      <c r="Q255" s="1"/>
      <c r="R255" s="1"/>
      <c r="S255" s="1"/>
      <c r="T255" s="1"/>
    </row>
    <row r="256" spans="1:20" ht="33.75" hidden="1" customHeight="1">
      <c r="A256" s="1" t="s">
        <v>896</v>
      </c>
      <c r="B256" s="1" t="s">
        <v>160</v>
      </c>
      <c r="C256" s="4">
        <v>39850.095833333333</v>
      </c>
      <c r="D256" s="1" t="s">
        <v>54</v>
      </c>
      <c r="E256" s="1" t="s">
        <v>897</v>
      </c>
      <c r="F256" s="2" t="s">
        <v>898</v>
      </c>
      <c r="G256" s="1">
        <f ca="1">IFERROR(__xludf.DUMMYFUNCTION("COUNTA(SPLIT(F256,"" ""))"),214)</f>
        <v>214</v>
      </c>
      <c r="H256" s="1">
        <v>214</v>
      </c>
      <c r="I256" s="1"/>
      <c r="J256" s="1"/>
      <c r="K256" s="1"/>
      <c r="L256" s="1"/>
      <c r="M256" s="1"/>
      <c r="N256" s="1"/>
      <c r="O256" s="1"/>
      <c r="P256" s="1"/>
      <c r="Q256" s="1"/>
      <c r="R256" s="1"/>
      <c r="S256" s="1"/>
      <c r="T256" s="1"/>
    </row>
    <row r="257" spans="1:20" ht="33.75" customHeight="1">
      <c r="A257" s="1" t="s">
        <v>899</v>
      </c>
      <c r="B257" s="1" t="s">
        <v>846</v>
      </c>
      <c r="C257" s="4">
        <v>39850.097222222219</v>
      </c>
      <c r="D257" s="1" t="s">
        <v>416</v>
      </c>
      <c r="E257" s="1"/>
      <c r="F257" s="2" t="s">
        <v>902</v>
      </c>
      <c r="G257" s="1">
        <f ca="1">IFERROR(__xludf.DUMMYFUNCTION("COUNTA(SPLIT(F257,"" ""))"),146)</f>
        <v>146</v>
      </c>
      <c r="H257" s="1">
        <v>146</v>
      </c>
      <c r="I257" s="1"/>
      <c r="J257" s="1"/>
      <c r="K257" s="1"/>
      <c r="L257" s="1"/>
      <c r="M257" s="1"/>
      <c r="N257" s="1"/>
      <c r="O257" s="1"/>
      <c r="P257" s="1"/>
      <c r="Q257" s="1"/>
      <c r="R257" s="1"/>
      <c r="S257" s="1"/>
      <c r="T257" s="1"/>
    </row>
    <row r="258" spans="1:20" ht="33.75" hidden="1" customHeight="1">
      <c r="A258" s="1" t="s">
        <v>903</v>
      </c>
      <c r="B258" s="1" t="s">
        <v>846</v>
      </c>
      <c r="C258" s="4">
        <v>39850.156944444447</v>
      </c>
      <c r="D258" s="1" t="s">
        <v>416</v>
      </c>
      <c r="E258" s="1">
        <v>83</v>
      </c>
      <c r="F258" s="2" t="s">
        <v>904</v>
      </c>
      <c r="G258" s="1">
        <f ca="1">IFERROR(__xludf.DUMMYFUNCTION("COUNTA(SPLIT(F258,"" ""))"),64)</f>
        <v>64</v>
      </c>
      <c r="H258" s="1">
        <v>64</v>
      </c>
      <c r="I258" s="1"/>
      <c r="J258" s="1"/>
      <c r="K258" s="1"/>
      <c r="L258" s="1"/>
      <c r="M258" s="1"/>
      <c r="N258" s="1"/>
      <c r="O258" s="1"/>
      <c r="P258" s="1"/>
      <c r="Q258" s="1"/>
      <c r="R258" s="1"/>
      <c r="S258" s="1"/>
      <c r="T258" s="1"/>
    </row>
    <row r="259" spans="1:20" ht="33.75" customHeight="1">
      <c r="A259" s="1" t="s">
        <v>905</v>
      </c>
      <c r="B259" s="1" t="s">
        <v>160</v>
      </c>
      <c r="C259" s="4">
        <v>39850.255555555559</v>
      </c>
      <c r="D259" s="1" t="s">
        <v>906</v>
      </c>
      <c r="E259" s="1"/>
      <c r="F259" s="2" t="s">
        <v>908</v>
      </c>
      <c r="G259" s="1">
        <f ca="1">IFERROR(__xludf.DUMMYFUNCTION("COUNTA(SPLIT(F259,"" ""))"),188)</f>
        <v>188</v>
      </c>
      <c r="H259" s="1">
        <v>188</v>
      </c>
      <c r="I259" s="1"/>
      <c r="J259" s="1"/>
      <c r="K259" s="1"/>
      <c r="L259" s="1"/>
      <c r="M259" s="1"/>
      <c r="N259" s="1"/>
      <c r="O259" s="1"/>
      <c r="P259" s="1"/>
      <c r="Q259" s="1"/>
      <c r="R259" s="1"/>
      <c r="S259" s="1"/>
      <c r="T259" s="1"/>
    </row>
    <row r="260" spans="1:20" ht="33.75" customHeight="1">
      <c r="A260" s="1" t="s">
        <v>909</v>
      </c>
      <c r="B260" s="1" t="s">
        <v>160</v>
      </c>
      <c r="C260" s="4">
        <v>39850.283333333333</v>
      </c>
      <c r="D260" s="1" t="s">
        <v>196</v>
      </c>
      <c r="E260" s="1"/>
      <c r="F260" s="2" t="s">
        <v>911</v>
      </c>
      <c r="G260" s="1">
        <f ca="1">IFERROR(__xludf.DUMMYFUNCTION("COUNTA(SPLIT(F260,"" ""))"),151)</f>
        <v>151</v>
      </c>
      <c r="H260" s="1">
        <v>151</v>
      </c>
      <c r="I260" s="1"/>
      <c r="J260" s="1"/>
      <c r="K260" s="1"/>
      <c r="L260" s="1"/>
      <c r="M260" s="1"/>
      <c r="N260" s="1"/>
      <c r="O260" s="1"/>
      <c r="P260" s="1"/>
      <c r="Q260" s="1"/>
      <c r="R260" s="1"/>
      <c r="S260" s="1"/>
      <c r="T260" s="1"/>
    </row>
    <row r="261" spans="1:20" ht="33.75" customHeight="1">
      <c r="A261" s="1" t="s">
        <v>912</v>
      </c>
      <c r="B261" s="1" t="s">
        <v>160</v>
      </c>
      <c r="C261" s="4">
        <v>39850.286805555559</v>
      </c>
      <c r="D261" s="1" t="s">
        <v>913</v>
      </c>
      <c r="E261" s="1"/>
      <c r="F261" s="2" t="s">
        <v>915</v>
      </c>
      <c r="G261" s="1">
        <f ca="1">IFERROR(__xludf.DUMMYFUNCTION("COUNTA(SPLIT(F261,"" ""))"),16)</f>
        <v>16</v>
      </c>
      <c r="H261" s="1">
        <v>16</v>
      </c>
      <c r="I261" s="1"/>
      <c r="J261" s="1"/>
      <c r="K261" s="1"/>
      <c r="L261" s="1"/>
      <c r="M261" s="1"/>
      <c r="N261" s="1"/>
      <c r="O261" s="1"/>
      <c r="P261" s="1"/>
      <c r="Q261" s="1"/>
      <c r="R261" s="1"/>
      <c r="S261" s="1"/>
      <c r="T261" s="1"/>
    </row>
    <row r="262" spans="1:20" ht="33.75" hidden="1" customHeight="1">
      <c r="A262" s="1" t="s">
        <v>916</v>
      </c>
      <c r="B262" s="1" t="s">
        <v>160</v>
      </c>
      <c r="C262" s="4">
        <v>39850.300000000003</v>
      </c>
      <c r="D262" s="1" t="s">
        <v>196</v>
      </c>
      <c r="E262" s="1" t="s">
        <v>909</v>
      </c>
      <c r="F262" s="2" t="s">
        <v>918</v>
      </c>
      <c r="G262" s="1">
        <f ca="1">IFERROR(__xludf.DUMMYFUNCTION("COUNTA(SPLIT(F262,"" ""))"),168)</f>
        <v>168</v>
      </c>
      <c r="H262" s="1">
        <v>168</v>
      </c>
      <c r="I262" s="1"/>
      <c r="J262" s="1"/>
      <c r="K262" s="1"/>
      <c r="L262" s="1"/>
      <c r="M262" s="1"/>
      <c r="N262" s="1"/>
      <c r="O262" s="1"/>
      <c r="P262" s="1"/>
      <c r="Q262" s="1"/>
      <c r="R262" s="1"/>
      <c r="S262" s="1"/>
      <c r="T262" s="1"/>
    </row>
    <row r="263" spans="1:20" ht="33.75" hidden="1" customHeight="1">
      <c r="A263" s="1" t="s">
        <v>919</v>
      </c>
      <c r="B263" s="1" t="s">
        <v>846</v>
      </c>
      <c r="C263" s="4">
        <v>39850.3125</v>
      </c>
      <c r="D263" s="1" t="s">
        <v>84</v>
      </c>
      <c r="E263" s="1" t="s">
        <v>899</v>
      </c>
      <c r="F263" s="2" t="s">
        <v>920</v>
      </c>
      <c r="G263" s="1">
        <f ca="1">IFERROR(__xludf.DUMMYFUNCTION("COUNTA(SPLIT(F263,"" ""))"),84)</f>
        <v>84</v>
      </c>
      <c r="H263" s="1">
        <v>84</v>
      </c>
      <c r="I263" s="1"/>
      <c r="J263" s="1"/>
      <c r="K263" s="1"/>
      <c r="L263" s="1"/>
      <c r="M263" s="1"/>
      <c r="N263" s="1"/>
      <c r="O263" s="1"/>
      <c r="P263" s="1"/>
      <c r="Q263" s="1"/>
      <c r="R263" s="1"/>
      <c r="S263" s="1"/>
      <c r="T263" s="1"/>
    </row>
    <row r="264" spans="1:20" ht="33.75" hidden="1" customHeight="1">
      <c r="A264" s="1" t="s">
        <v>921</v>
      </c>
      <c r="B264" s="1" t="s">
        <v>160</v>
      </c>
      <c r="C264" s="4">
        <v>39850.361111111109</v>
      </c>
      <c r="D264" s="1" t="s">
        <v>196</v>
      </c>
      <c r="E264" s="1" t="s">
        <v>909</v>
      </c>
      <c r="F264" s="2" t="s">
        <v>922</v>
      </c>
      <c r="G264" s="1">
        <f ca="1">IFERROR(__xludf.DUMMYFUNCTION("COUNTA(SPLIT(F264,"" ""))"),47)</f>
        <v>47</v>
      </c>
      <c r="H264" s="1">
        <v>47</v>
      </c>
      <c r="I264" s="1"/>
      <c r="J264" s="1"/>
      <c r="K264" s="1"/>
      <c r="L264" s="1"/>
      <c r="M264" s="1"/>
      <c r="N264" s="1"/>
      <c r="O264" s="1"/>
      <c r="P264" s="1"/>
      <c r="Q264" s="1"/>
      <c r="R264" s="1"/>
      <c r="S264" s="1"/>
      <c r="T264" s="1"/>
    </row>
    <row r="265" spans="1:20" ht="33.75" hidden="1" customHeight="1">
      <c r="A265" s="1" t="s">
        <v>923</v>
      </c>
      <c r="B265" s="1" t="s">
        <v>160</v>
      </c>
      <c r="C265" s="4">
        <v>39850.365277777775</v>
      </c>
      <c r="D265" s="1" t="s">
        <v>196</v>
      </c>
      <c r="E265" s="1" t="s">
        <v>921</v>
      </c>
      <c r="F265" s="2" t="s">
        <v>925</v>
      </c>
      <c r="G265" s="1">
        <f ca="1">IFERROR(__xludf.DUMMYFUNCTION("COUNTA(SPLIT(F265,"" ""))"),30)</f>
        <v>30</v>
      </c>
      <c r="H265" s="1">
        <v>30</v>
      </c>
      <c r="I265" s="1"/>
      <c r="J265" s="1"/>
      <c r="K265" s="1"/>
      <c r="L265" s="1"/>
      <c r="M265" s="1"/>
      <c r="N265" s="1"/>
      <c r="O265" s="1"/>
      <c r="P265" s="1"/>
      <c r="Q265" s="1"/>
      <c r="R265" s="1"/>
      <c r="S265" s="1"/>
      <c r="T265" s="1"/>
    </row>
    <row r="266" spans="1:20" ht="33.75" hidden="1" customHeight="1">
      <c r="A266" s="1" t="s">
        <v>12</v>
      </c>
      <c r="B266" s="1" t="s">
        <v>926</v>
      </c>
      <c r="C266" s="4">
        <v>39850.377500000002</v>
      </c>
      <c r="D266" s="1" t="s">
        <v>14</v>
      </c>
      <c r="E266" s="1" t="s">
        <v>927</v>
      </c>
      <c r="F266" s="2" t="s">
        <v>928</v>
      </c>
      <c r="G266" s="1">
        <f ca="1">IFERROR(__xludf.DUMMYFUNCTION("COUNTA(SPLIT(F266,"" ""))"),1555)</f>
        <v>1555</v>
      </c>
      <c r="H266" s="1">
        <v>1555</v>
      </c>
      <c r="I266" s="1"/>
      <c r="J266" s="1"/>
      <c r="K266" s="1"/>
      <c r="L266" s="1"/>
      <c r="M266" s="1"/>
      <c r="N266" s="1"/>
      <c r="O266" s="1"/>
      <c r="P266" s="1"/>
      <c r="Q266" s="1"/>
      <c r="R266" s="1"/>
      <c r="S266" s="1"/>
      <c r="T266" s="1"/>
    </row>
    <row r="267" spans="1:20" ht="33.75" hidden="1" customHeight="1">
      <c r="A267" s="1" t="s">
        <v>929</v>
      </c>
      <c r="B267" s="1" t="s">
        <v>160</v>
      </c>
      <c r="C267" s="4">
        <v>39850.380555555559</v>
      </c>
      <c r="D267" s="1" t="s">
        <v>14</v>
      </c>
      <c r="E267" s="1" t="s">
        <v>921</v>
      </c>
      <c r="F267" s="2" t="s">
        <v>931</v>
      </c>
      <c r="G267" s="1">
        <f ca="1">IFERROR(__xludf.DUMMYFUNCTION("COUNTA(SPLIT(F267,"" ""))"),15)</f>
        <v>15</v>
      </c>
      <c r="H267" s="1">
        <v>15</v>
      </c>
      <c r="I267" s="1"/>
      <c r="J267" s="1"/>
      <c r="K267" s="1"/>
      <c r="L267" s="1"/>
      <c r="M267" s="1"/>
      <c r="N267" s="1"/>
      <c r="O267" s="1"/>
      <c r="P267" s="1"/>
      <c r="Q267" s="1"/>
      <c r="R267" s="1"/>
      <c r="S267" s="1"/>
      <c r="T267" s="1"/>
    </row>
    <row r="268" spans="1:20" ht="33.75" customHeight="1">
      <c r="A268" s="1" t="s">
        <v>932</v>
      </c>
      <c r="B268" s="1" t="s">
        <v>160</v>
      </c>
      <c r="C268" s="4">
        <v>39850.42083333333</v>
      </c>
      <c r="D268" s="1" t="s">
        <v>14</v>
      </c>
      <c r="E268" s="1"/>
      <c r="F268" s="2" t="s">
        <v>933</v>
      </c>
      <c r="G268" s="1">
        <f ca="1">IFERROR(__xludf.DUMMYFUNCTION("COUNTA(SPLIT(F268,"" ""))"),94)</f>
        <v>94</v>
      </c>
      <c r="H268" s="1">
        <v>94</v>
      </c>
      <c r="I268" s="1"/>
      <c r="J268" s="1"/>
      <c r="K268" s="1"/>
      <c r="L268" s="1"/>
      <c r="M268" s="1"/>
      <c r="N268" s="1"/>
      <c r="O268" s="1"/>
      <c r="P268" s="1"/>
      <c r="Q268" s="1"/>
      <c r="R268" s="1"/>
      <c r="S268" s="1"/>
      <c r="T268" s="1"/>
    </row>
    <row r="269" spans="1:20" ht="33.75" customHeight="1">
      <c r="A269" s="1" t="s">
        <v>934</v>
      </c>
      <c r="B269" s="1" t="s">
        <v>926</v>
      </c>
      <c r="C269" s="4">
        <v>39850.469444444447</v>
      </c>
      <c r="D269" s="1" t="s">
        <v>14</v>
      </c>
      <c r="E269" s="1"/>
      <c r="F269" s="2" t="s">
        <v>936</v>
      </c>
      <c r="G269" s="1">
        <f ca="1">IFERROR(__xludf.DUMMYFUNCTION("COUNTA(SPLIT(F269,"" ""))"),292)</f>
        <v>292</v>
      </c>
      <c r="H269" s="1">
        <v>292</v>
      </c>
      <c r="I269" s="1"/>
      <c r="J269" s="1"/>
      <c r="K269" s="1"/>
      <c r="L269" s="1"/>
      <c r="M269" s="1"/>
      <c r="N269" s="1"/>
      <c r="O269" s="1"/>
      <c r="P269" s="1"/>
      <c r="Q269" s="1"/>
      <c r="R269" s="1"/>
      <c r="S269" s="1"/>
      <c r="T269" s="1"/>
    </row>
    <row r="270" spans="1:20" ht="33.75" customHeight="1">
      <c r="A270" s="1" t="s">
        <v>937</v>
      </c>
      <c r="B270" s="1" t="s">
        <v>926</v>
      </c>
      <c r="C270" s="4">
        <v>39850.478472222225</v>
      </c>
      <c r="D270" s="1" t="s">
        <v>14</v>
      </c>
      <c r="E270" s="1"/>
      <c r="F270" s="2" t="s">
        <v>938</v>
      </c>
      <c r="G270" s="1">
        <f ca="1">IFERROR(__xludf.DUMMYFUNCTION("COUNTA(SPLIT(F270,"" ""))"),236)</f>
        <v>236</v>
      </c>
      <c r="H270" s="1">
        <v>236</v>
      </c>
      <c r="I270" s="1"/>
      <c r="J270" s="1"/>
      <c r="K270" s="1"/>
      <c r="L270" s="1"/>
      <c r="M270" s="1"/>
      <c r="N270" s="1"/>
      <c r="O270" s="1"/>
      <c r="P270" s="1"/>
      <c r="Q270" s="1"/>
      <c r="R270" s="1"/>
      <c r="S270" s="1"/>
      <c r="T270" s="1"/>
    </row>
    <row r="271" spans="1:20" ht="33.75" hidden="1" customHeight="1">
      <c r="A271" s="1" t="s">
        <v>939</v>
      </c>
      <c r="B271" s="1" t="s">
        <v>926</v>
      </c>
      <c r="C271" s="4">
        <v>39850.489583333336</v>
      </c>
      <c r="D271" s="1" t="s">
        <v>14</v>
      </c>
      <c r="E271" s="1" t="s">
        <v>937</v>
      </c>
      <c r="F271" s="2" t="s">
        <v>940</v>
      </c>
      <c r="G271" s="1">
        <f ca="1">IFERROR(__xludf.DUMMYFUNCTION("COUNTA(SPLIT(F271,"" ""))"),229)</f>
        <v>229</v>
      </c>
      <c r="H271" s="1">
        <v>229</v>
      </c>
      <c r="I271" s="1"/>
      <c r="J271" s="1"/>
      <c r="K271" s="1"/>
      <c r="L271" s="1"/>
      <c r="M271" s="1"/>
      <c r="N271" s="1"/>
      <c r="O271" s="1"/>
      <c r="P271" s="1"/>
      <c r="Q271" s="1"/>
      <c r="R271" s="1"/>
      <c r="S271" s="1"/>
      <c r="T271" s="1"/>
    </row>
    <row r="272" spans="1:20" ht="33.75" customHeight="1">
      <c r="A272" s="1" t="s">
        <v>941</v>
      </c>
      <c r="B272" s="1" t="s">
        <v>926</v>
      </c>
      <c r="C272" s="4">
        <v>39850.518055555556</v>
      </c>
      <c r="D272" s="1" t="s">
        <v>14</v>
      </c>
      <c r="E272" s="1"/>
      <c r="F272" s="2" t="s">
        <v>942</v>
      </c>
      <c r="G272" s="1">
        <f ca="1">IFERROR(__xludf.DUMMYFUNCTION("COUNTA(SPLIT(F272,"" ""))"),334)</f>
        <v>334</v>
      </c>
      <c r="H272" s="1">
        <v>334</v>
      </c>
      <c r="I272" s="1"/>
      <c r="J272" s="1"/>
      <c r="K272" s="1"/>
      <c r="L272" s="1"/>
      <c r="M272" s="1"/>
      <c r="N272" s="1"/>
      <c r="O272" s="1"/>
      <c r="P272" s="1"/>
      <c r="Q272" s="1"/>
      <c r="R272" s="1"/>
      <c r="S272" s="1"/>
      <c r="T272" s="1"/>
    </row>
    <row r="273" spans="1:20" ht="33.75" customHeight="1">
      <c r="A273" s="1" t="s">
        <v>943</v>
      </c>
      <c r="B273" s="1" t="s">
        <v>926</v>
      </c>
      <c r="C273" s="4">
        <v>39850.525000000001</v>
      </c>
      <c r="D273" s="1" t="s">
        <v>14</v>
      </c>
      <c r="E273" s="1"/>
      <c r="F273" s="2" t="s">
        <v>944</v>
      </c>
      <c r="G273" s="1">
        <f ca="1">IFERROR(__xludf.DUMMYFUNCTION("COUNTA(SPLIT(F273,"" ""))"),94)</f>
        <v>94</v>
      </c>
      <c r="H273" s="1">
        <v>94</v>
      </c>
      <c r="I273" s="1"/>
      <c r="J273" s="1"/>
      <c r="K273" s="1"/>
      <c r="L273" s="1"/>
      <c r="M273" s="1"/>
      <c r="N273" s="1"/>
      <c r="O273" s="1"/>
      <c r="P273" s="1"/>
      <c r="Q273" s="1"/>
      <c r="R273" s="1"/>
      <c r="S273" s="1"/>
      <c r="T273" s="1"/>
    </row>
    <row r="274" spans="1:20" ht="33.75" customHeight="1">
      <c r="A274" s="1" t="s">
        <v>945</v>
      </c>
      <c r="B274" s="1" t="s">
        <v>926</v>
      </c>
      <c r="C274" s="4">
        <v>39850.538888888892</v>
      </c>
      <c r="D274" s="1" t="s">
        <v>14</v>
      </c>
      <c r="E274" s="1"/>
      <c r="F274" s="2" t="s">
        <v>946</v>
      </c>
      <c r="G274" s="1">
        <f ca="1">IFERROR(__xludf.DUMMYFUNCTION("COUNTA(SPLIT(F274,"" ""))"),166)</f>
        <v>166</v>
      </c>
      <c r="H274" s="1">
        <v>166</v>
      </c>
      <c r="I274" s="1"/>
      <c r="J274" s="1"/>
      <c r="K274" s="1"/>
      <c r="L274" s="1"/>
      <c r="M274" s="1"/>
      <c r="N274" s="1"/>
      <c r="O274" s="1"/>
      <c r="P274" s="1"/>
      <c r="Q274" s="1"/>
      <c r="R274" s="1"/>
      <c r="S274" s="1"/>
      <c r="T274" s="1"/>
    </row>
    <row r="275" spans="1:20" ht="33.75" customHeight="1">
      <c r="A275" s="1" t="s">
        <v>947</v>
      </c>
      <c r="B275" s="1" t="s">
        <v>926</v>
      </c>
      <c r="C275" s="4">
        <v>39850.552777777775</v>
      </c>
      <c r="D275" s="1" t="s">
        <v>14</v>
      </c>
      <c r="E275" s="1"/>
      <c r="F275" s="2" t="s">
        <v>948</v>
      </c>
      <c r="G275" s="1">
        <f ca="1">IFERROR(__xludf.DUMMYFUNCTION("COUNTA(SPLIT(F275,"" ""))"),41)</f>
        <v>41</v>
      </c>
      <c r="H275" s="1">
        <v>41</v>
      </c>
      <c r="I275" s="1"/>
      <c r="J275" s="1"/>
      <c r="K275" s="1"/>
      <c r="L275" s="1"/>
      <c r="M275" s="1"/>
      <c r="N275" s="1"/>
      <c r="O275" s="1"/>
      <c r="P275" s="1"/>
      <c r="Q275" s="1"/>
      <c r="R275" s="1"/>
      <c r="S275" s="1"/>
      <c r="T275" s="1"/>
    </row>
    <row r="276" spans="1:20" ht="33.75" customHeight="1">
      <c r="A276" s="1" t="s">
        <v>949</v>
      </c>
      <c r="B276" s="1" t="s">
        <v>926</v>
      </c>
      <c r="C276" s="4">
        <v>39850.568055555559</v>
      </c>
      <c r="D276" s="1" t="s">
        <v>14</v>
      </c>
      <c r="E276" s="1"/>
      <c r="F276" s="2" t="s">
        <v>950</v>
      </c>
      <c r="G276" s="1">
        <f ca="1">IFERROR(__xludf.DUMMYFUNCTION("COUNTA(SPLIT(F276,"" ""))"),284)</f>
        <v>284</v>
      </c>
      <c r="H276" s="1">
        <v>284</v>
      </c>
      <c r="I276" s="1"/>
      <c r="J276" s="1"/>
      <c r="K276" s="1"/>
      <c r="L276" s="1"/>
      <c r="M276" s="1"/>
      <c r="N276" s="1"/>
      <c r="O276" s="1"/>
      <c r="P276" s="1"/>
      <c r="Q276" s="1"/>
      <c r="R276" s="1"/>
      <c r="S276" s="1"/>
      <c r="T276" s="1"/>
    </row>
    <row r="277" spans="1:20" ht="33.75" customHeight="1">
      <c r="A277" s="1" t="s">
        <v>951</v>
      </c>
      <c r="B277" s="1" t="s">
        <v>926</v>
      </c>
      <c r="C277" s="4">
        <v>39850.582638888889</v>
      </c>
      <c r="D277" s="1" t="s">
        <v>14</v>
      </c>
      <c r="E277" s="1"/>
      <c r="F277" s="2" t="s">
        <v>952</v>
      </c>
      <c r="G277" s="1">
        <f ca="1">IFERROR(__xludf.DUMMYFUNCTION("COUNTA(SPLIT(F277,"" ""))"),168)</f>
        <v>168</v>
      </c>
      <c r="H277" s="1">
        <v>168</v>
      </c>
      <c r="I277" s="1"/>
      <c r="J277" s="1"/>
      <c r="K277" s="1"/>
      <c r="L277" s="1"/>
      <c r="M277" s="1"/>
      <c r="N277" s="1"/>
      <c r="O277" s="1"/>
      <c r="P277" s="1"/>
      <c r="Q277" s="1"/>
      <c r="R277" s="1"/>
      <c r="S277" s="1"/>
      <c r="T277" s="1"/>
    </row>
    <row r="278" spans="1:20" ht="33.75" customHeight="1">
      <c r="A278" s="1" t="s">
        <v>953</v>
      </c>
      <c r="B278" s="1" t="s">
        <v>926</v>
      </c>
      <c r="C278" s="4">
        <v>39850.634722222225</v>
      </c>
      <c r="D278" s="1" t="s">
        <v>320</v>
      </c>
      <c r="E278" s="1"/>
      <c r="F278" s="2" t="s">
        <v>956</v>
      </c>
      <c r="G278" s="1">
        <f ca="1">IFERROR(__xludf.DUMMYFUNCTION("COUNTA(SPLIT(F278,"" ""))"),99)</f>
        <v>99</v>
      </c>
      <c r="H278" s="1">
        <v>99</v>
      </c>
      <c r="I278" s="1"/>
      <c r="J278" s="1"/>
      <c r="K278" s="1"/>
      <c r="L278" s="1"/>
      <c r="M278" s="1"/>
      <c r="N278" s="1"/>
      <c r="O278" s="1"/>
      <c r="P278" s="1"/>
      <c r="Q278" s="1"/>
      <c r="R278" s="1"/>
      <c r="S278" s="1"/>
      <c r="T278" s="1"/>
    </row>
    <row r="279" spans="1:20" ht="33.75" hidden="1" customHeight="1">
      <c r="A279" s="1" t="s">
        <v>957</v>
      </c>
      <c r="B279" s="1" t="s">
        <v>846</v>
      </c>
      <c r="C279" s="4">
        <v>39850.677777777775</v>
      </c>
      <c r="D279" s="1" t="s">
        <v>416</v>
      </c>
      <c r="E279" s="1" t="s">
        <v>919</v>
      </c>
      <c r="F279" s="2" t="s">
        <v>958</v>
      </c>
      <c r="G279" s="1">
        <f ca="1">IFERROR(__xludf.DUMMYFUNCTION("COUNTA(SPLIT(F279,"" ""))"),152)</f>
        <v>152</v>
      </c>
      <c r="H279" s="1">
        <v>152</v>
      </c>
      <c r="I279" s="1"/>
      <c r="J279" s="1"/>
      <c r="K279" s="1"/>
      <c r="L279" s="1"/>
      <c r="M279" s="1"/>
      <c r="N279" s="1"/>
      <c r="O279" s="1"/>
      <c r="P279" s="1"/>
      <c r="Q279" s="1"/>
      <c r="R279" s="1"/>
      <c r="S279" s="1"/>
      <c r="T279" s="1"/>
    </row>
    <row r="280" spans="1:20" ht="33.75" customHeight="1">
      <c r="A280" s="1" t="s">
        <v>959</v>
      </c>
      <c r="B280" s="1" t="s">
        <v>926</v>
      </c>
      <c r="C280" s="4">
        <v>39850.700694444444</v>
      </c>
      <c r="D280" s="1" t="s">
        <v>14</v>
      </c>
      <c r="E280" s="1"/>
      <c r="F280" s="2" t="s">
        <v>961</v>
      </c>
      <c r="G280" s="1">
        <f ca="1">IFERROR(__xludf.DUMMYFUNCTION("COUNTA(SPLIT(F280,"" ""))"),123)</f>
        <v>123</v>
      </c>
      <c r="H280" s="1">
        <v>123</v>
      </c>
      <c r="I280" s="1"/>
      <c r="J280" s="1"/>
      <c r="K280" s="1"/>
      <c r="L280" s="1"/>
      <c r="M280" s="1"/>
      <c r="N280" s="1"/>
      <c r="O280" s="1"/>
      <c r="P280" s="1"/>
      <c r="Q280" s="1"/>
      <c r="R280" s="1"/>
      <c r="S280" s="1"/>
      <c r="T280" s="1"/>
    </row>
    <row r="281" spans="1:20" ht="33.75" hidden="1" customHeight="1">
      <c r="A281" s="1" t="s">
        <v>962</v>
      </c>
      <c r="B281" s="1" t="s">
        <v>926</v>
      </c>
      <c r="C281" s="4">
        <v>39850.715277777781</v>
      </c>
      <c r="D281" s="1" t="s">
        <v>320</v>
      </c>
      <c r="E281" s="1" t="s">
        <v>959</v>
      </c>
      <c r="F281" s="2" t="s">
        <v>963</v>
      </c>
      <c r="G281" s="1">
        <f ca="1">IFERROR(__xludf.DUMMYFUNCTION("COUNTA(SPLIT(F281,"" ""))"),35)</f>
        <v>35</v>
      </c>
      <c r="H281" s="1">
        <v>35</v>
      </c>
      <c r="I281" s="1"/>
      <c r="J281" s="1"/>
      <c r="K281" s="1"/>
      <c r="L281" s="1"/>
      <c r="M281" s="1"/>
      <c r="N281" s="1"/>
      <c r="O281" s="1"/>
      <c r="P281" s="1"/>
      <c r="Q281" s="1"/>
      <c r="R281" s="1"/>
      <c r="S281" s="1"/>
      <c r="T281" s="1"/>
    </row>
    <row r="282" spans="1:20" ht="33.75" customHeight="1">
      <c r="A282" s="1" t="s">
        <v>964</v>
      </c>
      <c r="B282" s="1" t="s">
        <v>926</v>
      </c>
      <c r="C282" s="4">
        <v>39850.71597222222</v>
      </c>
      <c r="D282" s="1" t="s">
        <v>84</v>
      </c>
      <c r="E282" s="1"/>
      <c r="F282" s="2" t="s">
        <v>966</v>
      </c>
      <c r="G282" s="1">
        <f ca="1">IFERROR(__xludf.DUMMYFUNCTION("COUNTA(SPLIT(F282,"" ""))"),44)</f>
        <v>44</v>
      </c>
      <c r="H282" s="1">
        <v>44</v>
      </c>
      <c r="I282" s="1"/>
      <c r="J282" s="1"/>
      <c r="K282" s="1"/>
      <c r="L282" s="1"/>
      <c r="M282" s="1"/>
      <c r="N282" s="1"/>
      <c r="O282" s="1"/>
      <c r="P282" s="1"/>
      <c r="Q282" s="1"/>
      <c r="R282" s="1"/>
      <c r="S282" s="1"/>
      <c r="T282" s="1"/>
    </row>
    <row r="283" spans="1:20" ht="33.75" customHeight="1">
      <c r="A283" s="1" t="s">
        <v>967</v>
      </c>
      <c r="B283" s="1" t="s">
        <v>926</v>
      </c>
      <c r="C283" s="4">
        <v>39850.717361111114</v>
      </c>
      <c r="D283" s="1" t="s">
        <v>14</v>
      </c>
      <c r="E283" s="1"/>
      <c r="F283" s="2" t="s">
        <v>969</v>
      </c>
      <c r="G283" s="1">
        <f ca="1">IFERROR(__xludf.DUMMYFUNCTION("COUNTA(SPLIT(F283,"" ""))"),306)</f>
        <v>306</v>
      </c>
      <c r="H283" s="1">
        <v>306</v>
      </c>
      <c r="I283" s="1"/>
      <c r="J283" s="1"/>
      <c r="K283" s="1"/>
      <c r="L283" s="1"/>
      <c r="M283" s="1"/>
      <c r="N283" s="1"/>
      <c r="O283" s="1"/>
      <c r="P283" s="1"/>
      <c r="Q283" s="1"/>
      <c r="R283" s="1"/>
      <c r="S283" s="1"/>
      <c r="T283" s="1"/>
    </row>
    <row r="284" spans="1:20" ht="33.75" customHeight="1">
      <c r="A284" s="1" t="s">
        <v>970</v>
      </c>
      <c r="B284" s="1" t="s">
        <v>926</v>
      </c>
      <c r="C284" s="4">
        <v>39850.71875</v>
      </c>
      <c r="D284" s="1" t="s">
        <v>84</v>
      </c>
      <c r="E284" s="1"/>
      <c r="F284" s="2" t="s">
        <v>971</v>
      </c>
      <c r="G284" s="1">
        <f ca="1">IFERROR(__xludf.DUMMYFUNCTION("COUNTA(SPLIT(F284,"" ""))"),25)</f>
        <v>25</v>
      </c>
      <c r="H284" s="1">
        <v>25</v>
      </c>
      <c r="I284" s="1"/>
      <c r="J284" s="1"/>
      <c r="K284" s="1"/>
      <c r="L284" s="1"/>
      <c r="M284" s="1"/>
      <c r="N284" s="1"/>
      <c r="O284" s="1"/>
      <c r="P284" s="1"/>
      <c r="Q284" s="1"/>
      <c r="R284" s="1"/>
      <c r="S284" s="1"/>
      <c r="T284" s="1"/>
    </row>
    <row r="285" spans="1:20" ht="33.75" hidden="1" customHeight="1">
      <c r="A285" s="1" t="s">
        <v>972</v>
      </c>
      <c r="B285" s="1" t="s">
        <v>926</v>
      </c>
      <c r="C285" s="4">
        <v>39850.729861111111</v>
      </c>
      <c r="D285" s="1" t="s">
        <v>14</v>
      </c>
      <c r="E285" s="1">
        <v>308</v>
      </c>
      <c r="F285" s="2" t="s">
        <v>974</v>
      </c>
      <c r="G285" s="1">
        <f ca="1">IFERROR(__xludf.DUMMYFUNCTION("COUNTA(SPLIT(F285,"" ""))"),173)</f>
        <v>173</v>
      </c>
      <c r="H285" s="1">
        <v>173</v>
      </c>
      <c r="I285" s="1"/>
      <c r="J285" s="1"/>
      <c r="K285" s="1"/>
      <c r="L285" s="1"/>
      <c r="M285" s="1"/>
      <c r="N285" s="1"/>
      <c r="O285" s="1"/>
      <c r="P285" s="1"/>
      <c r="Q285" s="1"/>
      <c r="R285" s="1"/>
      <c r="S285" s="1"/>
      <c r="T285" s="1"/>
    </row>
    <row r="286" spans="1:20" ht="33.75" hidden="1" customHeight="1">
      <c r="A286" s="1" t="s">
        <v>975</v>
      </c>
      <c r="B286" s="1" t="s">
        <v>926</v>
      </c>
      <c r="C286" s="4">
        <v>39850.742361111108</v>
      </c>
      <c r="D286" s="1" t="s">
        <v>14</v>
      </c>
      <c r="E286" s="1">
        <v>308</v>
      </c>
      <c r="F286" s="2" t="s">
        <v>977</v>
      </c>
      <c r="G286" s="1">
        <f ca="1">IFERROR(__xludf.DUMMYFUNCTION("COUNTA(SPLIT(F286,"" ""))"),336)</f>
        <v>336</v>
      </c>
      <c r="H286" s="1">
        <v>336</v>
      </c>
      <c r="I286" s="1"/>
      <c r="J286" s="1"/>
      <c r="K286" s="1"/>
      <c r="L286" s="1"/>
      <c r="M286" s="1"/>
      <c r="N286" s="1"/>
      <c r="O286" s="1"/>
      <c r="P286" s="1"/>
      <c r="Q286" s="1"/>
      <c r="R286" s="1"/>
      <c r="S286" s="1"/>
      <c r="T286" s="1"/>
    </row>
    <row r="287" spans="1:20" ht="33.75" customHeight="1">
      <c r="A287" s="1" t="s">
        <v>978</v>
      </c>
      <c r="B287" s="1" t="s">
        <v>926</v>
      </c>
      <c r="C287" s="4">
        <v>39850.759722222225</v>
      </c>
      <c r="D287" s="1" t="s">
        <v>14</v>
      </c>
      <c r="E287" s="1"/>
      <c r="F287" s="2" t="s">
        <v>980</v>
      </c>
      <c r="G287" s="1">
        <f ca="1">IFERROR(__xludf.DUMMYFUNCTION("COUNTA(SPLIT(F287,"" ""))"),195)</f>
        <v>195</v>
      </c>
      <c r="H287" s="1">
        <v>195</v>
      </c>
      <c r="I287" s="1"/>
      <c r="J287" s="1"/>
      <c r="K287" s="1"/>
      <c r="L287" s="1"/>
      <c r="M287" s="1"/>
      <c r="N287" s="1"/>
      <c r="O287" s="1"/>
      <c r="P287" s="1"/>
      <c r="Q287" s="1"/>
      <c r="R287" s="1"/>
      <c r="S287" s="1"/>
      <c r="T287" s="1"/>
    </row>
    <row r="288" spans="1:20" ht="33.75" customHeight="1">
      <c r="A288" s="1" t="s">
        <v>981</v>
      </c>
      <c r="B288" s="3" t="s">
        <v>13</v>
      </c>
      <c r="C288" s="4">
        <v>39850.771527777775</v>
      </c>
      <c r="D288" s="1" t="s">
        <v>982</v>
      </c>
      <c r="E288" s="1"/>
      <c r="F288" s="2" t="s">
        <v>984</v>
      </c>
      <c r="G288" s="1">
        <f ca="1">IFERROR(__xludf.DUMMYFUNCTION("COUNTA(SPLIT(F288,"" ""))"),181)</f>
        <v>181</v>
      </c>
      <c r="H288" s="1">
        <v>181</v>
      </c>
      <c r="I288" s="1"/>
      <c r="J288" s="1"/>
      <c r="K288" s="1"/>
      <c r="L288" s="1"/>
      <c r="M288" s="1"/>
      <c r="N288" s="1"/>
      <c r="O288" s="1"/>
      <c r="P288" s="1"/>
      <c r="Q288" s="1"/>
      <c r="R288" s="1"/>
      <c r="S288" s="1"/>
      <c r="T288" s="1"/>
    </row>
    <row r="289" spans="1:20" ht="33.75" customHeight="1">
      <c r="A289" s="1" t="s">
        <v>985</v>
      </c>
      <c r="B289" s="1" t="s">
        <v>846</v>
      </c>
      <c r="C289" s="4">
        <v>39850.771527777775</v>
      </c>
      <c r="D289" s="1" t="s">
        <v>84</v>
      </c>
      <c r="E289" s="1"/>
      <c r="F289" s="2" t="s">
        <v>987</v>
      </c>
      <c r="G289" s="1">
        <f ca="1">IFERROR(__xludf.DUMMYFUNCTION("COUNTA(SPLIT(F289,"" ""))"),61)</f>
        <v>61</v>
      </c>
      <c r="H289" s="1">
        <v>61</v>
      </c>
      <c r="I289" s="1"/>
      <c r="J289" s="1"/>
      <c r="K289" s="1"/>
      <c r="L289" s="1"/>
      <c r="M289" s="1"/>
      <c r="N289" s="1"/>
      <c r="O289" s="1"/>
      <c r="P289" s="1"/>
      <c r="Q289" s="1"/>
      <c r="R289" s="1"/>
      <c r="S289" s="1"/>
      <c r="T289" s="1"/>
    </row>
    <row r="290" spans="1:20" ht="33.75" customHeight="1">
      <c r="A290" s="1" t="s">
        <v>988</v>
      </c>
      <c r="B290" s="1" t="s">
        <v>926</v>
      </c>
      <c r="C290" s="4">
        <v>39850.772916666669</v>
      </c>
      <c r="D290" s="1" t="s">
        <v>196</v>
      </c>
      <c r="E290" s="1"/>
      <c r="F290" s="2" t="s">
        <v>990</v>
      </c>
      <c r="G290" s="1">
        <f ca="1">IFERROR(__xludf.DUMMYFUNCTION("COUNTA(SPLIT(F290,"" ""))"),108)</f>
        <v>108</v>
      </c>
      <c r="H290" s="1">
        <v>108</v>
      </c>
      <c r="I290" s="1"/>
      <c r="J290" s="1"/>
      <c r="K290" s="1"/>
      <c r="L290" s="1"/>
      <c r="M290" s="1"/>
      <c r="N290" s="1"/>
      <c r="O290" s="1"/>
      <c r="P290" s="1"/>
      <c r="Q290" s="1"/>
      <c r="R290" s="1"/>
      <c r="S290" s="1"/>
      <c r="T290" s="1"/>
    </row>
    <row r="291" spans="1:20" ht="33.75" hidden="1" customHeight="1">
      <c r="A291" s="1" t="s">
        <v>991</v>
      </c>
      <c r="B291" s="1" t="s">
        <v>926</v>
      </c>
      <c r="C291" s="4">
        <v>39850.802083333336</v>
      </c>
      <c r="D291" s="1" t="s">
        <v>14</v>
      </c>
      <c r="E291" s="1" t="s">
        <v>988</v>
      </c>
      <c r="F291" s="2" t="s">
        <v>993</v>
      </c>
      <c r="G291" s="1">
        <f ca="1">IFERROR(__xludf.DUMMYFUNCTION("COUNTA(SPLIT(F291,"" ""))"),131)</f>
        <v>131</v>
      </c>
      <c r="H291" s="1">
        <v>131</v>
      </c>
      <c r="I291" s="1"/>
      <c r="J291" s="1"/>
      <c r="K291" s="1"/>
      <c r="L291" s="1"/>
      <c r="M291" s="1"/>
      <c r="N291" s="1"/>
      <c r="O291" s="1"/>
      <c r="P291" s="1"/>
      <c r="Q291" s="1"/>
      <c r="R291" s="1"/>
      <c r="S291" s="1"/>
      <c r="T291" s="1"/>
    </row>
    <row r="292" spans="1:20" ht="33.75" customHeight="1">
      <c r="A292" s="1" t="s">
        <v>994</v>
      </c>
      <c r="B292" s="1" t="s">
        <v>846</v>
      </c>
      <c r="C292" s="4">
        <v>39850.803472222222</v>
      </c>
      <c r="D292" s="1" t="s">
        <v>54</v>
      </c>
      <c r="E292" s="1"/>
      <c r="F292" s="2" t="s">
        <v>995</v>
      </c>
      <c r="G292" s="1">
        <f ca="1">IFERROR(__xludf.DUMMYFUNCTION("COUNTA(SPLIT(F292,"" ""))"),205)</f>
        <v>205</v>
      </c>
      <c r="H292" s="1">
        <v>205</v>
      </c>
      <c r="I292" s="1"/>
      <c r="J292" s="1"/>
      <c r="K292" s="1"/>
      <c r="L292" s="1"/>
      <c r="M292" s="1"/>
      <c r="N292" s="1"/>
      <c r="O292" s="1"/>
      <c r="P292" s="1"/>
      <c r="Q292" s="1"/>
      <c r="R292" s="1"/>
      <c r="S292" s="1"/>
      <c r="T292" s="1"/>
    </row>
    <row r="293" spans="1:20" ht="33.75" customHeight="1">
      <c r="A293" s="1" t="s">
        <v>996</v>
      </c>
      <c r="B293" s="1" t="s">
        <v>926</v>
      </c>
      <c r="C293" s="4">
        <v>39850.809027777781</v>
      </c>
      <c r="D293" s="1" t="s">
        <v>320</v>
      </c>
      <c r="E293" s="1"/>
      <c r="F293" s="2" t="s">
        <v>997</v>
      </c>
      <c r="G293" s="1">
        <f ca="1">IFERROR(__xludf.DUMMYFUNCTION("COUNTA(SPLIT(F293,"" ""))"),42)</f>
        <v>42</v>
      </c>
      <c r="H293" s="1">
        <v>42</v>
      </c>
      <c r="I293" s="1"/>
      <c r="J293" s="1"/>
      <c r="K293" s="1"/>
      <c r="L293" s="1"/>
      <c r="M293" s="1"/>
      <c r="N293" s="1"/>
      <c r="O293" s="1"/>
      <c r="P293" s="1"/>
      <c r="Q293" s="1"/>
      <c r="R293" s="1"/>
      <c r="S293" s="1"/>
      <c r="T293" s="1"/>
    </row>
    <row r="294" spans="1:20" ht="33.75" customHeight="1">
      <c r="A294" s="1" t="s">
        <v>998</v>
      </c>
      <c r="B294" s="1" t="s">
        <v>926</v>
      </c>
      <c r="C294" s="4">
        <v>39850.811111111114</v>
      </c>
      <c r="D294" s="1" t="s">
        <v>196</v>
      </c>
      <c r="E294" s="1"/>
      <c r="F294" s="2" t="s">
        <v>1000</v>
      </c>
      <c r="G294" s="1">
        <f ca="1">IFERROR(__xludf.DUMMYFUNCTION("COUNTA(SPLIT(F294,"" ""))"),71)</f>
        <v>71</v>
      </c>
      <c r="H294" s="1">
        <v>71</v>
      </c>
      <c r="I294" s="1"/>
      <c r="J294" s="1"/>
      <c r="K294" s="1"/>
      <c r="L294" s="1"/>
      <c r="M294" s="1"/>
      <c r="N294" s="1"/>
      <c r="O294" s="1"/>
      <c r="P294" s="1"/>
      <c r="Q294" s="1"/>
      <c r="R294" s="1"/>
      <c r="S294" s="1"/>
      <c r="T294" s="1"/>
    </row>
    <row r="295" spans="1:20" ht="33.75" hidden="1" customHeight="1">
      <c r="A295" s="1" t="s">
        <v>1001</v>
      </c>
      <c r="B295" s="1" t="s">
        <v>926</v>
      </c>
      <c r="C295" s="4">
        <v>39850.81527777778</v>
      </c>
      <c r="D295" s="1" t="s">
        <v>14</v>
      </c>
      <c r="E295" s="1" t="s">
        <v>941</v>
      </c>
      <c r="F295" s="2" t="s">
        <v>1002</v>
      </c>
      <c r="G295" s="1">
        <f ca="1">IFERROR(__xludf.DUMMYFUNCTION("COUNTA(SPLIT(F295,"" ""))"),96)</f>
        <v>96</v>
      </c>
      <c r="H295" s="1">
        <v>96</v>
      </c>
      <c r="I295" s="1"/>
      <c r="J295" s="1"/>
      <c r="K295" s="1"/>
      <c r="L295" s="1"/>
      <c r="M295" s="1"/>
      <c r="N295" s="1"/>
      <c r="O295" s="1"/>
      <c r="P295" s="1"/>
      <c r="Q295" s="1"/>
      <c r="R295" s="1"/>
      <c r="S295" s="1"/>
      <c r="T295" s="1"/>
    </row>
    <row r="296" spans="1:20" ht="33.75" hidden="1" customHeight="1">
      <c r="A296" s="1" t="s">
        <v>1003</v>
      </c>
      <c r="B296" s="1" t="s">
        <v>926</v>
      </c>
      <c r="C296" s="4">
        <v>39850.815972222219</v>
      </c>
      <c r="D296" s="1" t="s">
        <v>84</v>
      </c>
      <c r="E296" s="1" t="s">
        <v>941</v>
      </c>
      <c r="F296" s="2" t="s">
        <v>1004</v>
      </c>
      <c r="G296" s="1">
        <f ca="1">IFERROR(__xludf.DUMMYFUNCTION("COUNTA(SPLIT(F296,"" ""))"),76)</f>
        <v>76</v>
      </c>
      <c r="H296" s="1">
        <v>76</v>
      </c>
      <c r="I296" s="1"/>
      <c r="J296" s="1"/>
      <c r="K296" s="1"/>
      <c r="L296" s="1"/>
      <c r="M296" s="1"/>
      <c r="N296" s="1"/>
      <c r="O296" s="1"/>
      <c r="P296" s="1"/>
      <c r="Q296" s="1"/>
      <c r="R296" s="1"/>
      <c r="S296" s="1"/>
      <c r="T296" s="1"/>
    </row>
    <row r="297" spans="1:20" ht="33.75" hidden="1" customHeight="1">
      <c r="A297" s="1" t="s">
        <v>1005</v>
      </c>
      <c r="B297" s="1" t="s">
        <v>926</v>
      </c>
      <c r="C297" s="4">
        <v>39850.817361111112</v>
      </c>
      <c r="D297" s="1" t="s">
        <v>14</v>
      </c>
      <c r="E297" s="1" t="s">
        <v>1003</v>
      </c>
      <c r="F297" s="2" t="s">
        <v>1006</v>
      </c>
      <c r="G297" s="1">
        <f ca="1">IFERROR(__xludf.DUMMYFUNCTION("COUNTA(SPLIT(F297,"" ""))"),49)</f>
        <v>49</v>
      </c>
      <c r="H297" s="1">
        <v>49</v>
      </c>
      <c r="I297" s="1"/>
      <c r="J297" s="1"/>
      <c r="K297" s="1"/>
      <c r="L297" s="1"/>
      <c r="M297" s="1"/>
      <c r="N297" s="1"/>
      <c r="O297" s="1"/>
      <c r="P297" s="1"/>
      <c r="Q297" s="1"/>
      <c r="R297" s="1"/>
      <c r="S297" s="1"/>
      <c r="T297" s="1"/>
    </row>
    <row r="298" spans="1:20" ht="33.75" customHeight="1">
      <c r="A298" s="1" t="s">
        <v>1007</v>
      </c>
      <c r="B298" s="1" t="s">
        <v>926</v>
      </c>
      <c r="C298" s="4">
        <v>39850.838888888888</v>
      </c>
      <c r="D298" s="1" t="s">
        <v>14</v>
      </c>
      <c r="E298" s="1"/>
      <c r="F298" s="2" t="s">
        <v>1008</v>
      </c>
      <c r="G298" s="1">
        <f ca="1">IFERROR(__xludf.DUMMYFUNCTION("COUNTA(SPLIT(F298,"" ""))"),188)</f>
        <v>188</v>
      </c>
      <c r="H298" s="1">
        <v>188</v>
      </c>
      <c r="I298" s="1"/>
      <c r="J298" s="1"/>
      <c r="K298" s="1"/>
      <c r="L298" s="1"/>
      <c r="M298" s="1"/>
      <c r="N298" s="1"/>
      <c r="O298" s="1"/>
      <c r="P298" s="1"/>
      <c r="Q298" s="1"/>
      <c r="R298" s="1"/>
      <c r="S298" s="1"/>
      <c r="T298" s="1"/>
    </row>
    <row r="299" spans="1:20" ht="33.75" hidden="1" customHeight="1">
      <c r="A299" s="1" t="s">
        <v>1009</v>
      </c>
      <c r="B299" s="1" t="s">
        <v>926</v>
      </c>
      <c r="C299" s="4">
        <v>39850.854166666664</v>
      </c>
      <c r="D299" s="1" t="s">
        <v>196</v>
      </c>
      <c r="E299" s="1">
        <v>319</v>
      </c>
      <c r="F299" s="2" t="s">
        <v>1011</v>
      </c>
      <c r="G299" s="1">
        <f ca="1">IFERROR(__xludf.DUMMYFUNCTION("COUNTA(SPLIT(F299,"" ""))"),58)</f>
        <v>58</v>
      </c>
      <c r="H299" s="1">
        <v>58</v>
      </c>
      <c r="I299" s="1"/>
      <c r="J299" s="1"/>
      <c r="K299" s="1"/>
      <c r="L299" s="1"/>
      <c r="M299" s="1"/>
      <c r="N299" s="1"/>
      <c r="O299" s="1"/>
      <c r="P299" s="1"/>
      <c r="Q299" s="1"/>
      <c r="R299" s="1"/>
      <c r="S299" s="1"/>
      <c r="T299" s="1"/>
    </row>
    <row r="300" spans="1:20" ht="33.75" hidden="1" customHeight="1">
      <c r="A300" s="1" t="s">
        <v>1012</v>
      </c>
      <c r="B300" s="1" t="s">
        <v>926</v>
      </c>
      <c r="C300" s="4">
        <v>39850.895138888889</v>
      </c>
      <c r="D300" s="1" t="s">
        <v>320</v>
      </c>
      <c r="E300" s="1" t="s">
        <v>1001</v>
      </c>
      <c r="F300" s="2" t="s">
        <v>1013</v>
      </c>
      <c r="G300" s="1">
        <f ca="1">IFERROR(__xludf.DUMMYFUNCTION("COUNTA(SPLIT(F300,"" ""))"),49)</f>
        <v>49</v>
      </c>
      <c r="H300" s="1">
        <v>49</v>
      </c>
      <c r="I300" s="1"/>
      <c r="J300" s="1"/>
      <c r="K300" s="1"/>
      <c r="L300" s="1"/>
      <c r="M300" s="1"/>
      <c r="N300" s="1"/>
      <c r="O300" s="1"/>
      <c r="P300" s="1"/>
      <c r="Q300" s="1"/>
      <c r="R300" s="1"/>
      <c r="S300" s="1"/>
      <c r="T300" s="1"/>
    </row>
    <row r="301" spans="1:20" ht="33.75" hidden="1" customHeight="1">
      <c r="A301" s="1" t="s">
        <v>1014</v>
      </c>
      <c r="B301" s="1" t="s">
        <v>926</v>
      </c>
      <c r="C301" s="4">
        <v>39850.900694444441</v>
      </c>
      <c r="D301" s="1" t="s">
        <v>14</v>
      </c>
      <c r="E301" s="1" t="s">
        <v>1012</v>
      </c>
      <c r="F301" s="2" t="s">
        <v>1015</v>
      </c>
      <c r="G301" s="1">
        <f ca="1">IFERROR(__xludf.DUMMYFUNCTION("COUNTA(SPLIT(F301,"" ""))"),30)</f>
        <v>30</v>
      </c>
      <c r="H301" s="1">
        <v>30</v>
      </c>
      <c r="I301" s="1"/>
      <c r="J301" s="1"/>
      <c r="K301" s="1"/>
      <c r="L301" s="1"/>
      <c r="M301" s="1"/>
      <c r="N301" s="1"/>
      <c r="O301" s="1"/>
      <c r="P301" s="1"/>
      <c r="Q301" s="1"/>
      <c r="R301" s="1"/>
      <c r="S301" s="1"/>
      <c r="T301" s="1"/>
    </row>
    <row r="302" spans="1:20" ht="33.75" customHeight="1">
      <c r="A302" s="1" t="s">
        <v>1016</v>
      </c>
      <c r="B302" s="1" t="s">
        <v>926</v>
      </c>
      <c r="C302" s="4">
        <v>39850.904861111114</v>
      </c>
      <c r="D302" s="1" t="s">
        <v>14</v>
      </c>
      <c r="E302" s="1"/>
      <c r="F302" s="2" t="s">
        <v>1019</v>
      </c>
      <c r="G302" s="1">
        <f ca="1">IFERROR(__xludf.DUMMYFUNCTION("COUNTA(SPLIT(F302,"" ""))"),96)</f>
        <v>96</v>
      </c>
      <c r="H302" s="1">
        <v>96</v>
      </c>
      <c r="I302" s="1"/>
      <c r="J302" s="1"/>
      <c r="K302" s="1"/>
      <c r="L302" s="1"/>
      <c r="M302" s="1"/>
      <c r="N302" s="1"/>
      <c r="O302" s="1"/>
      <c r="P302" s="1"/>
      <c r="Q302" s="1"/>
      <c r="R302" s="1"/>
      <c r="S302" s="1"/>
      <c r="T302" s="1"/>
    </row>
    <row r="303" spans="1:20" ht="33.75" hidden="1" customHeight="1">
      <c r="A303" s="1" t="s">
        <v>1020</v>
      </c>
      <c r="B303" s="1" t="s">
        <v>926</v>
      </c>
      <c r="C303" s="4">
        <v>39850.911805555559</v>
      </c>
      <c r="D303" s="1" t="s">
        <v>196</v>
      </c>
      <c r="E303" s="1" t="s">
        <v>1016</v>
      </c>
      <c r="F303" s="2" t="s">
        <v>1022</v>
      </c>
      <c r="G303" s="1">
        <f ca="1">IFERROR(__xludf.DUMMYFUNCTION("COUNTA(SPLIT(F303,"" ""))"),74)</f>
        <v>74</v>
      </c>
      <c r="H303" s="1">
        <v>74</v>
      </c>
      <c r="I303" s="1"/>
      <c r="J303" s="1"/>
      <c r="K303" s="1"/>
      <c r="L303" s="1"/>
      <c r="M303" s="1"/>
      <c r="N303" s="1"/>
      <c r="O303" s="1"/>
      <c r="P303" s="1"/>
      <c r="Q303" s="1"/>
      <c r="R303" s="1"/>
      <c r="S303" s="1"/>
      <c r="T303" s="1"/>
    </row>
    <row r="304" spans="1:20" ht="33.75" hidden="1" customHeight="1">
      <c r="A304" s="1" t="s">
        <v>1023</v>
      </c>
      <c r="B304" s="1" t="s">
        <v>926</v>
      </c>
      <c r="C304" s="4">
        <v>39850.96597222222</v>
      </c>
      <c r="D304" s="1" t="s">
        <v>14</v>
      </c>
      <c r="E304" s="1" t="s">
        <v>1020</v>
      </c>
      <c r="F304" s="2" t="s">
        <v>1025</v>
      </c>
      <c r="G304" s="1">
        <f ca="1">IFERROR(__xludf.DUMMYFUNCTION("COUNTA(SPLIT(F304,"" ""))"),142)</f>
        <v>142</v>
      </c>
      <c r="H304" s="1">
        <v>142</v>
      </c>
      <c r="I304" s="1"/>
      <c r="J304" s="1"/>
      <c r="K304" s="1"/>
      <c r="L304" s="1"/>
      <c r="M304" s="1"/>
      <c r="N304" s="1"/>
      <c r="O304" s="1"/>
      <c r="P304" s="1"/>
      <c r="Q304" s="1"/>
      <c r="R304" s="1"/>
      <c r="S304" s="1"/>
      <c r="T304" s="1"/>
    </row>
    <row r="305" spans="1:20" ht="33.75" customHeight="1">
      <c r="A305" s="1" t="s">
        <v>1026</v>
      </c>
      <c r="B305" s="1" t="s">
        <v>926</v>
      </c>
      <c r="C305" s="4">
        <v>39850.994444444441</v>
      </c>
      <c r="D305" s="1" t="s">
        <v>14</v>
      </c>
      <c r="E305" s="1"/>
      <c r="F305" s="2" t="s">
        <v>1028</v>
      </c>
      <c r="G305" s="1">
        <f ca="1">IFERROR(__xludf.DUMMYFUNCTION("COUNTA(SPLIT(F305,"" ""))"),542)</f>
        <v>542</v>
      </c>
      <c r="H305" s="1">
        <v>542</v>
      </c>
      <c r="I305" s="1"/>
      <c r="J305" s="1"/>
      <c r="K305" s="1"/>
      <c r="L305" s="1"/>
      <c r="M305" s="1"/>
      <c r="N305" s="1"/>
      <c r="O305" s="1"/>
      <c r="P305" s="1"/>
      <c r="Q305" s="1"/>
      <c r="R305" s="1"/>
      <c r="S305" s="1"/>
      <c r="T305" s="1"/>
    </row>
    <row r="306" spans="1:20" ht="33.75" hidden="1" customHeight="1">
      <c r="A306" s="1" t="s">
        <v>1029</v>
      </c>
      <c r="B306" s="1" t="s">
        <v>846</v>
      </c>
      <c r="C306" s="4">
        <v>39851.022916666669</v>
      </c>
      <c r="D306" s="1" t="s">
        <v>474</v>
      </c>
      <c r="E306" s="1" t="s">
        <v>994</v>
      </c>
      <c r="F306" s="2" t="s">
        <v>1030</v>
      </c>
      <c r="G306" s="1">
        <f ca="1">IFERROR(__xludf.DUMMYFUNCTION("COUNTA(SPLIT(F306,"" ""))"),72)</f>
        <v>72</v>
      </c>
      <c r="H306" s="1">
        <v>72</v>
      </c>
      <c r="I306" s="1"/>
      <c r="J306" s="1"/>
      <c r="K306" s="1"/>
      <c r="L306" s="1"/>
      <c r="M306" s="1"/>
      <c r="N306" s="1"/>
      <c r="O306" s="1"/>
      <c r="P306" s="1"/>
      <c r="Q306" s="1"/>
      <c r="R306" s="1"/>
      <c r="S306" s="1"/>
      <c r="T306" s="1"/>
    </row>
    <row r="307" spans="1:20" ht="33.75" customHeight="1">
      <c r="A307" s="1" t="s">
        <v>1031</v>
      </c>
      <c r="B307" s="1" t="s">
        <v>846</v>
      </c>
      <c r="C307" s="4">
        <v>39851.027777777781</v>
      </c>
      <c r="D307" s="1" t="s">
        <v>1032</v>
      </c>
      <c r="E307" s="1"/>
      <c r="F307" s="2" t="s">
        <v>1034</v>
      </c>
      <c r="G307" s="1">
        <f ca="1">IFERROR(__xludf.DUMMYFUNCTION("COUNTA(SPLIT(F307,"" ""))"),84)</f>
        <v>84</v>
      </c>
      <c r="H307" s="1">
        <v>84</v>
      </c>
      <c r="I307" s="1"/>
      <c r="J307" s="1"/>
      <c r="K307" s="1"/>
      <c r="L307" s="1"/>
      <c r="M307" s="1"/>
      <c r="N307" s="1"/>
      <c r="O307" s="1"/>
      <c r="P307" s="1"/>
      <c r="Q307" s="1"/>
      <c r="R307" s="1"/>
      <c r="S307" s="1"/>
      <c r="T307" s="1"/>
    </row>
    <row r="308" spans="1:20" ht="33.75" customHeight="1">
      <c r="A308" s="1" t="s">
        <v>1035</v>
      </c>
      <c r="B308" s="1" t="s">
        <v>926</v>
      </c>
      <c r="C308" s="4">
        <v>39851.074999999997</v>
      </c>
      <c r="D308" s="1" t="s">
        <v>14</v>
      </c>
      <c r="E308" s="1"/>
      <c r="F308" s="2" t="s">
        <v>1036</v>
      </c>
      <c r="G308" s="1">
        <f ca="1">IFERROR(__xludf.DUMMYFUNCTION("COUNTA(SPLIT(F308,"" ""))"),110)</f>
        <v>110</v>
      </c>
      <c r="H308" s="1">
        <v>110</v>
      </c>
      <c r="I308" s="1"/>
      <c r="J308" s="1"/>
      <c r="K308" s="1"/>
      <c r="L308" s="1"/>
      <c r="M308" s="1"/>
      <c r="N308" s="1"/>
      <c r="O308" s="1"/>
      <c r="P308" s="1"/>
      <c r="Q308" s="1"/>
      <c r="R308" s="1"/>
      <c r="S308" s="1"/>
      <c r="T308" s="1"/>
    </row>
    <row r="309" spans="1:20" ht="33.75" hidden="1" customHeight="1">
      <c r="A309" s="1" t="s">
        <v>1037</v>
      </c>
      <c r="B309" s="1" t="s">
        <v>846</v>
      </c>
      <c r="C309" s="4">
        <v>39851.171527777777</v>
      </c>
      <c r="D309" s="1" t="s">
        <v>474</v>
      </c>
      <c r="E309" s="1" t="s">
        <v>1029</v>
      </c>
      <c r="F309" s="2" t="s">
        <v>1038</v>
      </c>
      <c r="G309" s="1">
        <f ca="1">IFERROR(__xludf.DUMMYFUNCTION("COUNTA(SPLIT(F309,"" ""))"),47)</f>
        <v>47</v>
      </c>
      <c r="H309" s="1">
        <v>47</v>
      </c>
      <c r="I309" s="1"/>
      <c r="J309" s="1"/>
      <c r="K309" s="1"/>
      <c r="L309" s="1"/>
      <c r="M309" s="1"/>
      <c r="N309" s="1"/>
      <c r="O309" s="1"/>
      <c r="P309" s="1"/>
      <c r="Q309" s="1"/>
      <c r="R309" s="1"/>
      <c r="S309" s="1"/>
      <c r="T309" s="1"/>
    </row>
    <row r="310" spans="1:20" ht="33.75" hidden="1" customHeight="1">
      <c r="A310" s="1" t="s">
        <v>1039</v>
      </c>
      <c r="B310" s="1" t="s">
        <v>846</v>
      </c>
      <c r="C310" s="4">
        <v>39851.199305555558</v>
      </c>
      <c r="D310" s="1" t="s">
        <v>474</v>
      </c>
      <c r="E310" s="1" t="s">
        <v>994</v>
      </c>
      <c r="F310" s="2" t="s">
        <v>1040</v>
      </c>
      <c r="G310" s="1">
        <f ca="1">IFERROR(__xludf.DUMMYFUNCTION("COUNTA(SPLIT(F310,"" ""))"),141)</f>
        <v>141</v>
      </c>
      <c r="H310" s="1">
        <v>141</v>
      </c>
      <c r="I310" s="1"/>
      <c r="J310" s="1"/>
      <c r="K310" s="1"/>
      <c r="L310" s="1"/>
      <c r="M310" s="1"/>
      <c r="N310" s="1"/>
      <c r="O310" s="1"/>
      <c r="P310" s="1"/>
      <c r="Q310" s="1"/>
      <c r="R310" s="1"/>
      <c r="S310" s="1"/>
      <c r="T310" s="1"/>
    </row>
    <row r="311" spans="1:20" ht="33.75" customHeight="1">
      <c r="A311" s="1" t="s">
        <v>1041</v>
      </c>
      <c r="B311" s="1" t="s">
        <v>926</v>
      </c>
      <c r="C311" s="4">
        <v>39851.28402777778</v>
      </c>
      <c r="D311" s="1" t="s">
        <v>196</v>
      </c>
      <c r="E311" s="1"/>
      <c r="F311" s="2" t="s">
        <v>1043</v>
      </c>
      <c r="G311" s="1">
        <f ca="1">IFERROR(__xludf.DUMMYFUNCTION("COUNTA(SPLIT(F311,"" ""))"),267)</f>
        <v>267</v>
      </c>
      <c r="H311" s="1">
        <v>267</v>
      </c>
      <c r="I311" s="1"/>
      <c r="J311" s="1"/>
      <c r="K311" s="1"/>
      <c r="L311" s="1"/>
      <c r="M311" s="1"/>
      <c r="N311" s="1"/>
      <c r="O311" s="1"/>
      <c r="P311" s="1"/>
      <c r="Q311" s="1"/>
      <c r="R311" s="1"/>
      <c r="S311" s="1"/>
      <c r="T311" s="1"/>
    </row>
    <row r="312" spans="1:20" ht="33.75" customHeight="1">
      <c r="A312" s="1" t="s">
        <v>1044</v>
      </c>
      <c r="B312" s="1" t="s">
        <v>926</v>
      </c>
      <c r="C312" s="4">
        <v>39851.292361111111</v>
      </c>
      <c r="D312" s="1" t="s">
        <v>196</v>
      </c>
      <c r="E312" s="1"/>
      <c r="F312" s="2" t="s">
        <v>1045</v>
      </c>
      <c r="G312" s="1">
        <f ca="1">IFERROR(__xludf.DUMMYFUNCTION("COUNTA(SPLIT(F312,"" ""))"),24)</f>
        <v>24</v>
      </c>
      <c r="H312" s="1">
        <v>24</v>
      </c>
      <c r="I312" s="1"/>
      <c r="J312" s="1"/>
      <c r="K312" s="1"/>
      <c r="L312" s="1"/>
      <c r="M312" s="1"/>
      <c r="N312" s="1"/>
      <c r="O312" s="1"/>
      <c r="P312" s="1"/>
      <c r="Q312" s="1"/>
      <c r="R312" s="1"/>
      <c r="S312" s="1"/>
      <c r="T312" s="1"/>
    </row>
    <row r="313" spans="1:20" ht="33.75" hidden="1" customHeight="1">
      <c r="A313" s="1" t="s">
        <v>1046</v>
      </c>
      <c r="B313" s="1" t="s">
        <v>846</v>
      </c>
      <c r="C313" s="4">
        <v>39851.302777777775</v>
      </c>
      <c r="D313" s="1" t="s">
        <v>84</v>
      </c>
      <c r="E313" s="1" t="s">
        <v>1029</v>
      </c>
      <c r="F313" s="2" t="s">
        <v>1047</v>
      </c>
      <c r="G313" s="1">
        <f ca="1">IFERROR(__xludf.DUMMYFUNCTION("COUNTA(SPLIT(F313,"" ""))"),46)</f>
        <v>46</v>
      </c>
      <c r="H313" s="1">
        <v>46</v>
      </c>
      <c r="I313" s="1"/>
      <c r="J313" s="1"/>
      <c r="K313" s="1"/>
      <c r="L313" s="1"/>
      <c r="M313" s="1"/>
      <c r="N313" s="1"/>
      <c r="O313" s="1"/>
      <c r="P313" s="1"/>
      <c r="Q313" s="1"/>
      <c r="R313" s="1"/>
      <c r="S313" s="1"/>
      <c r="T313" s="1"/>
    </row>
    <row r="314" spans="1:20" ht="33.75" hidden="1" customHeight="1">
      <c r="A314" s="1" t="s">
        <v>1048</v>
      </c>
      <c r="B314" s="1" t="s">
        <v>846</v>
      </c>
      <c r="C314" s="4">
        <v>39851.34097222222</v>
      </c>
      <c r="D314" s="1" t="s">
        <v>84</v>
      </c>
      <c r="E314" s="1" t="s">
        <v>1049</v>
      </c>
      <c r="F314" s="2" t="s">
        <v>1051</v>
      </c>
      <c r="G314" s="1">
        <f ca="1">IFERROR(__xludf.DUMMYFUNCTION("COUNTA(SPLIT(F314,"" ""))"),153)</f>
        <v>153</v>
      </c>
      <c r="H314" s="1">
        <v>153</v>
      </c>
      <c r="I314" s="1"/>
      <c r="J314" s="1"/>
      <c r="K314" s="1"/>
      <c r="L314" s="1"/>
      <c r="M314" s="1"/>
      <c r="N314" s="1"/>
      <c r="O314" s="1"/>
      <c r="P314" s="1"/>
      <c r="Q314" s="1"/>
      <c r="R314" s="1"/>
      <c r="S314" s="1"/>
      <c r="T314" s="1"/>
    </row>
    <row r="315" spans="1:20" ht="33.75" customHeight="1">
      <c r="A315" s="1" t="s">
        <v>1052</v>
      </c>
      <c r="B315" s="1" t="s">
        <v>846</v>
      </c>
      <c r="C315" s="4">
        <v>39851.37222222222</v>
      </c>
      <c r="D315" s="1" t="s">
        <v>54</v>
      </c>
      <c r="E315" s="1"/>
      <c r="F315" s="2" t="s">
        <v>1054</v>
      </c>
      <c r="G315" s="1">
        <f ca="1">IFERROR(__xludf.DUMMYFUNCTION("COUNTA(SPLIT(F315,"" ""))"),39)</f>
        <v>39</v>
      </c>
      <c r="H315" s="1">
        <v>39</v>
      </c>
      <c r="I315" s="1"/>
      <c r="J315" s="1"/>
      <c r="K315" s="1"/>
      <c r="L315" s="1"/>
      <c r="M315" s="1"/>
      <c r="N315" s="1"/>
      <c r="O315" s="1"/>
      <c r="P315" s="1"/>
      <c r="Q315" s="1"/>
      <c r="R315" s="1"/>
      <c r="S315" s="1"/>
      <c r="T315" s="1"/>
    </row>
    <row r="316" spans="1:20" ht="33.75" customHeight="1">
      <c r="A316" s="1" t="s">
        <v>1055</v>
      </c>
      <c r="B316" s="1" t="s">
        <v>846</v>
      </c>
      <c r="C316" s="4">
        <v>39851.38958333333</v>
      </c>
      <c r="D316" s="1" t="s">
        <v>84</v>
      </c>
      <c r="E316" s="1"/>
      <c r="F316" s="2" t="s">
        <v>1056</v>
      </c>
      <c r="G316" s="1">
        <f ca="1">IFERROR(__xludf.DUMMYFUNCTION("COUNTA(SPLIT(F316,"" ""))"),10)</f>
        <v>10</v>
      </c>
      <c r="H316" s="1">
        <v>10</v>
      </c>
      <c r="I316" s="1"/>
      <c r="J316" s="1"/>
      <c r="K316" s="1"/>
      <c r="L316" s="1"/>
      <c r="M316" s="1"/>
      <c r="N316" s="1"/>
      <c r="O316" s="1"/>
      <c r="P316" s="1"/>
      <c r="Q316" s="1"/>
      <c r="R316" s="1"/>
      <c r="S316" s="1"/>
      <c r="T316" s="1"/>
    </row>
    <row r="317" spans="1:20" ht="33.75" customHeight="1">
      <c r="A317" s="1" t="s">
        <v>1057</v>
      </c>
      <c r="B317" s="1" t="s">
        <v>846</v>
      </c>
      <c r="C317" s="4">
        <v>39851.394444444442</v>
      </c>
      <c r="D317" s="1" t="s">
        <v>474</v>
      </c>
      <c r="E317" s="1"/>
      <c r="F317" s="2" t="s">
        <v>1058</v>
      </c>
      <c r="G317" s="1">
        <f ca="1">IFERROR(__xludf.DUMMYFUNCTION("COUNTA(SPLIT(F317,"" ""))"),23)</f>
        <v>23</v>
      </c>
      <c r="H317" s="1">
        <v>23</v>
      </c>
      <c r="I317" s="1"/>
      <c r="J317" s="1"/>
      <c r="K317" s="1"/>
      <c r="L317" s="1"/>
      <c r="M317" s="1"/>
      <c r="N317" s="1"/>
      <c r="O317" s="1"/>
      <c r="P317" s="1"/>
      <c r="Q317" s="1"/>
      <c r="R317" s="1"/>
      <c r="S317" s="1"/>
      <c r="T317" s="1"/>
    </row>
    <row r="318" spans="1:20" ht="33.75" customHeight="1">
      <c r="A318" s="1" t="s">
        <v>1059</v>
      </c>
      <c r="B318" s="1" t="s">
        <v>846</v>
      </c>
      <c r="C318" s="4">
        <v>39851.40625</v>
      </c>
      <c r="D318" s="1" t="s">
        <v>54</v>
      </c>
      <c r="E318" s="1"/>
      <c r="F318" s="2" t="s">
        <v>1060</v>
      </c>
      <c r="G318" s="1">
        <f ca="1">IFERROR(__xludf.DUMMYFUNCTION("COUNTA(SPLIT(F318,"" ""))"),28)</f>
        <v>28</v>
      </c>
      <c r="H318" s="1">
        <v>28</v>
      </c>
      <c r="I318" s="1"/>
      <c r="J318" s="1"/>
      <c r="K318" s="1"/>
      <c r="L318" s="1"/>
      <c r="M318" s="1"/>
      <c r="N318" s="1"/>
      <c r="O318" s="1"/>
      <c r="P318" s="1"/>
      <c r="Q318" s="1"/>
      <c r="R318" s="1"/>
      <c r="S318" s="1"/>
      <c r="T318" s="1"/>
    </row>
    <row r="319" spans="1:20" ht="33.75" hidden="1" customHeight="1">
      <c r="A319" s="1" t="s">
        <v>1061</v>
      </c>
      <c r="B319" s="1" t="s">
        <v>846</v>
      </c>
      <c r="C319" s="4">
        <v>39851.425694444442</v>
      </c>
      <c r="D319" s="1" t="s">
        <v>474</v>
      </c>
      <c r="E319" s="1" t="s">
        <v>1062</v>
      </c>
      <c r="F319" s="2" t="s">
        <v>1065</v>
      </c>
      <c r="G319" s="1">
        <f ca="1">IFERROR(__xludf.DUMMYFUNCTION("COUNTA(SPLIT(F319,"" ""))"),93)</f>
        <v>93</v>
      </c>
      <c r="H319" s="1">
        <v>93</v>
      </c>
      <c r="I319" s="1"/>
      <c r="J319" s="1"/>
      <c r="K319" s="1"/>
      <c r="L319" s="1"/>
      <c r="M319" s="1"/>
      <c r="N319" s="1"/>
      <c r="O319" s="1"/>
      <c r="P319" s="1"/>
      <c r="Q319" s="1"/>
      <c r="R319" s="1"/>
      <c r="S319" s="1"/>
      <c r="T319" s="1"/>
    </row>
    <row r="320" spans="1:20" ht="33.75" hidden="1" customHeight="1">
      <c r="A320" s="1" t="s">
        <v>1066</v>
      </c>
      <c r="B320" s="1" t="s">
        <v>926</v>
      </c>
      <c r="C320" s="4">
        <v>39851.431944444441</v>
      </c>
      <c r="D320" s="1" t="s">
        <v>14</v>
      </c>
      <c r="E320" s="1" t="s">
        <v>1044</v>
      </c>
      <c r="F320" s="2" t="s">
        <v>1069</v>
      </c>
      <c r="G320" s="1">
        <f ca="1">IFERROR(__xludf.DUMMYFUNCTION("COUNTA(SPLIT(F320,"" ""))"),292)</f>
        <v>292</v>
      </c>
      <c r="H320" s="1">
        <v>292</v>
      </c>
      <c r="I320" s="1"/>
      <c r="J320" s="1"/>
      <c r="K320" s="1"/>
      <c r="L320" s="1"/>
      <c r="M320" s="1"/>
      <c r="N320" s="1"/>
      <c r="O320" s="1"/>
      <c r="P320" s="1"/>
      <c r="Q320" s="1"/>
      <c r="R320" s="1"/>
      <c r="S320" s="1"/>
      <c r="T320" s="1"/>
    </row>
    <row r="321" spans="1:20" ht="33.75" hidden="1" customHeight="1">
      <c r="A321" s="1" t="s">
        <v>1070</v>
      </c>
      <c r="B321" s="1" t="s">
        <v>846</v>
      </c>
      <c r="C321" s="4">
        <v>39851.444444444445</v>
      </c>
      <c r="D321" s="1" t="s">
        <v>474</v>
      </c>
      <c r="E321" s="1" t="s">
        <v>1061</v>
      </c>
      <c r="F321" s="2" t="s">
        <v>1071</v>
      </c>
      <c r="G321" s="1">
        <f ca="1">IFERROR(__xludf.DUMMYFUNCTION("COUNTA(SPLIT(F321,"" ""))"),74)</f>
        <v>74</v>
      </c>
      <c r="H321" s="1">
        <v>74</v>
      </c>
      <c r="I321" s="1"/>
      <c r="J321" s="1"/>
      <c r="K321" s="1"/>
      <c r="L321" s="1"/>
      <c r="M321" s="1"/>
      <c r="N321" s="1"/>
      <c r="O321" s="1"/>
      <c r="P321" s="1"/>
      <c r="Q321" s="1"/>
      <c r="R321" s="1"/>
      <c r="S321" s="1"/>
      <c r="T321" s="1"/>
    </row>
    <row r="322" spans="1:20" ht="33.75" customHeight="1">
      <c r="A322" s="1" t="s">
        <v>1072</v>
      </c>
      <c r="B322" s="3" t="s">
        <v>13</v>
      </c>
      <c r="C322" s="4">
        <v>39851.510416666664</v>
      </c>
      <c r="D322" s="1" t="s">
        <v>1073</v>
      </c>
      <c r="E322" s="1"/>
      <c r="F322" s="2" t="s">
        <v>1074</v>
      </c>
      <c r="G322" s="1">
        <f ca="1">IFERROR(__xludf.DUMMYFUNCTION("COUNTA(SPLIT(F322,"" ""))"),339)</f>
        <v>339</v>
      </c>
      <c r="H322" s="1">
        <v>339</v>
      </c>
      <c r="I322" s="1"/>
      <c r="J322" s="1"/>
      <c r="K322" s="1"/>
      <c r="L322" s="1"/>
      <c r="M322" s="1"/>
      <c r="N322" s="1"/>
      <c r="O322" s="1"/>
      <c r="P322" s="1"/>
      <c r="Q322" s="1"/>
      <c r="R322" s="1"/>
      <c r="S322" s="1"/>
      <c r="T322" s="1"/>
    </row>
    <row r="323" spans="1:20" ht="33.75" customHeight="1">
      <c r="A323" s="1" t="s">
        <v>1075</v>
      </c>
      <c r="B323" s="3" t="s">
        <v>13</v>
      </c>
      <c r="C323" s="4">
        <v>39851.540277777778</v>
      </c>
      <c r="D323" s="1" t="s">
        <v>1073</v>
      </c>
      <c r="E323" s="1"/>
      <c r="F323" s="2" t="s">
        <v>1076</v>
      </c>
      <c r="G323" s="1">
        <f ca="1">IFERROR(__xludf.DUMMYFUNCTION("COUNTA(SPLIT(F323,"" ""))"),487)</f>
        <v>487</v>
      </c>
      <c r="H323" s="1">
        <v>487</v>
      </c>
      <c r="I323" s="1"/>
      <c r="J323" s="1"/>
      <c r="K323" s="1"/>
      <c r="L323" s="1"/>
      <c r="M323" s="1"/>
      <c r="N323" s="1"/>
      <c r="O323" s="1"/>
      <c r="P323" s="1"/>
      <c r="Q323" s="1"/>
      <c r="R323" s="1"/>
      <c r="S323" s="1"/>
      <c r="T323" s="1"/>
    </row>
    <row r="324" spans="1:20" ht="33.75" customHeight="1">
      <c r="A324" s="1" t="s">
        <v>1077</v>
      </c>
      <c r="B324" s="3" t="s">
        <v>13</v>
      </c>
      <c r="C324" s="4">
        <v>39851.542361111111</v>
      </c>
      <c r="D324" s="1" t="s">
        <v>1078</v>
      </c>
      <c r="E324" s="1"/>
      <c r="F324" s="2" t="s">
        <v>1080</v>
      </c>
      <c r="G324" s="1">
        <f ca="1">IFERROR(__xludf.DUMMYFUNCTION("COUNTA(SPLIT(F324,"" ""))"),49)</f>
        <v>49</v>
      </c>
      <c r="H324" s="1">
        <v>49</v>
      </c>
      <c r="I324" s="1"/>
      <c r="J324" s="1"/>
      <c r="K324" s="1"/>
      <c r="L324" s="1"/>
      <c r="M324" s="1"/>
      <c r="N324" s="1"/>
      <c r="O324" s="1"/>
      <c r="P324" s="1"/>
      <c r="Q324" s="1"/>
      <c r="R324" s="1"/>
      <c r="S324" s="1"/>
      <c r="T324" s="1"/>
    </row>
    <row r="325" spans="1:20" ht="33.75" customHeight="1">
      <c r="A325" s="1" t="s">
        <v>1081</v>
      </c>
      <c r="B325" s="3" t="s">
        <v>13</v>
      </c>
      <c r="C325" s="4">
        <v>39851.561111111114</v>
      </c>
      <c r="D325" s="1" t="s">
        <v>1073</v>
      </c>
      <c r="E325" s="1"/>
      <c r="F325" s="2" t="s">
        <v>1084</v>
      </c>
      <c r="G325" s="1">
        <f ca="1">IFERROR(__xludf.DUMMYFUNCTION("COUNTA(SPLIT(F325,"" ""))"),278)</f>
        <v>278</v>
      </c>
      <c r="H325" s="1">
        <v>278</v>
      </c>
      <c r="I325" s="1"/>
      <c r="J325" s="1"/>
      <c r="K325" s="1"/>
      <c r="L325" s="1"/>
      <c r="M325" s="1"/>
      <c r="N325" s="1"/>
      <c r="O325" s="1"/>
      <c r="P325" s="1"/>
      <c r="Q325" s="1"/>
      <c r="R325" s="1"/>
      <c r="S325" s="1"/>
      <c r="T325" s="1"/>
    </row>
    <row r="326" spans="1:20" ht="33.75" hidden="1" customHeight="1">
      <c r="A326" s="1" t="s">
        <v>1085</v>
      </c>
      <c r="B326" s="3" t="s">
        <v>13</v>
      </c>
      <c r="C326" s="4">
        <v>39851.574305555558</v>
      </c>
      <c r="D326" s="1" t="s">
        <v>1073</v>
      </c>
      <c r="E326" s="1" t="s">
        <v>1077</v>
      </c>
      <c r="F326" s="2" t="s">
        <v>1087</v>
      </c>
      <c r="G326" s="1">
        <f ca="1">IFERROR(__xludf.DUMMYFUNCTION("COUNTA(SPLIT(F326,"" ""))"),206)</f>
        <v>206</v>
      </c>
      <c r="H326" s="1">
        <v>206</v>
      </c>
      <c r="I326" s="1"/>
      <c r="J326" s="1"/>
      <c r="K326" s="1"/>
      <c r="L326" s="1"/>
      <c r="M326" s="1"/>
      <c r="N326" s="1"/>
      <c r="O326" s="1"/>
      <c r="P326" s="1"/>
      <c r="Q326" s="1"/>
      <c r="R326" s="1"/>
      <c r="S326" s="1"/>
      <c r="T326" s="1"/>
    </row>
    <row r="327" spans="1:20" ht="33.75" customHeight="1">
      <c r="A327" s="1" t="s">
        <v>1088</v>
      </c>
      <c r="B327" s="1" t="s">
        <v>846</v>
      </c>
      <c r="C327" s="4">
        <v>39851.57916666667</v>
      </c>
      <c r="D327" s="1" t="s">
        <v>1089</v>
      </c>
      <c r="E327" s="1"/>
      <c r="F327" s="2" t="s">
        <v>1090</v>
      </c>
      <c r="G327" s="1">
        <f ca="1">IFERROR(__xludf.DUMMYFUNCTION("COUNTA(SPLIT(F327,"" ""))"),32)</f>
        <v>32</v>
      </c>
      <c r="H327" s="1">
        <v>32</v>
      </c>
      <c r="I327" s="1"/>
      <c r="J327" s="1"/>
      <c r="K327" s="1"/>
      <c r="L327" s="1"/>
      <c r="M327" s="1"/>
      <c r="N327" s="1"/>
      <c r="O327" s="1"/>
      <c r="P327" s="1"/>
      <c r="Q327" s="1"/>
      <c r="R327" s="1"/>
      <c r="S327" s="1"/>
      <c r="T327" s="1"/>
    </row>
    <row r="328" spans="1:20" ht="33.75" customHeight="1">
      <c r="A328" s="1" t="s">
        <v>1091</v>
      </c>
      <c r="B328" s="3" t="s">
        <v>13</v>
      </c>
      <c r="C328" s="4">
        <v>39851.590277777781</v>
      </c>
      <c r="D328" s="1" t="s">
        <v>688</v>
      </c>
      <c r="E328" s="1"/>
      <c r="F328" s="2" t="s">
        <v>1092</v>
      </c>
      <c r="G328" s="1">
        <f ca="1">IFERROR(__xludf.DUMMYFUNCTION("COUNTA(SPLIT(F328,"" ""))"),151)</f>
        <v>151</v>
      </c>
      <c r="H328" s="1">
        <v>151</v>
      </c>
      <c r="I328" s="1"/>
      <c r="J328" s="1"/>
      <c r="K328" s="1"/>
      <c r="L328" s="1"/>
      <c r="M328" s="1"/>
      <c r="N328" s="1"/>
      <c r="O328" s="1"/>
      <c r="P328" s="1"/>
      <c r="Q328" s="1"/>
      <c r="R328" s="1"/>
      <c r="S328" s="1"/>
      <c r="T328" s="1"/>
    </row>
    <row r="329" spans="1:20" ht="33.75" hidden="1" customHeight="1">
      <c r="A329" s="1" t="s">
        <v>1093</v>
      </c>
      <c r="B329" s="1" t="s">
        <v>926</v>
      </c>
      <c r="C329" s="4">
        <v>39851.605555555558</v>
      </c>
      <c r="D329" s="1" t="s">
        <v>14</v>
      </c>
      <c r="E329" s="1" t="s">
        <v>1094</v>
      </c>
      <c r="F329" s="2" t="s">
        <v>1097</v>
      </c>
      <c r="G329" s="1">
        <f ca="1">IFERROR(__xludf.DUMMYFUNCTION("COUNTA(SPLIT(F329,"" ""))"),495)</f>
        <v>495</v>
      </c>
      <c r="H329" s="1">
        <v>495</v>
      </c>
      <c r="I329" s="1"/>
      <c r="J329" s="1"/>
      <c r="K329" s="1"/>
      <c r="L329" s="1"/>
      <c r="M329" s="1"/>
      <c r="N329" s="1"/>
      <c r="O329" s="1"/>
      <c r="P329" s="1"/>
      <c r="Q329" s="1"/>
      <c r="R329" s="1"/>
      <c r="S329" s="1"/>
      <c r="T329" s="1"/>
    </row>
    <row r="330" spans="1:20" ht="33.75" hidden="1" customHeight="1">
      <c r="A330" s="1" t="s">
        <v>1098</v>
      </c>
      <c r="B330" s="1" t="s">
        <v>926</v>
      </c>
      <c r="C330" s="4">
        <v>39851.670138888891</v>
      </c>
      <c r="D330" s="1" t="s">
        <v>14</v>
      </c>
      <c r="E330" s="1" t="s">
        <v>1035</v>
      </c>
      <c r="F330" s="2" t="s">
        <v>1099</v>
      </c>
      <c r="G330" s="1">
        <f ca="1">IFERROR(__xludf.DUMMYFUNCTION("COUNTA(SPLIT(F330,"" ""))"),141)</f>
        <v>141</v>
      </c>
      <c r="H330" s="1">
        <v>141</v>
      </c>
      <c r="I330" s="1"/>
      <c r="J330" s="1"/>
      <c r="K330" s="1"/>
      <c r="L330" s="1"/>
      <c r="M330" s="1"/>
      <c r="N330" s="1"/>
      <c r="O330" s="1"/>
      <c r="P330" s="1"/>
      <c r="Q330" s="1"/>
      <c r="R330" s="1"/>
      <c r="S330" s="1"/>
      <c r="T330" s="1"/>
    </row>
    <row r="331" spans="1:20" ht="33.75" hidden="1" customHeight="1">
      <c r="A331" s="1" t="s">
        <v>1100</v>
      </c>
      <c r="B331" s="1" t="s">
        <v>926</v>
      </c>
      <c r="C331" s="4">
        <v>39851.675694444442</v>
      </c>
      <c r="D331" s="1" t="s">
        <v>14</v>
      </c>
      <c r="E331" s="1" t="s">
        <v>1098</v>
      </c>
      <c r="F331" s="2" t="s">
        <v>1102</v>
      </c>
      <c r="G331" s="1">
        <f ca="1">IFERROR(__xludf.DUMMYFUNCTION("COUNTA(SPLIT(F331,"" ""))"),152)</f>
        <v>152</v>
      </c>
      <c r="H331" s="1">
        <v>152</v>
      </c>
      <c r="I331" s="1"/>
      <c r="J331" s="1"/>
      <c r="K331" s="1"/>
      <c r="L331" s="1"/>
      <c r="M331" s="1"/>
      <c r="N331" s="1"/>
      <c r="O331" s="1"/>
      <c r="P331" s="1"/>
      <c r="Q331" s="1"/>
      <c r="R331" s="1"/>
      <c r="S331" s="1"/>
      <c r="T331" s="1"/>
    </row>
    <row r="332" spans="1:20" ht="33.75" hidden="1" customHeight="1">
      <c r="A332" s="1" t="s">
        <v>1103</v>
      </c>
      <c r="B332" s="1" t="s">
        <v>926</v>
      </c>
      <c r="C332" s="4">
        <v>39851.706944444442</v>
      </c>
      <c r="D332" s="1" t="s">
        <v>14</v>
      </c>
      <c r="E332" s="1" t="s">
        <v>1100</v>
      </c>
      <c r="F332" s="2" t="s">
        <v>1105</v>
      </c>
      <c r="G332" s="1">
        <f ca="1">IFERROR(__xludf.DUMMYFUNCTION("COUNTA(SPLIT(F332,"" ""))"),387)</f>
        <v>387</v>
      </c>
      <c r="H332" s="1">
        <v>387</v>
      </c>
      <c r="I332" s="1"/>
      <c r="J332" s="1"/>
      <c r="K332" s="1"/>
      <c r="L332" s="1"/>
      <c r="M332" s="1"/>
      <c r="N332" s="1"/>
      <c r="O332" s="1"/>
      <c r="P332" s="1"/>
      <c r="Q332" s="1"/>
      <c r="R332" s="1"/>
      <c r="S332" s="1"/>
      <c r="T332" s="1"/>
    </row>
    <row r="333" spans="1:20" ht="33.75" customHeight="1">
      <c r="A333" s="1" t="s">
        <v>1106</v>
      </c>
      <c r="B333" s="1" t="s">
        <v>926</v>
      </c>
      <c r="C333" s="4">
        <v>39851.79791666667</v>
      </c>
      <c r="D333" s="1" t="s">
        <v>474</v>
      </c>
      <c r="E333" s="1"/>
      <c r="F333" s="2" t="s">
        <v>1109</v>
      </c>
      <c r="G333" s="1">
        <f ca="1">IFERROR(__xludf.DUMMYFUNCTION("COUNTA(SPLIT(F333,"" ""))"),120)</f>
        <v>120</v>
      </c>
      <c r="H333" s="1">
        <v>120</v>
      </c>
      <c r="I333" s="1"/>
      <c r="J333" s="1"/>
      <c r="K333" s="1"/>
      <c r="L333" s="1"/>
      <c r="M333" s="1"/>
      <c r="N333" s="1"/>
      <c r="O333" s="1"/>
      <c r="P333" s="1"/>
      <c r="Q333" s="1"/>
      <c r="R333" s="1"/>
      <c r="S333" s="1"/>
      <c r="T333" s="1"/>
    </row>
    <row r="334" spans="1:20" ht="33.75" customHeight="1">
      <c r="A334" s="1" t="s">
        <v>1110</v>
      </c>
      <c r="B334" s="1" t="s">
        <v>846</v>
      </c>
      <c r="C334" s="4">
        <v>39851.893055555556</v>
      </c>
      <c r="D334" s="1" t="s">
        <v>1089</v>
      </c>
      <c r="E334" s="1"/>
      <c r="F334" s="2" t="s">
        <v>1111</v>
      </c>
      <c r="G334" s="1">
        <f ca="1">IFERROR(__xludf.DUMMYFUNCTION("COUNTA(SPLIT(F334,"" ""))"),66)</f>
        <v>66</v>
      </c>
      <c r="H334" s="1">
        <v>66</v>
      </c>
      <c r="I334" s="1"/>
      <c r="J334" s="1"/>
      <c r="K334" s="1"/>
      <c r="L334" s="1"/>
      <c r="M334" s="1"/>
      <c r="N334" s="1"/>
      <c r="O334" s="1"/>
      <c r="P334" s="1"/>
      <c r="Q334" s="1"/>
      <c r="R334" s="1"/>
      <c r="S334" s="1"/>
      <c r="T334" s="1"/>
    </row>
    <row r="335" spans="1:20" ht="33.75" hidden="1" customHeight="1">
      <c r="A335" s="1" t="s">
        <v>1112</v>
      </c>
      <c r="B335" s="1" t="s">
        <v>926</v>
      </c>
      <c r="C335" s="4">
        <v>39851.913888888892</v>
      </c>
      <c r="D335" s="1" t="s">
        <v>196</v>
      </c>
      <c r="E335" s="1" t="s">
        <v>1066</v>
      </c>
      <c r="F335" s="2" t="s">
        <v>1113</v>
      </c>
      <c r="G335" s="1">
        <f ca="1">IFERROR(__xludf.DUMMYFUNCTION("COUNTA(SPLIT(F335,"" ""))"),204)</f>
        <v>204</v>
      </c>
      <c r="H335" s="1">
        <v>204</v>
      </c>
      <c r="I335" s="1"/>
      <c r="J335" s="1"/>
      <c r="K335" s="1"/>
      <c r="L335" s="1"/>
      <c r="M335" s="1"/>
      <c r="N335" s="1"/>
      <c r="O335" s="1"/>
      <c r="P335" s="1"/>
      <c r="Q335" s="1"/>
      <c r="R335" s="1"/>
      <c r="S335" s="1"/>
      <c r="T335" s="1"/>
    </row>
    <row r="336" spans="1:20" ht="33.75" hidden="1" customHeight="1">
      <c r="A336" s="1" t="s">
        <v>1114</v>
      </c>
      <c r="B336" s="1" t="s">
        <v>846</v>
      </c>
      <c r="C336" s="4">
        <v>39851.920138888891</v>
      </c>
      <c r="D336" s="1" t="s">
        <v>54</v>
      </c>
      <c r="E336" s="1" t="s">
        <v>1115</v>
      </c>
      <c r="F336" s="2" t="s">
        <v>1116</v>
      </c>
      <c r="G336" s="1">
        <f ca="1">IFERROR(__xludf.DUMMYFUNCTION("COUNTA(SPLIT(F336,"" ""))"),220)</f>
        <v>220</v>
      </c>
      <c r="H336" s="1">
        <v>220</v>
      </c>
      <c r="I336" s="1"/>
      <c r="J336" s="1"/>
      <c r="K336" s="1"/>
      <c r="L336" s="1"/>
      <c r="M336" s="1"/>
      <c r="N336" s="1"/>
      <c r="O336" s="1"/>
      <c r="P336" s="1"/>
      <c r="Q336" s="1"/>
      <c r="R336" s="1"/>
      <c r="S336" s="1"/>
      <c r="T336" s="1"/>
    </row>
    <row r="337" spans="1:20" ht="33.75" hidden="1" customHeight="1">
      <c r="A337" s="1" t="s">
        <v>1117</v>
      </c>
      <c r="B337" s="1" t="s">
        <v>926</v>
      </c>
      <c r="C337" s="4">
        <v>39851.945833333331</v>
      </c>
      <c r="D337" s="1" t="s">
        <v>14</v>
      </c>
      <c r="E337" s="1" t="s">
        <v>1118</v>
      </c>
      <c r="F337" s="2" t="s">
        <v>1119</v>
      </c>
      <c r="G337" s="1">
        <f ca="1">IFERROR(__xludf.DUMMYFUNCTION("COUNTA(SPLIT(F337,"" ""))"),67)</f>
        <v>67</v>
      </c>
      <c r="H337" s="1">
        <v>67</v>
      </c>
      <c r="I337" s="1"/>
      <c r="J337" s="1"/>
      <c r="K337" s="1"/>
      <c r="L337" s="1"/>
      <c r="M337" s="1"/>
      <c r="N337" s="1"/>
      <c r="O337" s="1"/>
      <c r="P337" s="1"/>
      <c r="Q337" s="1"/>
      <c r="R337" s="1"/>
      <c r="S337" s="1"/>
      <c r="T337" s="1"/>
    </row>
    <row r="338" spans="1:20" ht="33.75" customHeight="1">
      <c r="A338" s="1" t="s">
        <v>1120</v>
      </c>
      <c r="B338" s="1" t="s">
        <v>926</v>
      </c>
      <c r="C338" s="4">
        <v>39851.984027777777</v>
      </c>
      <c r="D338" s="1" t="s">
        <v>393</v>
      </c>
      <c r="E338" s="1"/>
      <c r="F338" s="2" t="s">
        <v>1121</v>
      </c>
      <c r="G338" s="1">
        <f ca="1">IFERROR(__xludf.DUMMYFUNCTION("COUNTA(SPLIT(F338,"" ""))"),11)</f>
        <v>11</v>
      </c>
      <c r="H338" s="1">
        <v>11</v>
      </c>
      <c r="I338" s="1"/>
      <c r="J338" s="1"/>
      <c r="K338" s="1"/>
      <c r="L338" s="1"/>
      <c r="M338" s="1"/>
      <c r="N338" s="1"/>
      <c r="O338" s="1"/>
      <c r="P338" s="1"/>
      <c r="Q338" s="1"/>
      <c r="R338" s="1"/>
      <c r="S338" s="1"/>
      <c r="T338" s="1"/>
    </row>
    <row r="339" spans="1:20" ht="33.75" hidden="1" customHeight="1">
      <c r="A339" s="1" t="s">
        <v>1122</v>
      </c>
      <c r="B339" s="1" t="s">
        <v>926</v>
      </c>
      <c r="C339" s="4">
        <v>39852.001388888886</v>
      </c>
      <c r="D339" s="1" t="s">
        <v>14</v>
      </c>
      <c r="E339" s="1" t="s">
        <v>393</v>
      </c>
      <c r="F339" s="2" t="s">
        <v>1124</v>
      </c>
      <c r="G339" s="1">
        <f ca="1">IFERROR(__xludf.DUMMYFUNCTION("COUNTA(SPLIT(F339,"" ""))"),299)</f>
        <v>299</v>
      </c>
      <c r="H339" s="1">
        <v>299</v>
      </c>
      <c r="I339" s="1"/>
      <c r="J339" s="1"/>
      <c r="K339" s="1"/>
      <c r="L339" s="1"/>
      <c r="M339" s="1"/>
      <c r="N339" s="1"/>
      <c r="O339" s="1"/>
      <c r="P339" s="1"/>
      <c r="Q339" s="1"/>
      <c r="R339" s="1"/>
      <c r="S339" s="1"/>
      <c r="T339" s="1"/>
    </row>
    <row r="340" spans="1:20" ht="33.75" customHeight="1">
      <c r="A340" s="1" t="s">
        <v>1125</v>
      </c>
      <c r="B340" s="1" t="s">
        <v>926</v>
      </c>
      <c r="C340" s="4">
        <v>39852.002083333333</v>
      </c>
      <c r="D340" s="1" t="s">
        <v>196</v>
      </c>
      <c r="E340" s="1"/>
      <c r="F340" s="2" t="s">
        <v>1128</v>
      </c>
      <c r="G340" s="1">
        <f ca="1">IFERROR(__xludf.DUMMYFUNCTION("COUNTA(SPLIT(F340,"" ""))"),111)</f>
        <v>111</v>
      </c>
      <c r="H340" s="1">
        <v>111</v>
      </c>
      <c r="I340" s="1"/>
      <c r="J340" s="1"/>
      <c r="K340" s="1"/>
      <c r="L340" s="1"/>
      <c r="M340" s="1"/>
      <c r="N340" s="1"/>
      <c r="O340" s="1"/>
      <c r="P340" s="1"/>
      <c r="Q340" s="1"/>
      <c r="R340" s="1"/>
      <c r="S340" s="1"/>
      <c r="T340" s="1"/>
    </row>
    <row r="341" spans="1:20" ht="33.75" customHeight="1">
      <c r="A341" s="1" t="s">
        <v>1129</v>
      </c>
      <c r="B341" s="1" t="s">
        <v>846</v>
      </c>
      <c r="C341" s="4">
        <v>39852.009027777778</v>
      </c>
      <c r="D341" s="1" t="s">
        <v>1089</v>
      </c>
      <c r="E341" s="1"/>
      <c r="F341" s="2" t="s">
        <v>1130</v>
      </c>
      <c r="G341" s="1">
        <f ca="1">IFERROR(__xludf.DUMMYFUNCTION("COUNTA(SPLIT(F341,"" ""))"),109)</f>
        <v>109</v>
      </c>
      <c r="H341" s="1">
        <v>109</v>
      </c>
      <c r="I341" s="1"/>
      <c r="J341" s="1"/>
      <c r="K341" s="1"/>
      <c r="L341" s="1"/>
      <c r="M341" s="1"/>
      <c r="N341" s="1"/>
      <c r="O341" s="1"/>
      <c r="P341" s="1"/>
      <c r="Q341" s="1"/>
      <c r="R341" s="1"/>
      <c r="S341" s="1"/>
      <c r="T341" s="1"/>
    </row>
    <row r="342" spans="1:20" ht="33.75" customHeight="1">
      <c r="A342" s="1" t="s">
        <v>1131</v>
      </c>
      <c r="B342" s="1" t="s">
        <v>926</v>
      </c>
      <c r="C342" s="4">
        <v>39852.011805555558</v>
      </c>
      <c r="D342" s="1" t="s">
        <v>393</v>
      </c>
      <c r="E342" s="1"/>
      <c r="F342" s="2" t="s">
        <v>1133</v>
      </c>
      <c r="G342" s="1">
        <f ca="1">IFERROR(__xludf.DUMMYFUNCTION("COUNTA(SPLIT(F342,"" ""))"),49)</f>
        <v>49</v>
      </c>
      <c r="H342" s="1">
        <v>49</v>
      </c>
      <c r="I342" s="1"/>
      <c r="J342" s="1"/>
      <c r="K342" s="1"/>
      <c r="L342" s="1"/>
      <c r="M342" s="1"/>
      <c r="N342" s="1"/>
      <c r="O342" s="1"/>
      <c r="P342" s="1"/>
      <c r="Q342" s="1"/>
      <c r="R342" s="1"/>
      <c r="S342" s="1"/>
      <c r="T342" s="1"/>
    </row>
    <row r="343" spans="1:20" ht="33.75" hidden="1" customHeight="1">
      <c r="A343" s="1" t="s">
        <v>1134</v>
      </c>
      <c r="B343" s="1" t="s">
        <v>926</v>
      </c>
      <c r="C343" s="4">
        <v>39852.022916666669</v>
      </c>
      <c r="D343" s="1" t="s">
        <v>14</v>
      </c>
      <c r="E343" s="1" t="s">
        <v>1131</v>
      </c>
      <c r="F343" s="2" t="s">
        <v>1135</v>
      </c>
      <c r="G343" s="1">
        <f ca="1">IFERROR(__xludf.DUMMYFUNCTION("COUNTA(SPLIT(F343,"" ""))"),75)</f>
        <v>75</v>
      </c>
      <c r="H343" s="1">
        <v>75</v>
      </c>
      <c r="I343" s="1"/>
      <c r="J343" s="1"/>
      <c r="K343" s="1"/>
      <c r="L343" s="1"/>
      <c r="M343" s="1"/>
      <c r="N343" s="1"/>
      <c r="O343" s="1"/>
      <c r="P343" s="1"/>
      <c r="Q343" s="1"/>
      <c r="R343" s="1"/>
      <c r="S343" s="1"/>
      <c r="T343" s="1"/>
    </row>
    <row r="344" spans="1:20" ht="33.75" hidden="1" customHeight="1">
      <c r="A344" s="1" t="s">
        <v>1136</v>
      </c>
      <c r="B344" s="1" t="s">
        <v>926</v>
      </c>
      <c r="C344" s="4">
        <v>39852.056944444441</v>
      </c>
      <c r="D344" s="1" t="s">
        <v>196</v>
      </c>
      <c r="E344" s="1" t="s">
        <v>1137</v>
      </c>
      <c r="F344" s="2" t="s">
        <v>1138</v>
      </c>
      <c r="G344" s="1">
        <f ca="1">IFERROR(__xludf.DUMMYFUNCTION("COUNTA(SPLIT(F344,"" ""))"),73)</f>
        <v>73</v>
      </c>
      <c r="H344" s="1">
        <v>73</v>
      </c>
      <c r="I344" s="1"/>
      <c r="J344" s="1"/>
      <c r="K344" s="1"/>
      <c r="L344" s="1"/>
      <c r="M344" s="1"/>
      <c r="N344" s="1"/>
      <c r="O344" s="1"/>
      <c r="P344" s="1"/>
      <c r="Q344" s="1"/>
      <c r="R344" s="1"/>
      <c r="S344" s="1"/>
      <c r="T344" s="1"/>
    </row>
    <row r="345" spans="1:20" ht="33.75" hidden="1" customHeight="1">
      <c r="A345" s="1" t="s">
        <v>1139</v>
      </c>
      <c r="B345" s="1" t="s">
        <v>926</v>
      </c>
      <c r="C345" s="4">
        <v>39852.067361111112</v>
      </c>
      <c r="D345" s="1" t="s">
        <v>196</v>
      </c>
      <c r="E345" s="1" t="s">
        <v>1136</v>
      </c>
      <c r="F345" s="2" t="s">
        <v>1141</v>
      </c>
      <c r="G345" s="1">
        <f ca="1">IFERROR(__xludf.DUMMYFUNCTION("COUNTA(SPLIT(F345,"" ""))"),43)</f>
        <v>43</v>
      </c>
      <c r="H345" s="1">
        <v>43</v>
      </c>
      <c r="I345" s="1"/>
      <c r="J345" s="1"/>
      <c r="K345" s="1"/>
      <c r="L345" s="1"/>
      <c r="M345" s="1"/>
      <c r="N345" s="1"/>
      <c r="O345" s="1"/>
      <c r="P345" s="1"/>
      <c r="Q345" s="1"/>
      <c r="R345" s="1"/>
      <c r="S345" s="1"/>
      <c r="T345" s="1"/>
    </row>
    <row r="346" spans="1:20" ht="33.75" customHeight="1">
      <c r="A346" s="1" t="s">
        <v>1142</v>
      </c>
      <c r="B346" s="1" t="s">
        <v>926</v>
      </c>
      <c r="C346" s="4">
        <v>39852.085416666669</v>
      </c>
      <c r="D346" s="1" t="s">
        <v>196</v>
      </c>
      <c r="E346" s="1"/>
      <c r="F346" s="2" t="s">
        <v>1144</v>
      </c>
      <c r="G346" s="1">
        <f ca="1">IFERROR(__xludf.DUMMYFUNCTION("COUNTA(SPLIT(F346,"" ""))"),97)</f>
        <v>97</v>
      </c>
      <c r="H346" s="1">
        <v>97</v>
      </c>
      <c r="I346" s="1"/>
      <c r="J346" s="1"/>
      <c r="K346" s="1"/>
      <c r="L346" s="1"/>
      <c r="M346" s="1"/>
      <c r="N346" s="1"/>
      <c r="O346" s="1"/>
      <c r="P346" s="1"/>
      <c r="Q346" s="1"/>
      <c r="R346" s="1"/>
      <c r="S346" s="1"/>
      <c r="T346" s="1"/>
    </row>
    <row r="347" spans="1:20" ht="33.75" customHeight="1">
      <c r="A347" s="1" t="s">
        <v>1145</v>
      </c>
      <c r="B347" s="1" t="s">
        <v>926</v>
      </c>
      <c r="C347" s="4">
        <v>39852.093055555553</v>
      </c>
      <c r="D347" s="1" t="s">
        <v>196</v>
      </c>
      <c r="E347" s="1"/>
      <c r="F347" s="2" t="s">
        <v>1148</v>
      </c>
      <c r="G347" s="1">
        <f ca="1">IFERROR(__xludf.DUMMYFUNCTION("COUNTA(SPLIT(F347,"" ""))"),26)</f>
        <v>26</v>
      </c>
      <c r="H347" s="1">
        <v>26</v>
      </c>
      <c r="I347" s="1"/>
      <c r="J347" s="1"/>
      <c r="K347" s="1"/>
      <c r="L347" s="1"/>
      <c r="M347" s="1"/>
      <c r="N347" s="1"/>
      <c r="O347" s="1"/>
      <c r="P347" s="1"/>
      <c r="Q347" s="1"/>
      <c r="R347" s="1"/>
      <c r="S347" s="1"/>
      <c r="T347" s="1"/>
    </row>
    <row r="348" spans="1:20" ht="33.75" hidden="1" customHeight="1">
      <c r="A348" s="1" t="s">
        <v>1149</v>
      </c>
      <c r="B348" s="1" t="s">
        <v>846</v>
      </c>
      <c r="C348" s="4">
        <v>39852.103472222225</v>
      </c>
      <c r="D348" s="1" t="s">
        <v>1089</v>
      </c>
      <c r="E348" s="1" t="s">
        <v>1150</v>
      </c>
      <c r="F348" s="2" t="s">
        <v>1151</v>
      </c>
      <c r="G348" s="1">
        <f ca="1">IFERROR(__xludf.DUMMYFUNCTION("COUNTA(SPLIT(F348,"" ""))"),58)</f>
        <v>58</v>
      </c>
      <c r="H348" s="1">
        <v>58</v>
      </c>
      <c r="I348" s="1"/>
      <c r="J348" s="1"/>
      <c r="K348" s="1"/>
      <c r="L348" s="1"/>
      <c r="M348" s="1"/>
      <c r="N348" s="1"/>
      <c r="O348" s="1"/>
      <c r="P348" s="1"/>
      <c r="Q348" s="1"/>
      <c r="R348" s="1"/>
      <c r="S348" s="1"/>
      <c r="T348" s="1"/>
    </row>
    <row r="349" spans="1:20" ht="33.75" hidden="1" customHeight="1">
      <c r="A349" s="1" t="s">
        <v>1152</v>
      </c>
      <c r="B349" s="1" t="s">
        <v>926</v>
      </c>
      <c r="C349" s="4">
        <v>39852.104166666664</v>
      </c>
      <c r="D349" s="1" t="s">
        <v>14</v>
      </c>
      <c r="E349" s="1" t="s">
        <v>1142</v>
      </c>
      <c r="F349" s="2" t="s">
        <v>1154</v>
      </c>
      <c r="G349" s="1">
        <f ca="1">IFERROR(__xludf.DUMMYFUNCTION("COUNTA(SPLIT(F349,"" ""))"),299)</f>
        <v>299</v>
      </c>
      <c r="H349" s="1">
        <v>299</v>
      </c>
      <c r="I349" s="1"/>
      <c r="J349" s="1"/>
      <c r="K349" s="1"/>
      <c r="L349" s="1"/>
      <c r="M349" s="1"/>
      <c r="N349" s="1"/>
      <c r="O349" s="1"/>
      <c r="P349" s="1"/>
      <c r="Q349" s="1"/>
      <c r="R349" s="1"/>
      <c r="S349" s="1"/>
      <c r="T349" s="1"/>
    </row>
    <row r="350" spans="1:20" ht="33.75" customHeight="1">
      <c r="A350" s="1" t="s">
        <v>1155</v>
      </c>
      <c r="B350" s="1" t="s">
        <v>926</v>
      </c>
      <c r="C350" s="4">
        <v>39852.105555555558</v>
      </c>
      <c r="D350" s="1" t="s">
        <v>14</v>
      </c>
      <c r="E350" s="1"/>
      <c r="F350" s="2" t="s">
        <v>1156</v>
      </c>
      <c r="G350" s="1">
        <f ca="1">IFERROR(__xludf.DUMMYFUNCTION("COUNTA(SPLIT(F350,"" ""))"),13)</f>
        <v>13</v>
      </c>
      <c r="H350" s="1">
        <v>13</v>
      </c>
      <c r="I350" s="1"/>
      <c r="J350" s="1"/>
      <c r="K350" s="1"/>
      <c r="L350" s="1"/>
      <c r="M350" s="1"/>
      <c r="N350" s="1"/>
      <c r="O350" s="1"/>
      <c r="P350" s="1"/>
      <c r="Q350" s="1"/>
      <c r="R350" s="1"/>
      <c r="S350" s="1"/>
      <c r="T350" s="1"/>
    </row>
    <row r="351" spans="1:20" ht="33.75" customHeight="1">
      <c r="A351" s="1" t="s">
        <v>1157</v>
      </c>
      <c r="B351" s="1" t="s">
        <v>846</v>
      </c>
      <c r="C351" s="4">
        <v>39852.14166666667</v>
      </c>
      <c r="D351" s="1" t="s">
        <v>474</v>
      </c>
      <c r="E351" s="1"/>
      <c r="F351" s="2" t="s">
        <v>1159</v>
      </c>
      <c r="G351" s="1">
        <f ca="1">IFERROR(__xludf.DUMMYFUNCTION("COUNTA(SPLIT(F351,"" ""))"),114)</f>
        <v>114</v>
      </c>
      <c r="H351" s="1">
        <v>114</v>
      </c>
      <c r="I351" s="1"/>
      <c r="J351" s="1"/>
      <c r="K351" s="1"/>
      <c r="L351" s="1"/>
      <c r="M351" s="1"/>
      <c r="N351" s="1"/>
      <c r="O351" s="1"/>
      <c r="P351" s="1"/>
      <c r="Q351" s="1"/>
      <c r="R351" s="1"/>
      <c r="S351" s="1"/>
      <c r="T351" s="1"/>
    </row>
    <row r="352" spans="1:20" ht="33.75" hidden="1" customHeight="1">
      <c r="A352" s="1" t="s">
        <v>1160</v>
      </c>
      <c r="B352" s="1" t="s">
        <v>846</v>
      </c>
      <c r="C352" s="4">
        <v>39852.202777777777</v>
      </c>
      <c r="D352" s="1" t="s">
        <v>474</v>
      </c>
      <c r="E352" s="1" t="s">
        <v>1161</v>
      </c>
      <c r="F352" s="2" t="s">
        <v>1162</v>
      </c>
      <c r="G352" s="1">
        <f ca="1">IFERROR(__xludf.DUMMYFUNCTION("COUNTA(SPLIT(F352,"" ""))"),87)</f>
        <v>87</v>
      </c>
      <c r="H352" s="1">
        <v>87</v>
      </c>
      <c r="I352" s="1"/>
      <c r="J352" s="1"/>
      <c r="K352" s="1"/>
      <c r="L352" s="1"/>
      <c r="M352" s="1"/>
      <c r="N352" s="1"/>
      <c r="O352" s="1"/>
      <c r="P352" s="1"/>
      <c r="Q352" s="1"/>
      <c r="R352" s="1"/>
      <c r="S352" s="1"/>
      <c r="T352" s="1"/>
    </row>
    <row r="353" spans="1:20" ht="33.75" hidden="1" customHeight="1">
      <c r="A353" s="1" t="s">
        <v>1163</v>
      </c>
      <c r="B353" s="1" t="s">
        <v>846</v>
      </c>
      <c r="C353" s="4">
        <v>39852.238194444442</v>
      </c>
      <c r="D353" s="1" t="s">
        <v>1089</v>
      </c>
      <c r="E353" s="1" t="s">
        <v>1129</v>
      </c>
      <c r="F353" s="2" t="s">
        <v>1164</v>
      </c>
      <c r="G353" s="1">
        <f ca="1">IFERROR(__xludf.DUMMYFUNCTION("COUNTA(SPLIT(F353,"" ""))"),56)</f>
        <v>56</v>
      </c>
      <c r="H353" s="1">
        <v>56</v>
      </c>
      <c r="I353" s="1"/>
      <c r="J353" s="1"/>
      <c r="K353" s="1"/>
      <c r="L353" s="1"/>
      <c r="M353" s="1"/>
      <c r="N353" s="1"/>
      <c r="O353" s="1"/>
      <c r="P353" s="1"/>
      <c r="Q353" s="1"/>
      <c r="R353" s="1"/>
      <c r="S353" s="1"/>
      <c r="T353" s="1"/>
    </row>
    <row r="354" spans="1:20" ht="33.75" hidden="1" customHeight="1">
      <c r="A354" s="1" t="s">
        <v>1165</v>
      </c>
      <c r="B354" s="1" t="s">
        <v>846</v>
      </c>
      <c r="C354" s="4">
        <v>39852.316666666666</v>
      </c>
      <c r="D354" s="1" t="s">
        <v>54</v>
      </c>
      <c r="E354" s="1" t="s">
        <v>1166</v>
      </c>
      <c r="F354" s="2" t="s">
        <v>1168</v>
      </c>
      <c r="G354" s="1">
        <f ca="1">IFERROR(__xludf.DUMMYFUNCTION("COUNTA(SPLIT(F354,"" ""))"),244)</f>
        <v>244</v>
      </c>
      <c r="H354" s="1">
        <v>244</v>
      </c>
      <c r="I354" s="1"/>
      <c r="J354" s="1"/>
      <c r="K354" s="1"/>
      <c r="L354" s="1"/>
      <c r="M354" s="1"/>
      <c r="N354" s="1"/>
      <c r="O354" s="1"/>
      <c r="P354" s="1"/>
      <c r="Q354" s="1"/>
      <c r="R354" s="1"/>
      <c r="S354" s="1"/>
      <c r="T354" s="1"/>
    </row>
    <row r="355" spans="1:20" ht="33.75" customHeight="1">
      <c r="A355" s="1" t="s">
        <v>1169</v>
      </c>
      <c r="B355" s="1" t="s">
        <v>846</v>
      </c>
      <c r="C355" s="4">
        <v>39852.339583333334</v>
      </c>
      <c r="D355" s="1" t="s">
        <v>54</v>
      </c>
      <c r="E355" s="1"/>
      <c r="F355" s="2" t="s">
        <v>1171</v>
      </c>
      <c r="G355" s="1">
        <f ca="1">IFERROR(__xludf.DUMMYFUNCTION("COUNTA(SPLIT(F355,"" ""))"),77)</f>
        <v>77</v>
      </c>
      <c r="H355" s="1">
        <v>77</v>
      </c>
      <c r="I355" s="1"/>
      <c r="J355" s="1"/>
      <c r="K355" s="1"/>
      <c r="L355" s="1"/>
      <c r="M355" s="1"/>
      <c r="N355" s="1"/>
      <c r="O355" s="1"/>
      <c r="P355" s="1"/>
      <c r="Q355" s="1"/>
      <c r="R355" s="1"/>
      <c r="S355" s="1"/>
      <c r="T355" s="1"/>
    </row>
    <row r="356" spans="1:20" ht="33.75" customHeight="1">
      <c r="A356" s="1" t="s">
        <v>1172</v>
      </c>
      <c r="B356" s="1" t="s">
        <v>926</v>
      </c>
      <c r="C356" s="4">
        <v>39852.35833333333</v>
      </c>
      <c r="D356" s="1" t="s">
        <v>196</v>
      </c>
      <c r="E356" s="1"/>
      <c r="F356" s="2" t="s">
        <v>1174</v>
      </c>
      <c r="G356" s="1">
        <f ca="1">IFERROR(__xludf.DUMMYFUNCTION("COUNTA(SPLIT(F356,"" ""))"),126)</f>
        <v>126</v>
      </c>
      <c r="H356" s="1">
        <v>126</v>
      </c>
      <c r="I356" s="1"/>
      <c r="J356" s="1"/>
      <c r="K356" s="1"/>
      <c r="L356" s="1"/>
      <c r="M356" s="1"/>
      <c r="N356" s="1"/>
      <c r="O356" s="1"/>
      <c r="P356" s="1"/>
      <c r="Q356" s="1"/>
      <c r="R356" s="1"/>
      <c r="S356" s="1"/>
      <c r="T356" s="1"/>
    </row>
    <row r="357" spans="1:20" ht="33.75" customHeight="1">
      <c r="A357" s="1" t="s">
        <v>1175</v>
      </c>
      <c r="B357" s="1" t="s">
        <v>926</v>
      </c>
      <c r="C357" s="4">
        <v>39852.364583333336</v>
      </c>
      <c r="D357" s="1" t="s">
        <v>196</v>
      </c>
      <c r="E357" s="1"/>
      <c r="F357" s="2" t="s">
        <v>1176</v>
      </c>
      <c r="G357" s="1">
        <f ca="1">IFERROR(__xludf.DUMMYFUNCTION("COUNTA(SPLIT(F357,"" ""))"),170)</f>
        <v>170</v>
      </c>
      <c r="H357" s="1">
        <v>170</v>
      </c>
      <c r="I357" s="1"/>
      <c r="J357" s="1"/>
      <c r="K357" s="1"/>
      <c r="L357" s="1"/>
      <c r="M357" s="1"/>
      <c r="N357" s="1"/>
      <c r="O357" s="1"/>
      <c r="P357" s="1"/>
      <c r="Q357" s="1"/>
      <c r="R357" s="1"/>
      <c r="S357" s="1"/>
      <c r="T357" s="1"/>
    </row>
    <row r="358" spans="1:20" ht="33.75" customHeight="1">
      <c r="A358" s="1" t="s">
        <v>1177</v>
      </c>
      <c r="B358" s="3" t="s">
        <v>13</v>
      </c>
      <c r="C358" s="4">
        <v>39852.477083333331</v>
      </c>
      <c r="D358" s="1" t="s">
        <v>1073</v>
      </c>
      <c r="E358" s="1"/>
      <c r="F358" s="2" t="s">
        <v>1179</v>
      </c>
      <c r="G358" s="1">
        <f ca="1">IFERROR(__xludf.DUMMYFUNCTION("COUNTA(SPLIT(F358,"" ""))"),475)</f>
        <v>475</v>
      </c>
      <c r="H358" s="1">
        <v>475</v>
      </c>
      <c r="I358" s="1"/>
      <c r="J358" s="1"/>
      <c r="K358" s="1"/>
      <c r="L358" s="1"/>
      <c r="M358" s="1"/>
      <c r="N358" s="1"/>
      <c r="O358" s="1"/>
      <c r="P358" s="1"/>
      <c r="Q358" s="1"/>
      <c r="R358" s="1"/>
      <c r="S358" s="1"/>
      <c r="T358" s="1"/>
    </row>
    <row r="359" spans="1:20" ht="33.75" customHeight="1">
      <c r="A359" s="1" t="s">
        <v>1180</v>
      </c>
      <c r="B359" s="3" t="s">
        <v>13</v>
      </c>
      <c r="C359" s="4">
        <v>39852.484722222223</v>
      </c>
      <c r="D359" s="1" t="s">
        <v>101</v>
      </c>
      <c r="E359" s="1"/>
      <c r="F359" s="2" t="s">
        <v>1182</v>
      </c>
      <c r="G359" s="1">
        <f ca="1">IFERROR(__xludf.DUMMYFUNCTION("COUNTA(SPLIT(F359,"" ""))"),15)</f>
        <v>15</v>
      </c>
      <c r="H359" s="1">
        <v>15</v>
      </c>
      <c r="I359" s="1"/>
      <c r="J359" s="1"/>
      <c r="K359" s="1"/>
      <c r="L359" s="1"/>
      <c r="M359" s="1"/>
      <c r="N359" s="1"/>
      <c r="O359" s="1"/>
      <c r="P359" s="1"/>
      <c r="Q359" s="1"/>
      <c r="R359" s="1"/>
      <c r="S359" s="1"/>
      <c r="T359" s="1"/>
    </row>
    <row r="360" spans="1:20" ht="33.75" customHeight="1">
      <c r="A360" s="1" t="s">
        <v>1183</v>
      </c>
      <c r="B360" s="1" t="s">
        <v>926</v>
      </c>
      <c r="C360" s="4">
        <v>39852.493750000001</v>
      </c>
      <c r="D360" s="1" t="s">
        <v>14</v>
      </c>
      <c r="E360" s="1"/>
      <c r="F360" s="2" t="s">
        <v>1184</v>
      </c>
      <c r="G360" s="1">
        <f ca="1">IFERROR(__xludf.DUMMYFUNCTION("COUNTA(SPLIT(F360,"" ""))"),93)</f>
        <v>93</v>
      </c>
      <c r="H360" s="1">
        <v>93</v>
      </c>
      <c r="I360" s="1"/>
      <c r="J360" s="1"/>
      <c r="K360" s="1"/>
      <c r="L360" s="1"/>
      <c r="M360" s="1"/>
      <c r="N360" s="1"/>
      <c r="O360" s="1"/>
      <c r="P360" s="1"/>
      <c r="Q360" s="1"/>
      <c r="R360" s="1"/>
      <c r="S360" s="1"/>
      <c r="T360" s="1"/>
    </row>
    <row r="361" spans="1:20" ht="33.75" hidden="1" customHeight="1">
      <c r="A361" s="1" t="s">
        <v>1185</v>
      </c>
      <c r="B361" s="3" t="s">
        <v>13</v>
      </c>
      <c r="C361" s="4">
        <v>39852.497916666667</v>
      </c>
      <c r="D361" s="1" t="s">
        <v>101</v>
      </c>
      <c r="E361" s="1" t="s">
        <v>1177</v>
      </c>
      <c r="F361" s="2" t="s">
        <v>1186</v>
      </c>
      <c r="G361" s="1">
        <f ca="1">IFERROR(__xludf.DUMMYFUNCTION("COUNTA(SPLIT(F361,"" ""))"),77)</f>
        <v>77</v>
      </c>
      <c r="H361" s="1">
        <v>77</v>
      </c>
      <c r="I361" s="1"/>
      <c r="J361" s="1"/>
      <c r="K361" s="1"/>
      <c r="L361" s="1"/>
      <c r="M361" s="1"/>
      <c r="N361" s="1"/>
      <c r="O361" s="1"/>
      <c r="P361" s="1"/>
      <c r="Q361" s="1"/>
      <c r="R361" s="1"/>
      <c r="S361" s="1"/>
      <c r="T361" s="1"/>
    </row>
    <row r="362" spans="1:20" ht="33.75" hidden="1" customHeight="1">
      <c r="A362" s="1" t="s">
        <v>1187</v>
      </c>
      <c r="B362" s="3" t="s">
        <v>13</v>
      </c>
      <c r="C362" s="4">
        <v>39852.504166666666</v>
      </c>
      <c r="D362" s="1" t="s">
        <v>14</v>
      </c>
      <c r="E362" s="1" t="s">
        <v>1177</v>
      </c>
      <c r="F362" s="2" t="s">
        <v>1189</v>
      </c>
      <c r="G362" s="1">
        <f ca="1">IFERROR(__xludf.DUMMYFUNCTION("COUNTA(SPLIT(F362,"" ""))"),254)</f>
        <v>254</v>
      </c>
      <c r="H362" s="1">
        <v>254</v>
      </c>
      <c r="I362" s="1"/>
      <c r="J362" s="1"/>
      <c r="K362" s="1"/>
      <c r="L362" s="1"/>
      <c r="M362" s="1"/>
      <c r="N362" s="1"/>
      <c r="O362" s="1"/>
      <c r="P362" s="1"/>
      <c r="Q362" s="1"/>
      <c r="R362" s="1"/>
      <c r="S362" s="1"/>
      <c r="T362" s="1"/>
    </row>
    <row r="363" spans="1:20" ht="33.75" hidden="1" customHeight="1">
      <c r="A363" s="1" t="s">
        <v>1190</v>
      </c>
      <c r="B363" s="3" t="s">
        <v>13</v>
      </c>
      <c r="C363" s="4">
        <v>39852.557638888888</v>
      </c>
      <c r="D363" s="1" t="s">
        <v>101</v>
      </c>
      <c r="E363" s="1" t="s">
        <v>1187</v>
      </c>
      <c r="F363" s="2" t="s">
        <v>1193</v>
      </c>
      <c r="G363" s="1">
        <f ca="1">IFERROR(__xludf.DUMMYFUNCTION("COUNTA(SPLIT(F363,"" ""))"),46)</f>
        <v>46</v>
      </c>
      <c r="H363" s="1">
        <v>46</v>
      </c>
      <c r="I363" s="1"/>
      <c r="J363" s="1"/>
      <c r="K363" s="1"/>
      <c r="L363" s="1"/>
      <c r="M363" s="1"/>
      <c r="N363" s="1"/>
      <c r="O363" s="1"/>
      <c r="P363" s="1"/>
      <c r="Q363" s="1"/>
      <c r="R363" s="1"/>
      <c r="S363" s="1"/>
      <c r="T363" s="1"/>
    </row>
    <row r="364" spans="1:20" ht="33.75" customHeight="1">
      <c r="A364" s="1" t="s">
        <v>1194</v>
      </c>
      <c r="B364" s="1" t="s">
        <v>846</v>
      </c>
      <c r="C364" s="4">
        <v>39852.574305555558</v>
      </c>
      <c r="D364" s="1" t="s">
        <v>84</v>
      </c>
      <c r="E364" s="1"/>
      <c r="F364" s="2" t="s">
        <v>1195</v>
      </c>
      <c r="G364" s="1">
        <f ca="1">IFERROR(__xludf.DUMMYFUNCTION("COUNTA(SPLIT(F364,"" ""))"),11)</f>
        <v>11</v>
      </c>
      <c r="H364" s="1">
        <v>11</v>
      </c>
      <c r="I364" s="1"/>
      <c r="J364" s="1"/>
      <c r="K364" s="1"/>
      <c r="L364" s="1"/>
      <c r="M364" s="1"/>
      <c r="N364" s="1"/>
      <c r="O364" s="1"/>
      <c r="P364" s="1"/>
      <c r="Q364" s="1"/>
      <c r="R364" s="1"/>
      <c r="S364" s="1"/>
      <c r="T364" s="1"/>
    </row>
    <row r="365" spans="1:20" ht="33.75" customHeight="1">
      <c r="A365" s="1" t="s">
        <v>12</v>
      </c>
      <c r="B365" s="1" t="s">
        <v>1196</v>
      </c>
      <c r="C365" s="4">
        <v>39852.662118055552</v>
      </c>
      <c r="D365" s="1" t="s">
        <v>14</v>
      </c>
      <c r="E365" s="1"/>
      <c r="F365" s="2" t="s">
        <v>1197</v>
      </c>
      <c r="G365" s="1">
        <f ca="1">IFERROR(__xludf.DUMMYFUNCTION("COUNTA(SPLIT(F365,"" ""))"),2466)</f>
        <v>2466</v>
      </c>
      <c r="H365" s="1">
        <v>2466</v>
      </c>
      <c r="I365" s="1"/>
      <c r="J365" s="1"/>
      <c r="K365" s="1"/>
      <c r="L365" s="1"/>
      <c r="M365" s="1"/>
      <c r="N365" s="1"/>
      <c r="O365" s="1"/>
      <c r="P365" s="1"/>
      <c r="Q365" s="1"/>
      <c r="R365" s="1"/>
      <c r="S365" s="1"/>
      <c r="T365" s="1"/>
    </row>
    <row r="366" spans="1:20" ht="33.75" customHeight="1">
      <c r="A366" s="1" t="s">
        <v>1198</v>
      </c>
      <c r="B366" s="3" t="s">
        <v>13</v>
      </c>
      <c r="C366" s="4">
        <v>39852.727777777778</v>
      </c>
      <c r="D366" s="1" t="s">
        <v>913</v>
      </c>
      <c r="E366" s="1"/>
      <c r="F366" s="2" t="s">
        <v>1199</v>
      </c>
      <c r="G366" s="1">
        <f ca="1">IFERROR(__xludf.DUMMYFUNCTION("COUNTA(SPLIT(F366,"" ""))"),263)</f>
        <v>263</v>
      </c>
      <c r="H366" s="1">
        <v>263</v>
      </c>
      <c r="I366" s="1"/>
      <c r="J366" s="1"/>
      <c r="K366" s="1"/>
      <c r="L366" s="1"/>
      <c r="M366" s="1"/>
      <c r="N366" s="1"/>
      <c r="O366" s="1"/>
      <c r="P366" s="1"/>
      <c r="Q366" s="1"/>
      <c r="R366" s="1"/>
      <c r="S366" s="1"/>
      <c r="T366" s="1"/>
    </row>
    <row r="367" spans="1:20" ht="33.75" customHeight="1">
      <c r="A367" s="1" t="s">
        <v>1200</v>
      </c>
      <c r="B367" s="3" t="s">
        <v>13</v>
      </c>
      <c r="C367" s="4">
        <v>39852.736111111109</v>
      </c>
      <c r="D367" s="1" t="s">
        <v>913</v>
      </c>
      <c r="E367" s="1"/>
      <c r="F367" s="2" t="s">
        <v>1202</v>
      </c>
      <c r="G367" s="1">
        <f ca="1">IFERROR(__xludf.DUMMYFUNCTION("COUNTA(SPLIT(F367,"" ""))"),34)</f>
        <v>34</v>
      </c>
      <c r="H367" s="1">
        <v>34</v>
      </c>
      <c r="I367" s="1"/>
      <c r="J367" s="1"/>
      <c r="K367" s="1"/>
      <c r="L367" s="1"/>
      <c r="M367" s="1"/>
      <c r="N367" s="1"/>
      <c r="O367" s="1"/>
      <c r="P367" s="1"/>
      <c r="Q367" s="1"/>
      <c r="R367" s="1"/>
      <c r="S367" s="1"/>
      <c r="T367" s="1"/>
    </row>
    <row r="368" spans="1:20" ht="33.75" customHeight="1">
      <c r="A368" s="1" t="s">
        <v>1203</v>
      </c>
      <c r="B368" s="1" t="s">
        <v>1196</v>
      </c>
      <c r="C368" s="4">
        <v>39852.755555555559</v>
      </c>
      <c r="D368" s="1" t="s">
        <v>14</v>
      </c>
      <c r="E368" s="1"/>
      <c r="F368" s="2" t="s">
        <v>1205</v>
      </c>
      <c r="G368" s="1">
        <f ca="1">IFERROR(__xludf.DUMMYFUNCTION("COUNTA(SPLIT(F368,"" ""))"),474)</f>
        <v>474</v>
      </c>
      <c r="H368" s="1">
        <v>474</v>
      </c>
      <c r="I368" s="1"/>
      <c r="J368" s="1"/>
      <c r="K368" s="1"/>
      <c r="L368" s="1"/>
      <c r="M368" s="1"/>
      <c r="N368" s="1"/>
      <c r="O368" s="1"/>
      <c r="P368" s="1"/>
      <c r="Q368" s="1"/>
      <c r="R368" s="1"/>
      <c r="S368" s="1"/>
      <c r="T368" s="1"/>
    </row>
    <row r="369" spans="1:20" ht="33.75" customHeight="1">
      <c r="A369" s="1" t="s">
        <v>1206</v>
      </c>
      <c r="B369" s="1" t="s">
        <v>846</v>
      </c>
      <c r="C369" s="4">
        <v>39852.763194444444</v>
      </c>
      <c r="D369" s="1" t="s">
        <v>110</v>
      </c>
      <c r="E369" s="1"/>
      <c r="F369" s="2" t="s">
        <v>1207</v>
      </c>
      <c r="G369" s="1">
        <f ca="1">IFERROR(__xludf.DUMMYFUNCTION("COUNTA(SPLIT(F369,"" ""))"),53)</f>
        <v>53</v>
      </c>
      <c r="H369" s="1">
        <v>53</v>
      </c>
      <c r="I369" s="1"/>
      <c r="J369" s="1"/>
      <c r="K369" s="1"/>
      <c r="L369" s="1"/>
      <c r="M369" s="1"/>
      <c r="N369" s="1"/>
      <c r="O369" s="1"/>
      <c r="P369" s="1"/>
      <c r="Q369" s="1"/>
      <c r="R369" s="1"/>
      <c r="S369" s="1"/>
      <c r="T369" s="1"/>
    </row>
    <row r="370" spans="1:20" ht="33.75" customHeight="1">
      <c r="A370" s="1" t="s">
        <v>1208</v>
      </c>
      <c r="B370" s="1" t="s">
        <v>926</v>
      </c>
      <c r="C370" s="4">
        <v>39852.765277777777</v>
      </c>
      <c r="D370" s="1" t="s">
        <v>196</v>
      </c>
      <c r="E370" s="1"/>
      <c r="F370" s="2" t="s">
        <v>1209</v>
      </c>
      <c r="G370" s="1">
        <f ca="1">IFERROR(__xludf.DUMMYFUNCTION("COUNTA(SPLIT(F370,"" ""))"),40)</f>
        <v>40</v>
      </c>
      <c r="H370" s="1">
        <v>40</v>
      </c>
      <c r="I370" s="1"/>
      <c r="J370" s="1"/>
      <c r="K370" s="1"/>
      <c r="L370" s="1"/>
      <c r="M370" s="1"/>
      <c r="N370" s="1"/>
      <c r="O370" s="1"/>
      <c r="P370" s="1"/>
      <c r="Q370" s="1"/>
      <c r="R370" s="1"/>
      <c r="S370" s="1"/>
      <c r="T370" s="1"/>
    </row>
    <row r="371" spans="1:20" ht="33.75" customHeight="1">
      <c r="A371" s="1" t="s">
        <v>1210</v>
      </c>
      <c r="B371" s="1" t="s">
        <v>1196</v>
      </c>
      <c r="C371" s="4">
        <v>39852.771527777775</v>
      </c>
      <c r="D371" s="1" t="s">
        <v>14</v>
      </c>
      <c r="E371" s="1"/>
      <c r="F371" s="2" t="s">
        <v>1211</v>
      </c>
      <c r="G371" s="1">
        <f ca="1">IFERROR(__xludf.DUMMYFUNCTION("COUNTA(SPLIT(F371,"" ""))"),363)</f>
        <v>363</v>
      </c>
      <c r="H371" s="1">
        <v>363</v>
      </c>
      <c r="I371" s="1"/>
      <c r="J371" s="1"/>
      <c r="K371" s="1"/>
      <c r="L371" s="1"/>
      <c r="M371" s="1"/>
      <c r="N371" s="1"/>
      <c r="O371" s="1"/>
      <c r="P371" s="1"/>
      <c r="Q371" s="1"/>
      <c r="R371" s="1"/>
      <c r="S371" s="1"/>
      <c r="T371" s="1"/>
    </row>
    <row r="372" spans="1:20" ht="33.75" customHeight="1">
      <c r="A372" s="1" t="s">
        <v>1212</v>
      </c>
      <c r="B372" s="1" t="s">
        <v>926</v>
      </c>
      <c r="C372" s="4">
        <v>39852.775694444441</v>
      </c>
      <c r="D372" s="1" t="s">
        <v>14</v>
      </c>
      <c r="E372" s="1"/>
      <c r="F372" s="2" t="s">
        <v>1214</v>
      </c>
      <c r="G372" s="1">
        <f ca="1">IFERROR(__xludf.DUMMYFUNCTION("COUNTA(SPLIT(F372,"" ""))"),24)</f>
        <v>24</v>
      </c>
      <c r="H372" s="1">
        <v>24</v>
      </c>
      <c r="I372" s="1"/>
      <c r="J372" s="1"/>
      <c r="K372" s="1"/>
      <c r="L372" s="1"/>
      <c r="M372" s="1"/>
      <c r="N372" s="1"/>
      <c r="O372" s="1"/>
      <c r="P372" s="1"/>
      <c r="Q372" s="1"/>
      <c r="R372" s="1"/>
      <c r="S372" s="1"/>
      <c r="T372" s="1"/>
    </row>
    <row r="373" spans="1:20" ht="33.75" hidden="1" customHeight="1">
      <c r="A373" s="1" t="s">
        <v>1215</v>
      </c>
      <c r="B373" s="1" t="s">
        <v>1196</v>
      </c>
      <c r="C373" s="4">
        <v>39852.77847222222</v>
      </c>
      <c r="D373" s="1" t="s">
        <v>54</v>
      </c>
      <c r="E373" s="1" t="s">
        <v>1216</v>
      </c>
      <c r="F373" s="2" t="s">
        <v>1217</v>
      </c>
      <c r="G373" s="1">
        <f ca="1">IFERROR(__xludf.DUMMYFUNCTION("COUNTA(SPLIT(F373,"" ""))"),686)</f>
        <v>686</v>
      </c>
      <c r="H373" s="1">
        <v>686</v>
      </c>
      <c r="I373" s="1"/>
      <c r="J373" s="1"/>
      <c r="K373" s="1"/>
      <c r="L373" s="1"/>
      <c r="M373" s="1"/>
      <c r="N373" s="1"/>
      <c r="O373" s="1"/>
      <c r="P373" s="1"/>
      <c r="Q373" s="1"/>
      <c r="R373" s="1"/>
      <c r="S373" s="1"/>
      <c r="T373" s="1"/>
    </row>
    <row r="374" spans="1:20" ht="33.75" hidden="1" customHeight="1">
      <c r="A374" s="1" t="s">
        <v>1218</v>
      </c>
      <c r="B374" s="1" t="s">
        <v>1196</v>
      </c>
      <c r="C374" s="4">
        <v>39852.787499999999</v>
      </c>
      <c r="D374" s="1" t="s">
        <v>14</v>
      </c>
      <c r="E374" s="1" t="s">
        <v>1215</v>
      </c>
      <c r="F374" s="2" t="s">
        <v>1220</v>
      </c>
      <c r="G374" s="1">
        <f ca="1">IFERROR(__xludf.DUMMYFUNCTION("COUNTA(SPLIT(F374,"" ""))"),97)</f>
        <v>97</v>
      </c>
      <c r="H374" s="1">
        <v>97</v>
      </c>
      <c r="I374" s="1"/>
      <c r="J374" s="1"/>
      <c r="K374" s="1"/>
      <c r="L374" s="1"/>
      <c r="M374" s="1"/>
      <c r="N374" s="1"/>
      <c r="O374" s="1"/>
      <c r="P374" s="1"/>
      <c r="Q374" s="1"/>
      <c r="R374" s="1"/>
      <c r="S374" s="1"/>
      <c r="T374" s="1"/>
    </row>
    <row r="375" spans="1:20" ht="33.75" customHeight="1">
      <c r="A375" s="1" t="s">
        <v>1221</v>
      </c>
      <c r="B375" s="1" t="s">
        <v>846</v>
      </c>
      <c r="C375" s="4">
        <v>39852.795138888891</v>
      </c>
      <c r="D375" s="1" t="s">
        <v>1089</v>
      </c>
      <c r="E375" s="1"/>
      <c r="F375" s="2" t="s">
        <v>1222</v>
      </c>
      <c r="G375" s="1">
        <f ca="1">IFERROR(__xludf.DUMMYFUNCTION("COUNTA(SPLIT(F375,"" ""))"),27)</f>
        <v>27</v>
      </c>
      <c r="H375" s="1">
        <v>27</v>
      </c>
      <c r="I375" s="1"/>
      <c r="J375" s="1"/>
      <c r="K375" s="1"/>
      <c r="L375" s="1"/>
      <c r="M375" s="1"/>
      <c r="N375" s="1"/>
      <c r="O375" s="1"/>
      <c r="P375" s="1"/>
      <c r="Q375" s="1"/>
      <c r="R375" s="1"/>
      <c r="S375" s="1"/>
      <c r="T375" s="1"/>
    </row>
    <row r="376" spans="1:20" ht="33.75" hidden="1" customHeight="1">
      <c r="A376" s="1" t="s">
        <v>1223</v>
      </c>
      <c r="B376" s="1" t="s">
        <v>846</v>
      </c>
      <c r="C376" s="4">
        <v>39852.795138888891</v>
      </c>
      <c r="D376" s="1" t="s">
        <v>1224</v>
      </c>
      <c r="E376" s="1" t="s">
        <v>1225</v>
      </c>
      <c r="F376" s="2" t="s">
        <v>1226</v>
      </c>
      <c r="G376" s="1">
        <f ca="1">IFERROR(__xludf.DUMMYFUNCTION("COUNTA(SPLIT(F376,"" ""))"),63)</f>
        <v>63</v>
      </c>
      <c r="H376" s="1">
        <v>63</v>
      </c>
      <c r="I376" s="1"/>
      <c r="J376" s="1"/>
      <c r="K376" s="1"/>
      <c r="L376" s="1"/>
      <c r="M376" s="1"/>
      <c r="N376" s="1"/>
      <c r="O376" s="1"/>
      <c r="P376" s="1"/>
      <c r="Q376" s="1"/>
      <c r="R376" s="1"/>
      <c r="S376" s="1"/>
      <c r="T376" s="1"/>
    </row>
    <row r="377" spans="1:20" ht="33.75" hidden="1" customHeight="1">
      <c r="A377" s="1" t="s">
        <v>1227</v>
      </c>
      <c r="B377" s="1" t="s">
        <v>926</v>
      </c>
      <c r="C377" s="4">
        <v>39852.809027777781</v>
      </c>
      <c r="D377" s="1" t="s">
        <v>393</v>
      </c>
      <c r="E377" s="1">
        <v>355</v>
      </c>
      <c r="F377" s="2" t="s">
        <v>1228</v>
      </c>
      <c r="G377" s="1">
        <f ca="1">IFERROR(__xludf.DUMMYFUNCTION("COUNTA(SPLIT(F377,"" ""))"),29)</f>
        <v>29</v>
      </c>
      <c r="H377" s="1">
        <v>29</v>
      </c>
      <c r="I377" s="1"/>
      <c r="J377" s="1"/>
      <c r="K377" s="1"/>
      <c r="L377" s="1"/>
      <c r="M377" s="1"/>
      <c r="N377" s="1"/>
      <c r="O377" s="1"/>
      <c r="P377" s="1"/>
      <c r="Q377" s="1"/>
      <c r="R377" s="1"/>
      <c r="S377" s="1"/>
      <c r="T377" s="1"/>
    </row>
    <row r="378" spans="1:20" ht="33.75" customHeight="1">
      <c r="A378" s="1" t="s">
        <v>1229</v>
      </c>
      <c r="B378" s="1" t="s">
        <v>926</v>
      </c>
      <c r="C378" s="4">
        <v>39852.8125</v>
      </c>
      <c r="D378" s="1" t="s">
        <v>393</v>
      </c>
      <c r="E378" s="1"/>
      <c r="F378" s="2" t="s">
        <v>1231</v>
      </c>
      <c r="G378" s="1">
        <f ca="1">IFERROR(__xludf.DUMMYFUNCTION("COUNTA(SPLIT(F378,"" ""))"),6)</f>
        <v>6</v>
      </c>
      <c r="H378" s="1">
        <v>6</v>
      </c>
      <c r="I378" s="1"/>
      <c r="J378" s="1"/>
      <c r="K378" s="1"/>
      <c r="L378" s="1"/>
      <c r="M378" s="1"/>
      <c r="N378" s="1"/>
      <c r="O378" s="1"/>
      <c r="P378" s="1"/>
      <c r="Q378" s="1"/>
      <c r="R378" s="1"/>
      <c r="S378" s="1"/>
      <c r="T378" s="1"/>
    </row>
    <row r="379" spans="1:20" ht="33.75" hidden="1" customHeight="1">
      <c r="A379" s="1" t="s">
        <v>1232</v>
      </c>
      <c r="B379" s="1" t="s">
        <v>1196</v>
      </c>
      <c r="C379" s="4">
        <v>39852.822916666664</v>
      </c>
      <c r="D379" s="1" t="s">
        <v>14</v>
      </c>
      <c r="E379" s="1" t="s">
        <v>1210</v>
      </c>
      <c r="F379" s="2" t="s">
        <v>1234</v>
      </c>
      <c r="G379" s="1">
        <f ca="1">IFERROR(__xludf.DUMMYFUNCTION("COUNTA(SPLIT(F379,"" ""))"),357)</f>
        <v>357</v>
      </c>
      <c r="H379" s="1">
        <v>357</v>
      </c>
      <c r="I379" s="1"/>
      <c r="J379" s="1"/>
      <c r="K379" s="1"/>
      <c r="L379" s="1"/>
      <c r="M379" s="1"/>
      <c r="N379" s="1"/>
      <c r="O379" s="1"/>
      <c r="P379" s="1"/>
      <c r="Q379" s="1"/>
      <c r="R379" s="1"/>
      <c r="S379" s="1"/>
      <c r="T379" s="1"/>
    </row>
    <row r="380" spans="1:20" ht="33.75" customHeight="1">
      <c r="A380" s="1" t="s">
        <v>1235</v>
      </c>
      <c r="B380" s="1" t="s">
        <v>1196</v>
      </c>
      <c r="C380" s="4">
        <v>39852.833333333336</v>
      </c>
      <c r="D380" s="1" t="s">
        <v>255</v>
      </c>
      <c r="E380" s="1"/>
      <c r="F380" s="2" t="s">
        <v>1236</v>
      </c>
      <c r="G380" s="1">
        <f ca="1">IFERROR(__xludf.DUMMYFUNCTION("COUNTA(SPLIT(F380,"" ""))"),176)</f>
        <v>176</v>
      </c>
      <c r="H380" s="1">
        <v>176</v>
      </c>
      <c r="I380" s="1"/>
      <c r="J380" s="1"/>
      <c r="K380" s="1"/>
      <c r="L380" s="1"/>
      <c r="M380" s="1"/>
      <c r="N380" s="1"/>
      <c r="O380" s="1"/>
      <c r="P380" s="1"/>
      <c r="Q380" s="1"/>
      <c r="R380" s="1"/>
      <c r="S380" s="1"/>
      <c r="T380" s="1"/>
    </row>
    <row r="381" spans="1:20" ht="33.75" customHeight="1">
      <c r="A381" s="1" t="s">
        <v>1237</v>
      </c>
      <c r="B381" s="1" t="s">
        <v>926</v>
      </c>
      <c r="C381" s="4">
        <v>39852.836805555555</v>
      </c>
      <c r="D381" s="1" t="s">
        <v>393</v>
      </c>
      <c r="E381" s="1"/>
      <c r="F381" s="2" t="s">
        <v>1239</v>
      </c>
      <c r="G381" s="1">
        <f ca="1">IFERROR(__xludf.DUMMYFUNCTION("COUNTA(SPLIT(F381,"" ""))"),151)</f>
        <v>151</v>
      </c>
      <c r="H381" s="1">
        <v>151</v>
      </c>
      <c r="I381" s="1"/>
      <c r="J381" s="1"/>
      <c r="K381" s="1"/>
      <c r="L381" s="1"/>
      <c r="M381" s="1"/>
      <c r="N381" s="1"/>
      <c r="O381" s="1"/>
      <c r="P381" s="1"/>
      <c r="Q381" s="1"/>
      <c r="R381" s="1"/>
      <c r="S381" s="1"/>
      <c r="T381" s="1"/>
    </row>
    <row r="382" spans="1:20" ht="33.75" customHeight="1">
      <c r="A382" s="1" t="s">
        <v>1240</v>
      </c>
      <c r="B382" s="1" t="s">
        <v>846</v>
      </c>
      <c r="C382" s="4">
        <v>39852.838194444441</v>
      </c>
      <c r="D382" s="1" t="s">
        <v>1241</v>
      </c>
      <c r="E382" s="1"/>
      <c r="F382" s="2" t="s">
        <v>1242</v>
      </c>
      <c r="G382" s="1">
        <f ca="1">IFERROR(__xludf.DUMMYFUNCTION("COUNTA(SPLIT(F382,"" ""))"),293)</f>
        <v>293</v>
      </c>
      <c r="H382" s="1">
        <v>293</v>
      </c>
      <c r="I382" s="1"/>
      <c r="J382" s="1"/>
      <c r="K382" s="1"/>
      <c r="L382" s="1"/>
      <c r="M382" s="1"/>
      <c r="N382" s="1"/>
      <c r="O382" s="1"/>
      <c r="P382" s="1"/>
      <c r="Q382" s="1"/>
      <c r="R382" s="1"/>
      <c r="S382" s="1"/>
      <c r="T382" s="1"/>
    </row>
    <row r="383" spans="1:20" ht="33.75" customHeight="1">
      <c r="A383" s="1" t="s">
        <v>1243</v>
      </c>
      <c r="B383" s="1" t="s">
        <v>1196</v>
      </c>
      <c r="C383" s="4">
        <v>39852.843055555553</v>
      </c>
      <c r="D383" s="1" t="s">
        <v>255</v>
      </c>
      <c r="E383" s="1"/>
      <c r="F383" s="2" t="s">
        <v>1245</v>
      </c>
      <c r="G383" s="1">
        <f ca="1">IFERROR(__xludf.DUMMYFUNCTION("COUNTA(SPLIT(F383,"" ""))"),70)</f>
        <v>70</v>
      </c>
      <c r="H383" s="1">
        <v>70</v>
      </c>
      <c r="I383" s="1"/>
      <c r="J383" s="1"/>
      <c r="K383" s="1"/>
      <c r="L383" s="1"/>
      <c r="M383" s="1"/>
      <c r="N383" s="1"/>
      <c r="O383" s="1"/>
      <c r="P383" s="1"/>
      <c r="Q383" s="1"/>
      <c r="R383" s="1"/>
      <c r="S383" s="1"/>
      <c r="T383" s="1"/>
    </row>
    <row r="384" spans="1:20" ht="33.75" customHeight="1">
      <c r="A384" s="1" t="s">
        <v>1246</v>
      </c>
      <c r="B384" s="1" t="s">
        <v>160</v>
      </c>
      <c r="C384" s="4">
        <v>39852.849305555559</v>
      </c>
      <c r="D384" s="1" t="s">
        <v>393</v>
      </c>
      <c r="E384" s="1"/>
      <c r="F384" s="2" t="s">
        <v>1248</v>
      </c>
      <c r="G384" s="1">
        <f ca="1">IFERROR(__xludf.DUMMYFUNCTION("COUNTA(SPLIT(F384,"" ""))"),9)</f>
        <v>9</v>
      </c>
      <c r="H384" s="1">
        <v>9</v>
      </c>
      <c r="I384" s="1"/>
      <c r="J384" s="1"/>
      <c r="K384" s="1"/>
      <c r="L384" s="1"/>
      <c r="M384" s="1"/>
      <c r="N384" s="1"/>
      <c r="O384" s="1"/>
      <c r="P384" s="1"/>
      <c r="Q384" s="1"/>
      <c r="R384" s="1"/>
      <c r="S384" s="1"/>
      <c r="T384" s="1"/>
    </row>
    <row r="385" spans="1:20" ht="33.75" customHeight="1">
      <c r="A385" s="1" t="s">
        <v>1249</v>
      </c>
      <c r="B385" s="1" t="s">
        <v>1196</v>
      </c>
      <c r="C385" s="4">
        <v>39852.856944444444</v>
      </c>
      <c r="D385" s="1" t="s">
        <v>14</v>
      </c>
      <c r="E385" s="1"/>
      <c r="F385" s="2" t="s">
        <v>1251</v>
      </c>
      <c r="G385" s="1">
        <f ca="1">IFERROR(__xludf.DUMMYFUNCTION("COUNTA(SPLIT(F385,"" ""))"),334)</f>
        <v>334</v>
      </c>
      <c r="H385" s="1">
        <v>334</v>
      </c>
      <c r="I385" s="1"/>
      <c r="J385" s="1"/>
      <c r="K385" s="1"/>
      <c r="L385" s="1"/>
      <c r="M385" s="1"/>
      <c r="N385" s="1"/>
      <c r="O385" s="1"/>
      <c r="P385" s="1"/>
      <c r="Q385" s="1"/>
      <c r="R385" s="1"/>
      <c r="S385" s="1"/>
      <c r="T385" s="1"/>
    </row>
    <row r="386" spans="1:20" ht="33.75" customHeight="1">
      <c r="A386" s="1" t="s">
        <v>1252</v>
      </c>
      <c r="B386" s="1" t="s">
        <v>846</v>
      </c>
      <c r="C386" s="4">
        <v>39852.873611111114</v>
      </c>
      <c r="D386" s="1" t="s">
        <v>772</v>
      </c>
      <c r="E386" s="1"/>
      <c r="F386" s="2" t="s">
        <v>1253</v>
      </c>
      <c r="G386" s="1">
        <f ca="1">IFERROR(__xludf.DUMMYFUNCTION("COUNTA(SPLIT(F386,"" ""))"),15)</f>
        <v>15</v>
      </c>
      <c r="H386" s="1">
        <v>15</v>
      </c>
      <c r="I386" s="1"/>
      <c r="J386" s="1"/>
      <c r="K386" s="1"/>
      <c r="L386" s="1"/>
      <c r="M386" s="1"/>
      <c r="N386" s="1"/>
      <c r="O386" s="1"/>
      <c r="P386" s="1"/>
      <c r="Q386" s="1"/>
      <c r="R386" s="1"/>
      <c r="S386" s="1"/>
      <c r="T386" s="1"/>
    </row>
    <row r="387" spans="1:20" ht="33.75" hidden="1" customHeight="1">
      <c r="A387" s="1" t="s">
        <v>1254</v>
      </c>
      <c r="B387" s="1" t="s">
        <v>926</v>
      </c>
      <c r="C387" s="4">
        <v>39852.887499999997</v>
      </c>
      <c r="D387" s="1" t="s">
        <v>196</v>
      </c>
      <c r="E387" s="1" t="s">
        <v>1237</v>
      </c>
      <c r="F387" s="2" t="s">
        <v>1256</v>
      </c>
      <c r="G387" s="1">
        <f ca="1">IFERROR(__xludf.DUMMYFUNCTION("COUNTA(SPLIT(F387,"" ""))"),50)</f>
        <v>50</v>
      </c>
      <c r="H387" s="1">
        <v>50</v>
      </c>
      <c r="I387" s="1"/>
      <c r="J387" s="1"/>
      <c r="K387" s="1"/>
      <c r="L387" s="1"/>
      <c r="M387" s="1"/>
      <c r="N387" s="1"/>
      <c r="O387" s="1"/>
      <c r="P387" s="1"/>
      <c r="Q387" s="1"/>
      <c r="R387" s="1"/>
      <c r="S387" s="1"/>
      <c r="T387" s="1"/>
    </row>
    <row r="388" spans="1:20" ht="33.75" hidden="1" customHeight="1">
      <c r="A388" s="1" t="s">
        <v>1257</v>
      </c>
      <c r="B388" s="1" t="s">
        <v>846</v>
      </c>
      <c r="C388" s="4">
        <v>39852.901388888888</v>
      </c>
      <c r="D388" s="1" t="s">
        <v>772</v>
      </c>
      <c r="E388" s="1" t="s">
        <v>1252</v>
      </c>
      <c r="F388" s="2" t="s">
        <v>1258</v>
      </c>
      <c r="G388" s="1">
        <f ca="1">IFERROR(__xludf.DUMMYFUNCTION("COUNTA(SPLIT(F388,"" ""))"),63)</f>
        <v>63</v>
      </c>
      <c r="H388" s="1">
        <v>63</v>
      </c>
      <c r="I388" s="1"/>
      <c r="J388" s="1"/>
      <c r="K388" s="1"/>
      <c r="L388" s="1"/>
      <c r="M388" s="1"/>
      <c r="N388" s="1"/>
      <c r="O388" s="1"/>
      <c r="P388" s="1"/>
      <c r="Q388" s="1"/>
      <c r="R388" s="1"/>
      <c r="S388" s="1"/>
      <c r="T388" s="1"/>
    </row>
    <row r="389" spans="1:20" ht="33.75" customHeight="1">
      <c r="A389" s="1" t="s">
        <v>1259</v>
      </c>
      <c r="B389" s="1" t="s">
        <v>1196</v>
      </c>
      <c r="C389" s="4">
        <v>39852.949999999997</v>
      </c>
      <c r="D389" s="1" t="s">
        <v>14</v>
      </c>
      <c r="E389" s="1"/>
      <c r="F389" s="2" t="s">
        <v>1260</v>
      </c>
      <c r="G389" s="1">
        <f ca="1">IFERROR(__xludf.DUMMYFUNCTION("COUNTA(SPLIT(F389,"" ""))"),141)</f>
        <v>141</v>
      </c>
      <c r="H389" s="1">
        <v>141</v>
      </c>
      <c r="I389" s="1"/>
      <c r="J389" s="1"/>
      <c r="K389" s="1"/>
      <c r="L389" s="1"/>
      <c r="M389" s="1"/>
      <c r="N389" s="1"/>
      <c r="O389" s="1"/>
      <c r="P389" s="1"/>
      <c r="Q389" s="1"/>
      <c r="R389" s="1"/>
      <c r="S389" s="1"/>
      <c r="T389" s="1"/>
    </row>
    <row r="390" spans="1:20" ht="33.75" customHeight="1">
      <c r="A390" s="1" t="s">
        <v>1261</v>
      </c>
      <c r="B390" s="3" t="s">
        <v>13</v>
      </c>
      <c r="C390" s="4">
        <v>39852.968055555553</v>
      </c>
      <c r="D390" s="1" t="s">
        <v>913</v>
      </c>
      <c r="E390" s="1"/>
      <c r="F390" s="2" t="s">
        <v>1262</v>
      </c>
      <c r="G390" s="1">
        <f ca="1">IFERROR(__xludf.DUMMYFUNCTION("COUNTA(SPLIT(F390,"" ""))"),650)</f>
        <v>650</v>
      </c>
      <c r="H390" s="1">
        <v>650</v>
      </c>
      <c r="I390" s="1"/>
      <c r="J390" s="1"/>
      <c r="K390" s="1"/>
      <c r="L390" s="1"/>
      <c r="M390" s="1"/>
      <c r="N390" s="1"/>
      <c r="O390" s="1"/>
      <c r="P390" s="1"/>
      <c r="Q390" s="1"/>
      <c r="R390" s="1"/>
      <c r="S390" s="1"/>
      <c r="T390" s="1"/>
    </row>
    <row r="391" spans="1:20" ht="33.75" hidden="1" customHeight="1">
      <c r="A391" s="1" t="s">
        <v>1263</v>
      </c>
      <c r="B391" s="1" t="s">
        <v>1196</v>
      </c>
      <c r="C391" s="4">
        <v>39852.978472222225</v>
      </c>
      <c r="D391" s="1" t="s">
        <v>54</v>
      </c>
      <c r="E391" s="1" t="s">
        <v>1259</v>
      </c>
      <c r="F391" s="2" t="s">
        <v>1265</v>
      </c>
      <c r="G391" s="1">
        <f ca="1">IFERROR(__xludf.DUMMYFUNCTION("COUNTA(SPLIT(F391,"" ""))"),76)</f>
        <v>76</v>
      </c>
      <c r="H391" s="1">
        <v>76</v>
      </c>
      <c r="I391" s="1"/>
      <c r="J391" s="1"/>
      <c r="K391" s="1"/>
      <c r="L391" s="1"/>
      <c r="M391" s="1"/>
      <c r="N391" s="1"/>
      <c r="O391" s="1"/>
      <c r="P391" s="1"/>
      <c r="Q391" s="1"/>
      <c r="R391" s="1"/>
      <c r="S391" s="1"/>
      <c r="T391" s="1"/>
    </row>
    <row r="392" spans="1:20" ht="33.75" hidden="1" customHeight="1">
      <c r="A392" s="1" t="s">
        <v>1266</v>
      </c>
      <c r="B392" s="1" t="s">
        <v>1196</v>
      </c>
      <c r="C392" s="4">
        <v>39852.979166666664</v>
      </c>
      <c r="D392" s="1" t="s">
        <v>14</v>
      </c>
      <c r="E392" s="1" t="s">
        <v>1267</v>
      </c>
      <c r="F392" s="2" t="s">
        <v>1269</v>
      </c>
      <c r="G392" s="1">
        <f ca="1">IFERROR(__xludf.DUMMYFUNCTION("COUNTA(SPLIT(F392,"" ""))"),185)</f>
        <v>185</v>
      </c>
      <c r="H392" s="1">
        <v>185</v>
      </c>
      <c r="I392" s="1"/>
      <c r="J392" s="1"/>
      <c r="K392" s="1"/>
      <c r="L392" s="1"/>
      <c r="M392" s="1"/>
      <c r="N392" s="1"/>
      <c r="O392" s="1"/>
      <c r="P392" s="1"/>
      <c r="Q392" s="1"/>
      <c r="R392" s="1"/>
      <c r="S392" s="1"/>
      <c r="T392" s="1"/>
    </row>
    <row r="393" spans="1:20" ht="33.75" customHeight="1">
      <c r="A393" s="1" t="s">
        <v>1270</v>
      </c>
      <c r="B393" s="1" t="s">
        <v>926</v>
      </c>
      <c r="C393" s="4">
        <v>39853.002083333333</v>
      </c>
      <c r="D393" s="1" t="s">
        <v>54</v>
      </c>
      <c r="E393" s="1"/>
      <c r="F393" s="2" t="s">
        <v>1272</v>
      </c>
      <c r="G393" s="1">
        <f ca="1">IFERROR(__xludf.DUMMYFUNCTION("COUNTA(SPLIT(F393,"" ""))"),483)</f>
        <v>483</v>
      </c>
      <c r="H393" s="1">
        <v>483</v>
      </c>
      <c r="I393" s="1"/>
      <c r="J393" s="1"/>
      <c r="K393" s="1"/>
      <c r="L393" s="1"/>
      <c r="M393" s="1"/>
      <c r="N393" s="1"/>
      <c r="O393" s="1"/>
      <c r="P393" s="1"/>
      <c r="Q393" s="1"/>
      <c r="R393" s="1"/>
      <c r="S393" s="1"/>
      <c r="T393" s="1"/>
    </row>
    <row r="394" spans="1:20" ht="33.75" customHeight="1">
      <c r="A394" s="1" t="s">
        <v>1273</v>
      </c>
      <c r="B394" s="1" t="s">
        <v>1196</v>
      </c>
      <c r="C394" s="4">
        <v>39853.009027777778</v>
      </c>
      <c r="D394" s="1" t="s">
        <v>14</v>
      </c>
      <c r="E394" s="1"/>
      <c r="F394" s="2" t="s">
        <v>1275</v>
      </c>
      <c r="G394" s="1">
        <f ca="1">IFERROR(__xludf.DUMMYFUNCTION("COUNTA(SPLIT(F394,"" ""))"),491)</f>
        <v>491</v>
      </c>
      <c r="H394" s="1">
        <v>491</v>
      </c>
      <c r="I394" s="1"/>
      <c r="J394" s="1"/>
      <c r="K394" s="1"/>
      <c r="L394" s="1"/>
      <c r="M394" s="1"/>
      <c r="N394" s="1"/>
      <c r="O394" s="1"/>
      <c r="P394" s="1"/>
      <c r="Q394" s="1"/>
      <c r="R394" s="1"/>
      <c r="S394" s="1"/>
      <c r="T394" s="1"/>
    </row>
    <row r="395" spans="1:20" ht="33.75" customHeight="1">
      <c r="A395" s="1" t="s">
        <v>1276</v>
      </c>
      <c r="B395" s="1" t="s">
        <v>926</v>
      </c>
      <c r="C395" s="4">
        <v>39853.01666666667</v>
      </c>
      <c r="D395" s="1" t="s">
        <v>14</v>
      </c>
      <c r="E395" s="1"/>
      <c r="F395" s="2" t="s">
        <v>1278</v>
      </c>
      <c r="G395" s="1">
        <f ca="1">IFERROR(__xludf.DUMMYFUNCTION("COUNTA(SPLIT(F395,"" ""))"),164)</f>
        <v>164</v>
      </c>
      <c r="H395" s="1">
        <v>164</v>
      </c>
      <c r="I395" s="1"/>
      <c r="J395" s="1"/>
      <c r="K395" s="1"/>
      <c r="L395" s="1"/>
      <c r="M395" s="1"/>
      <c r="N395" s="1"/>
      <c r="O395" s="1"/>
      <c r="P395" s="1"/>
      <c r="Q395" s="1"/>
      <c r="R395" s="1"/>
      <c r="S395" s="1"/>
      <c r="T395" s="1"/>
    </row>
    <row r="396" spans="1:20" ht="33.75" customHeight="1">
      <c r="A396" s="1" t="s">
        <v>1279</v>
      </c>
      <c r="B396" s="1" t="s">
        <v>846</v>
      </c>
      <c r="C396" s="4">
        <v>39853.044444444444</v>
      </c>
      <c r="D396" s="1" t="s">
        <v>393</v>
      </c>
      <c r="E396" s="1"/>
      <c r="F396" s="2" t="s">
        <v>1280</v>
      </c>
      <c r="G396" s="1">
        <f ca="1">IFERROR(__xludf.DUMMYFUNCTION("COUNTA(SPLIT(F396,"" ""))"),112)</f>
        <v>112</v>
      </c>
      <c r="H396" s="1">
        <v>112</v>
      </c>
      <c r="I396" s="1"/>
      <c r="J396" s="1"/>
      <c r="K396" s="1"/>
      <c r="L396" s="1"/>
      <c r="M396" s="1"/>
      <c r="N396" s="1"/>
      <c r="O396" s="1"/>
      <c r="P396" s="1"/>
      <c r="Q396" s="1"/>
      <c r="R396" s="1"/>
      <c r="S396" s="1"/>
      <c r="T396" s="1"/>
    </row>
    <row r="397" spans="1:20" ht="33.75" customHeight="1">
      <c r="A397" s="1" t="s">
        <v>1281</v>
      </c>
      <c r="B397" s="3" t="s">
        <v>13</v>
      </c>
      <c r="C397" s="4">
        <v>39853.053472222222</v>
      </c>
      <c r="D397" s="1" t="s">
        <v>553</v>
      </c>
      <c r="E397" s="1"/>
      <c r="F397" s="2" t="s">
        <v>1283</v>
      </c>
      <c r="G397" s="1">
        <f ca="1">IFERROR(__xludf.DUMMYFUNCTION("COUNTA(SPLIT(F397,"" ""))"),184)</f>
        <v>184</v>
      </c>
      <c r="H397" s="1">
        <v>184</v>
      </c>
      <c r="I397" s="1"/>
      <c r="J397" s="1"/>
      <c r="K397" s="1"/>
      <c r="L397" s="1"/>
      <c r="M397" s="1"/>
      <c r="N397" s="1"/>
      <c r="O397" s="1"/>
      <c r="P397" s="1"/>
      <c r="Q397" s="1"/>
      <c r="R397" s="1"/>
      <c r="S397" s="1"/>
      <c r="T397" s="1"/>
    </row>
    <row r="398" spans="1:20" ht="33.75" hidden="1" customHeight="1">
      <c r="A398" s="1" t="s">
        <v>1284</v>
      </c>
      <c r="B398" s="3" t="s">
        <v>13</v>
      </c>
      <c r="C398" s="4">
        <v>39853.070833333331</v>
      </c>
      <c r="D398" s="1" t="s">
        <v>913</v>
      </c>
      <c r="E398" s="1" t="s">
        <v>1281</v>
      </c>
      <c r="F398" s="2" t="s">
        <v>1286</v>
      </c>
      <c r="G398" s="1">
        <f ca="1">IFERROR(__xludf.DUMMYFUNCTION("COUNTA(SPLIT(F398,"" ""))"),74)</f>
        <v>74</v>
      </c>
      <c r="H398" s="1">
        <v>74</v>
      </c>
      <c r="I398" s="1"/>
      <c r="J398" s="1"/>
      <c r="K398" s="1"/>
      <c r="L398" s="1"/>
      <c r="M398" s="1"/>
      <c r="N398" s="1"/>
      <c r="O398" s="1"/>
      <c r="P398" s="1"/>
      <c r="Q398" s="1"/>
      <c r="R398" s="1"/>
      <c r="S398" s="1"/>
      <c r="T398" s="1"/>
    </row>
    <row r="399" spans="1:20" ht="33.75" customHeight="1">
      <c r="A399" s="1" t="s">
        <v>1287</v>
      </c>
      <c r="B399" s="1" t="s">
        <v>846</v>
      </c>
      <c r="C399" s="4">
        <v>39853.070833333331</v>
      </c>
      <c r="D399" s="1" t="s">
        <v>1089</v>
      </c>
      <c r="E399" s="1"/>
      <c r="F399" s="2" t="s">
        <v>1288</v>
      </c>
      <c r="G399" s="1">
        <f ca="1">IFERROR(__xludf.DUMMYFUNCTION("COUNTA(SPLIT(F399,"" ""))"),301)</f>
        <v>301</v>
      </c>
      <c r="H399" s="1">
        <v>301</v>
      </c>
      <c r="I399" s="1"/>
      <c r="J399" s="1"/>
      <c r="K399" s="1"/>
      <c r="L399" s="1"/>
      <c r="M399" s="1"/>
      <c r="N399" s="1"/>
      <c r="O399" s="1"/>
      <c r="P399" s="1"/>
      <c r="Q399" s="1"/>
      <c r="R399" s="1"/>
      <c r="S399" s="1"/>
      <c r="T399" s="1"/>
    </row>
    <row r="400" spans="1:20" ht="33.75" customHeight="1">
      <c r="A400" s="1" t="s">
        <v>1289</v>
      </c>
      <c r="B400" s="1" t="s">
        <v>926</v>
      </c>
      <c r="C400" s="4">
        <v>39853.10833333333</v>
      </c>
      <c r="D400" s="1" t="s">
        <v>54</v>
      </c>
      <c r="E400" s="1"/>
      <c r="F400" s="2" t="s">
        <v>1291</v>
      </c>
      <c r="G400" s="1">
        <f ca="1">IFERROR(__xludf.DUMMYFUNCTION("COUNTA(SPLIT(F400,"" ""))"),83)</f>
        <v>83</v>
      </c>
      <c r="H400" s="1">
        <v>83</v>
      </c>
      <c r="I400" s="1"/>
      <c r="J400" s="1"/>
      <c r="K400" s="1"/>
      <c r="L400" s="1"/>
      <c r="M400" s="1"/>
      <c r="N400" s="1"/>
      <c r="O400" s="1"/>
      <c r="P400" s="1"/>
      <c r="Q400" s="1"/>
      <c r="R400" s="1"/>
      <c r="S400" s="1"/>
      <c r="T400" s="1"/>
    </row>
    <row r="401" spans="1:20" ht="33.75" hidden="1" customHeight="1">
      <c r="A401" s="1" t="s">
        <v>1292</v>
      </c>
      <c r="B401" s="3" t="s">
        <v>13</v>
      </c>
      <c r="C401" s="4">
        <v>39853.12222222222</v>
      </c>
      <c r="D401" s="1" t="s">
        <v>101</v>
      </c>
      <c r="E401" s="1" t="s">
        <v>1284</v>
      </c>
      <c r="F401" s="2" t="s">
        <v>1293</v>
      </c>
      <c r="G401" s="1">
        <f ca="1">IFERROR(__xludf.DUMMYFUNCTION("COUNTA(SPLIT(F401,"" ""))"),33)</f>
        <v>33</v>
      </c>
      <c r="H401" s="1">
        <v>33</v>
      </c>
      <c r="I401" s="1"/>
      <c r="J401" s="1"/>
      <c r="K401" s="1"/>
      <c r="L401" s="1"/>
      <c r="M401" s="1"/>
      <c r="N401" s="1"/>
      <c r="O401" s="1"/>
      <c r="P401" s="1"/>
      <c r="Q401" s="1"/>
      <c r="R401" s="1"/>
      <c r="S401" s="1"/>
      <c r="T401" s="1"/>
    </row>
    <row r="402" spans="1:20" ht="33.75" customHeight="1">
      <c r="A402" s="1" t="s">
        <v>1294</v>
      </c>
      <c r="B402" s="1" t="s">
        <v>846</v>
      </c>
      <c r="C402" s="4">
        <v>39853.151388888888</v>
      </c>
      <c r="D402" s="1" t="s">
        <v>255</v>
      </c>
      <c r="E402" s="1"/>
      <c r="F402" s="2" t="s">
        <v>1295</v>
      </c>
      <c r="G402" s="1">
        <f ca="1">IFERROR(__xludf.DUMMYFUNCTION("COUNTA(SPLIT(F402,"" ""))"),134)</f>
        <v>134</v>
      </c>
      <c r="H402" s="1">
        <v>134</v>
      </c>
      <c r="I402" s="1"/>
      <c r="J402" s="1"/>
      <c r="K402" s="1"/>
      <c r="L402" s="1"/>
      <c r="M402" s="1"/>
      <c r="N402" s="1"/>
      <c r="O402" s="1"/>
      <c r="P402" s="1"/>
      <c r="Q402" s="1"/>
      <c r="R402" s="1"/>
      <c r="S402" s="1"/>
      <c r="T402" s="1"/>
    </row>
    <row r="403" spans="1:20" ht="33.75" customHeight="1">
      <c r="A403" s="1" t="s">
        <v>1296</v>
      </c>
      <c r="B403" s="1" t="s">
        <v>846</v>
      </c>
      <c r="C403" s="4">
        <v>39853.329861111109</v>
      </c>
      <c r="D403" s="1" t="s">
        <v>84</v>
      </c>
      <c r="E403" s="1"/>
      <c r="F403" s="2" t="s">
        <v>1297</v>
      </c>
      <c r="G403" s="1">
        <f ca="1">IFERROR(__xludf.DUMMYFUNCTION("COUNTA(SPLIT(F403,"" ""))"),11)</f>
        <v>11</v>
      </c>
      <c r="H403" s="1">
        <v>11</v>
      </c>
      <c r="I403" s="1"/>
      <c r="J403" s="1"/>
      <c r="K403" s="1"/>
      <c r="L403" s="1"/>
      <c r="M403" s="1"/>
      <c r="N403" s="1"/>
      <c r="O403" s="1"/>
      <c r="P403" s="1"/>
      <c r="Q403" s="1"/>
      <c r="R403" s="1"/>
      <c r="S403" s="1"/>
      <c r="T403" s="1"/>
    </row>
    <row r="404" spans="1:20" ht="33.75" hidden="1" customHeight="1">
      <c r="A404" s="1" t="s">
        <v>1298</v>
      </c>
      <c r="B404" s="1" t="s">
        <v>846</v>
      </c>
      <c r="C404" s="4">
        <v>39853.341666666667</v>
      </c>
      <c r="D404" s="1" t="s">
        <v>84</v>
      </c>
      <c r="E404" s="1" t="s">
        <v>1240</v>
      </c>
      <c r="F404" s="2" t="s">
        <v>1299</v>
      </c>
      <c r="G404" s="1">
        <f ca="1">IFERROR(__xludf.DUMMYFUNCTION("COUNTA(SPLIT(F404,"" ""))"),66)</f>
        <v>66</v>
      </c>
      <c r="H404" s="1">
        <v>66</v>
      </c>
      <c r="I404" s="1"/>
      <c r="J404" s="1"/>
      <c r="K404" s="1"/>
      <c r="L404" s="1"/>
      <c r="M404" s="1"/>
      <c r="N404" s="1"/>
      <c r="O404" s="1"/>
      <c r="P404" s="1"/>
      <c r="Q404" s="1"/>
      <c r="R404" s="1"/>
      <c r="S404" s="1"/>
      <c r="T404" s="1"/>
    </row>
    <row r="405" spans="1:20" ht="33.75" hidden="1" customHeight="1">
      <c r="A405" s="1" t="s">
        <v>1300</v>
      </c>
      <c r="B405" s="1" t="s">
        <v>1196</v>
      </c>
      <c r="C405" s="4">
        <v>39853.342361111114</v>
      </c>
      <c r="D405" s="1" t="s">
        <v>393</v>
      </c>
      <c r="E405" s="1" t="s">
        <v>1273</v>
      </c>
      <c r="F405" s="2" t="s">
        <v>1302</v>
      </c>
      <c r="G405" s="1">
        <f ca="1">IFERROR(__xludf.DUMMYFUNCTION("COUNTA(SPLIT(F405,"" ""))"),258)</f>
        <v>258</v>
      </c>
      <c r="H405" s="1">
        <v>258</v>
      </c>
      <c r="I405" s="1"/>
      <c r="J405" s="1"/>
      <c r="K405" s="1"/>
      <c r="L405" s="1"/>
      <c r="M405" s="1"/>
      <c r="N405" s="1"/>
      <c r="O405" s="1"/>
      <c r="P405" s="1"/>
      <c r="Q405" s="1"/>
      <c r="R405" s="1"/>
      <c r="S405" s="1"/>
      <c r="T405" s="1"/>
    </row>
    <row r="406" spans="1:20" ht="33.75" customHeight="1">
      <c r="A406" s="1" t="s">
        <v>1303</v>
      </c>
      <c r="B406" s="1" t="s">
        <v>846</v>
      </c>
      <c r="C406" s="4">
        <v>39853.352083333331</v>
      </c>
      <c r="D406" s="1" t="s">
        <v>393</v>
      </c>
      <c r="E406" s="1"/>
      <c r="F406" s="2" t="s">
        <v>1306</v>
      </c>
      <c r="G406" s="1">
        <f ca="1">IFERROR(__xludf.DUMMYFUNCTION("COUNTA(SPLIT(F406,"" ""))"),63)</f>
        <v>63</v>
      </c>
      <c r="H406" s="1">
        <v>63</v>
      </c>
      <c r="I406" s="1"/>
      <c r="J406" s="1"/>
      <c r="K406" s="1"/>
      <c r="L406" s="1"/>
      <c r="M406" s="1"/>
      <c r="N406" s="1"/>
      <c r="O406" s="1"/>
      <c r="P406" s="1"/>
      <c r="Q406" s="1"/>
      <c r="R406" s="1"/>
      <c r="S406" s="1"/>
      <c r="T406" s="1"/>
    </row>
    <row r="407" spans="1:20" ht="33.75" hidden="1" customHeight="1">
      <c r="A407" s="1" t="s">
        <v>1307</v>
      </c>
      <c r="B407" s="1" t="s">
        <v>1196</v>
      </c>
      <c r="C407" s="4">
        <v>39853.37222222222</v>
      </c>
      <c r="D407" s="1" t="s">
        <v>54</v>
      </c>
      <c r="E407" s="1" t="s">
        <v>1308</v>
      </c>
      <c r="F407" s="2" t="s">
        <v>1310</v>
      </c>
      <c r="G407" s="1">
        <f ca="1">IFERROR(__xludf.DUMMYFUNCTION("COUNTA(SPLIT(F407,"" ""))"),268)</f>
        <v>268</v>
      </c>
      <c r="H407" s="1">
        <v>268</v>
      </c>
      <c r="I407" s="1"/>
      <c r="J407" s="1"/>
      <c r="K407" s="1"/>
      <c r="L407" s="1"/>
      <c r="M407" s="1"/>
      <c r="N407" s="1"/>
      <c r="O407" s="1"/>
      <c r="P407" s="1"/>
      <c r="Q407" s="1"/>
      <c r="R407" s="1"/>
      <c r="S407" s="1"/>
      <c r="T407" s="1"/>
    </row>
    <row r="408" spans="1:20" ht="33.75" hidden="1" customHeight="1">
      <c r="A408" s="1" t="s">
        <v>1311</v>
      </c>
      <c r="B408" s="1" t="s">
        <v>1196</v>
      </c>
      <c r="C408" s="4">
        <v>39853.382638888892</v>
      </c>
      <c r="D408" s="1" t="s">
        <v>54</v>
      </c>
      <c r="E408" s="1" t="s">
        <v>1312</v>
      </c>
      <c r="F408" s="2" t="s">
        <v>1313</v>
      </c>
      <c r="G408" s="1">
        <f ca="1">IFERROR(__xludf.DUMMYFUNCTION("COUNTA(SPLIT(F408,"" ""))"),112)</f>
        <v>112</v>
      </c>
      <c r="H408" s="1">
        <v>112</v>
      </c>
      <c r="I408" s="1"/>
      <c r="J408" s="1"/>
      <c r="K408" s="1"/>
      <c r="L408" s="1"/>
      <c r="M408" s="1"/>
      <c r="N408" s="1"/>
      <c r="O408" s="1"/>
      <c r="P408" s="1"/>
      <c r="Q408" s="1"/>
      <c r="R408" s="1"/>
      <c r="S408" s="1"/>
      <c r="T408" s="1"/>
    </row>
    <row r="409" spans="1:20" ht="33.75" hidden="1" customHeight="1">
      <c r="A409" s="1" t="s">
        <v>1314</v>
      </c>
      <c r="B409" s="1" t="s">
        <v>1196</v>
      </c>
      <c r="C409" s="4">
        <v>39853.433333333334</v>
      </c>
      <c r="D409" s="1" t="s">
        <v>14</v>
      </c>
      <c r="E409" s="9">
        <v>410411</v>
      </c>
      <c r="F409" s="2" t="s">
        <v>1316</v>
      </c>
      <c r="G409" s="1">
        <f ca="1">IFERROR(__xludf.DUMMYFUNCTION("COUNTA(SPLIT(F409,"" ""))"),549)</f>
        <v>549</v>
      </c>
      <c r="H409" s="1">
        <v>549</v>
      </c>
      <c r="I409" s="1"/>
      <c r="J409" s="1"/>
      <c r="K409" s="1"/>
      <c r="L409" s="1"/>
      <c r="M409" s="1"/>
      <c r="N409" s="1"/>
      <c r="O409" s="1"/>
      <c r="P409" s="1"/>
      <c r="Q409" s="1"/>
      <c r="R409" s="1"/>
      <c r="S409" s="1"/>
      <c r="T409" s="1"/>
    </row>
    <row r="410" spans="1:20" ht="33.75" customHeight="1">
      <c r="A410" s="1" t="s">
        <v>1317</v>
      </c>
      <c r="B410" s="1" t="s">
        <v>1196</v>
      </c>
      <c r="C410" s="4">
        <v>39853.43472222222</v>
      </c>
      <c r="D410" s="1" t="s">
        <v>14</v>
      </c>
      <c r="E410" s="1"/>
      <c r="F410" s="2" t="s">
        <v>1319</v>
      </c>
      <c r="G410" s="1">
        <f ca="1">IFERROR(__xludf.DUMMYFUNCTION("COUNTA(SPLIT(F410,"" ""))"),70)</f>
        <v>70</v>
      </c>
      <c r="H410" s="1">
        <v>70</v>
      </c>
      <c r="I410" s="1"/>
      <c r="J410" s="1"/>
      <c r="K410" s="1"/>
      <c r="L410" s="1"/>
      <c r="M410" s="1"/>
      <c r="N410" s="1"/>
      <c r="O410" s="1"/>
      <c r="P410" s="1"/>
      <c r="Q410" s="1"/>
      <c r="R410" s="1"/>
      <c r="S410" s="1"/>
      <c r="T410" s="1"/>
    </row>
    <row r="411" spans="1:20" ht="33.75" customHeight="1">
      <c r="A411" s="1" t="s">
        <v>1320</v>
      </c>
      <c r="B411" s="3" t="s">
        <v>13</v>
      </c>
      <c r="C411" s="4">
        <v>39853.443749999999</v>
      </c>
      <c r="D411" s="1" t="s">
        <v>101</v>
      </c>
      <c r="E411" s="1"/>
      <c r="F411" s="2" t="s">
        <v>1323</v>
      </c>
      <c r="G411" s="1">
        <f ca="1">IFERROR(__xludf.DUMMYFUNCTION("COUNTA(SPLIT(F411,"" ""))"),82)</f>
        <v>82</v>
      </c>
      <c r="H411" s="1">
        <v>82</v>
      </c>
      <c r="I411" s="1"/>
      <c r="J411" s="1"/>
      <c r="K411" s="1"/>
      <c r="L411" s="1"/>
      <c r="M411" s="1"/>
      <c r="N411" s="1"/>
      <c r="O411" s="1"/>
      <c r="P411" s="1"/>
      <c r="Q411" s="1"/>
      <c r="R411" s="1"/>
      <c r="S411" s="1"/>
      <c r="T411" s="1"/>
    </row>
    <row r="412" spans="1:20" ht="33.75" hidden="1" customHeight="1">
      <c r="A412" s="1" t="s">
        <v>1324</v>
      </c>
      <c r="B412" s="1" t="s">
        <v>926</v>
      </c>
      <c r="C412" s="4">
        <v>39853.450694444444</v>
      </c>
      <c r="D412" s="1" t="s">
        <v>14</v>
      </c>
      <c r="E412" s="1">
        <v>331</v>
      </c>
      <c r="F412" s="2" t="s">
        <v>1326</v>
      </c>
      <c r="G412" s="1">
        <f ca="1">IFERROR(__xludf.DUMMYFUNCTION("COUNTA(SPLIT(F412,"" ""))"),285)</f>
        <v>285</v>
      </c>
      <c r="H412" s="1">
        <v>285</v>
      </c>
      <c r="I412" s="1"/>
      <c r="J412" s="1"/>
      <c r="K412" s="1"/>
      <c r="L412" s="1"/>
      <c r="M412" s="1"/>
      <c r="N412" s="1"/>
      <c r="O412" s="1"/>
      <c r="P412" s="1"/>
      <c r="Q412" s="1"/>
      <c r="R412" s="1"/>
      <c r="S412" s="1"/>
      <c r="T412" s="1"/>
    </row>
    <row r="413" spans="1:20" ht="33.75" hidden="1" customHeight="1">
      <c r="A413" s="1" t="s">
        <v>1327</v>
      </c>
      <c r="B413" s="1" t="s">
        <v>926</v>
      </c>
      <c r="C413" s="4">
        <v>39853.463194444441</v>
      </c>
      <c r="D413" s="1" t="s">
        <v>14</v>
      </c>
      <c r="E413" s="1" t="s">
        <v>1324</v>
      </c>
      <c r="F413" s="2" t="s">
        <v>1328</v>
      </c>
      <c r="G413" s="1">
        <f ca="1">IFERROR(__xludf.DUMMYFUNCTION("COUNTA(SPLIT(F413,"" ""))"),155)</f>
        <v>155</v>
      </c>
      <c r="H413" s="1">
        <v>155</v>
      </c>
      <c r="I413" s="1"/>
      <c r="J413" s="1"/>
      <c r="K413" s="1"/>
      <c r="L413" s="1"/>
      <c r="M413" s="1"/>
      <c r="N413" s="1"/>
      <c r="O413" s="1"/>
      <c r="P413" s="1"/>
      <c r="Q413" s="1"/>
      <c r="R413" s="1"/>
      <c r="S413" s="1"/>
      <c r="T413" s="1"/>
    </row>
    <row r="414" spans="1:20" ht="33.75" hidden="1" customHeight="1">
      <c r="A414" s="1" t="s">
        <v>1329</v>
      </c>
      <c r="B414" s="1" t="s">
        <v>1196</v>
      </c>
      <c r="C414" s="4">
        <v>39853.489583333336</v>
      </c>
      <c r="D414" s="1" t="s">
        <v>255</v>
      </c>
      <c r="E414" s="1" t="s">
        <v>1330</v>
      </c>
      <c r="F414" s="2" t="s">
        <v>1331</v>
      </c>
      <c r="G414" s="1">
        <f ca="1">IFERROR(__xludf.DUMMYFUNCTION("COUNTA(SPLIT(F414,"" ""))"),70)</f>
        <v>70</v>
      </c>
      <c r="H414" s="1">
        <v>70</v>
      </c>
      <c r="I414" s="1"/>
      <c r="J414" s="1"/>
      <c r="K414" s="1"/>
      <c r="L414" s="1"/>
      <c r="M414" s="1"/>
      <c r="N414" s="1"/>
      <c r="O414" s="1"/>
      <c r="P414" s="1"/>
      <c r="Q414" s="1"/>
      <c r="R414" s="1"/>
      <c r="S414" s="1"/>
      <c r="T414" s="1"/>
    </row>
    <row r="415" spans="1:20" ht="33.75" hidden="1" customHeight="1">
      <c r="A415" s="1" t="s">
        <v>1332</v>
      </c>
      <c r="B415" s="3" t="s">
        <v>13</v>
      </c>
      <c r="C415" s="4">
        <v>39853.522222222222</v>
      </c>
      <c r="D415" s="1" t="s">
        <v>913</v>
      </c>
      <c r="E415" s="1" t="s">
        <v>1320</v>
      </c>
      <c r="F415" s="2" t="s">
        <v>1333</v>
      </c>
      <c r="G415" s="1">
        <f ca="1">IFERROR(__xludf.DUMMYFUNCTION("COUNTA(SPLIT(F415,"" ""))"),262)</f>
        <v>262</v>
      </c>
      <c r="H415" s="1">
        <v>262</v>
      </c>
      <c r="I415" s="1"/>
      <c r="J415" s="1"/>
      <c r="K415" s="1"/>
      <c r="L415" s="1"/>
      <c r="M415" s="1"/>
      <c r="N415" s="1"/>
      <c r="O415" s="1"/>
      <c r="P415" s="1"/>
      <c r="Q415" s="1"/>
      <c r="R415" s="1"/>
      <c r="S415" s="1"/>
      <c r="T415" s="1"/>
    </row>
    <row r="416" spans="1:20" ht="33.75" customHeight="1">
      <c r="A416" s="1" t="s">
        <v>1334</v>
      </c>
      <c r="B416" s="1" t="s">
        <v>846</v>
      </c>
      <c r="C416" s="4">
        <v>39853.572222222225</v>
      </c>
      <c r="D416" s="1" t="s">
        <v>393</v>
      </c>
      <c r="E416" s="1"/>
      <c r="F416" s="2" t="s">
        <v>1337</v>
      </c>
      <c r="G416" s="1">
        <f ca="1">IFERROR(__xludf.DUMMYFUNCTION("COUNTA(SPLIT(F416,"" ""))"),94)</f>
        <v>94</v>
      </c>
      <c r="H416" s="1">
        <v>94</v>
      </c>
      <c r="I416" s="1"/>
      <c r="J416" s="1"/>
      <c r="K416" s="1"/>
      <c r="L416" s="1"/>
      <c r="M416" s="1"/>
      <c r="N416" s="1"/>
      <c r="O416" s="1"/>
      <c r="P416" s="1"/>
      <c r="Q416" s="1"/>
      <c r="R416" s="1"/>
      <c r="S416" s="1"/>
      <c r="T416" s="1"/>
    </row>
    <row r="417" spans="1:20" ht="33.75" hidden="1" customHeight="1">
      <c r="A417" s="1" t="s">
        <v>1338</v>
      </c>
      <c r="B417" s="3" t="s">
        <v>13</v>
      </c>
      <c r="C417" s="4">
        <v>39853.697222222225</v>
      </c>
      <c r="D417" s="1" t="s">
        <v>101</v>
      </c>
      <c r="E417" s="1" t="s">
        <v>1332</v>
      </c>
      <c r="F417" s="2" t="s">
        <v>1339</v>
      </c>
      <c r="G417" s="1">
        <f ca="1">IFERROR(__xludf.DUMMYFUNCTION("COUNTA(SPLIT(F417,"" ""))"),24)</f>
        <v>24</v>
      </c>
      <c r="H417" s="1">
        <v>24</v>
      </c>
      <c r="I417" s="1"/>
      <c r="J417" s="1"/>
      <c r="K417" s="1"/>
      <c r="L417" s="1"/>
      <c r="M417" s="1"/>
      <c r="N417" s="1"/>
      <c r="O417" s="1"/>
      <c r="P417" s="1"/>
      <c r="Q417" s="1"/>
      <c r="R417" s="1"/>
      <c r="S417" s="1"/>
      <c r="T417" s="1"/>
    </row>
    <row r="418" spans="1:20" ht="33.75" hidden="1" customHeight="1">
      <c r="A418" s="1" t="s">
        <v>1340</v>
      </c>
      <c r="B418" s="1" t="s">
        <v>846</v>
      </c>
      <c r="C418" s="4">
        <v>39853.705555555556</v>
      </c>
      <c r="D418" s="1" t="s">
        <v>54</v>
      </c>
      <c r="E418" s="1" t="s">
        <v>1341</v>
      </c>
      <c r="F418" s="2" t="s">
        <v>1342</v>
      </c>
      <c r="G418" s="1">
        <f ca="1">IFERROR(__xludf.DUMMYFUNCTION("COUNTA(SPLIT(F418,"" ""))"),130)</f>
        <v>130</v>
      </c>
      <c r="H418" s="1">
        <v>130</v>
      </c>
      <c r="I418" s="1"/>
      <c r="J418" s="1"/>
      <c r="K418" s="1"/>
      <c r="L418" s="1"/>
      <c r="M418" s="1"/>
      <c r="N418" s="1"/>
      <c r="O418" s="1"/>
      <c r="P418" s="1"/>
      <c r="Q418" s="1"/>
      <c r="R418" s="1"/>
      <c r="S418" s="1"/>
      <c r="T418" s="1"/>
    </row>
    <row r="419" spans="1:20" ht="33.75" hidden="1" customHeight="1">
      <c r="A419" s="1" t="s">
        <v>1343</v>
      </c>
      <c r="B419" s="1" t="s">
        <v>1196</v>
      </c>
      <c r="C419" s="4">
        <v>39853.713888888888</v>
      </c>
      <c r="D419" s="1" t="s">
        <v>393</v>
      </c>
      <c r="E419" s="1" t="s">
        <v>1317</v>
      </c>
      <c r="F419" s="2" t="s">
        <v>1344</v>
      </c>
      <c r="G419" s="1">
        <f ca="1">IFERROR(__xludf.DUMMYFUNCTION("COUNTA(SPLIT(F419,"" ""))"),213)</f>
        <v>213</v>
      </c>
      <c r="H419" s="1">
        <v>213</v>
      </c>
      <c r="I419" s="1"/>
      <c r="J419" s="1"/>
      <c r="K419" s="1"/>
      <c r="L419" s="1"/>
      <c r="M419" s="1"/>
      <c r="N419" s="1"/>
      <c r="O419" s="1"/>
      <c r="P419" s="1"/>
      <c r="Q419" s="1"/>
      <c r="R419" s="1"/>
      <c r="S419" s="1"/>
      <c r="T419" s="1"/>
    </row>
    <row r="420" spans="1:20" ht="33.75" customHeight="1">
      <c r="A420" s="1" t="s">
        <v>1345</v>
      </c>
      <c r="B420" s="1" t="s">
        <v>680</v>
      </c>
      <c r="C420" s="4">
        <v>39853.741666666669</v>
      </c>
      <c r="D420" s="1" t="s">
        <v>101</v>
      </c>
      <c r="E420" s="1"/>
      <c r="F420" s="2" t="s">
        <v>1348</v>
      </c>
      <c r="G420" s="1">
        <f ca="1">IFERROR(__xludf.DUMMYFUNCTION("COUNTA(SPLIT(F420,"" ""))"),34)</f>
        <v>34</v>
      </c>
      <c r="H420" s="1">
        <v>34</v>
      </c>
      <c r="I420" s="1"/>
      <c r="J420" s="1"/>
      <c r="K420" s="1"/>
      <c r="L420" s="1"/>
      <c r="M420" s="1"/>
      <c r="N420" s="1"/>
      <c r="O420" s="1"/>
      <c r="P420" s="1"/>
      <c r="Q420" s="1"/>
      <c r="R420" s="1"/>
      <c r="S420" s="1"/>
      <c r="T420" s="1"/>
    </row>
    <row r="421" spans="1:20" ht="33.75" hidden="1" customHeight="1">
      <c r="A421" s="1" t="s">
        <v>1349</v>
      </c>
      <c r="B421" s="1" t="s">
        <v>1196</v>
      </c>
      <c r="C421" s="4">
        <v>39853.789583333331</v>
      </c>
      <c r="D421" s="1" t="s">
        <v>54</v>
      </c>
      <c r="E421" s="1">
        <v>412</v>
      </c>
      <c r="F421" s="2" t="s">
        <v>1351</v>
      </c>
      <c r="G421" s="1">
        <f ca="1">IFERROR(__xludf.DUMMYFUNCTION("COUNTA(SPLIT(F421,"" ""))"),115)</f>
        <v>115</v>
      </c>
      <c r="H421" s="1">
        <v>115</v>
      </c>
      <c r="I421" s="1"/>
      <c r="J421" s="1"/>
      <c r="K421" s="1"/>
      <c r="L421" s="1"/>
      <c r="M421" s="1"/>
      <c r="N421" s="1"/>
      <c r="O421" s="1"/>
      <c r="P421" s="1"/>
      <c r="Q421" s="1"/>
      <c r="R421" s="1"/>
      <c r="S421" s="1"/>
      <c r="T421" s="1"/>
    </row>
    <row r="422" spans="1:20" ht="33.75" hidden="1" customHeight="1">
      <c r="A422" s="1" t="s">
        <v>1352</v>
      </c>
      <c r="B422" s="1" t="s">
        <v>1196</v>
      </c>
      <c r="C422" s="4">
        <v>39853.793055555558</v>
      </c>
      <c r="D422" s="1" t="s">
        <v>14</v>
      </c>
      <c r="E422" s="1" t="s">
        <v>1343</v>
      </c>
      <c r="F422" s="2" t="s">
        <v>1353</v>
      </c>
      <c r="G422" s="1">
        <f ca="1">IFERROR(__xludf.DUMMYFUNCTION("COUNTA(SPLIT(F422,"" ""))"),498)</f>
        <v>498</v>
      </c>
      <c r="H422" s="1">
        <v>498</v>
      </c>
      <c r="I422" s="1"/>
      <c r="J422" s="1"/>
      <c r="K422" s="1"/>
      <c r="L422" s="1"/>
      <c r="M422" s="1"/>
      <c r="N422" s="1"/>
      <c r="O422" s="1"/>
      <c r="P422" s="1"/>
      <c r="Q422" s="1"/>
      <c r="R422" s="1"/>
      <c r="S422" s="1"/>
      <c r="T422" s="1"/>
    </row>
    <row r="423" spans="1:20" ht="33.75" hidden="1" customHeight="1">
      <c r="A423" s="1" t="s">
        <v>1354</v>
      </c>
      <c r="B423" s="3" t="s">
        <v>13</v>
      </c>
      <c r="C423" s="4">
        <v>39853.819444444445</v>
      </c>
      <c r="D423" s="1" t="s">
        <v>913</v>
      </c>
      <c r="E423" s="1" t="s">
        <v>1338</v>
      </c>
      <c r="F423" s="2" t="s">
        <v>1355</v>
      </c>
      <c r="G423" s="1">
        <f ca="1">IFERROR(__xludf.DUMMYFUNCTION("COUNTA(SPLIT(F423,"" ""))"),207)</f>
        <v>207</v>
      </c>
      <c r="H423" s="1">
        <v>207</v>
      </c>
      <c r="I423" s="1"/>
      <c r="J423" s="1"/>
      <c r="K423" s="1"/>
      <c r="L423" s="1"/>
      <c r="M423" s="1"/>
      <c r="N423" s="1"/>
      <c r="O423" s="1"/>
      <c r="P423" s="1"/>
      <c r="Q423" s="1"/>
      <c r="R423" s="1"/>
      <c r="S423" s="1"/>
      <c r="T423" s="1"/>
    </row>
    <row r="424" spans="1:20" ht="33.75" hidden="1" customHeight="1">
      <c r="A424" s="1" t="s">
        <v>1356</v>
      </c>
      <c r="B424" s="1" t="s">
        <v>1196</v>
      </c>
      <c r="C424" s="4">
        <v>39853.829861111109</v>
      </c>
      <c r="D424" s="1" t="s">
        <v>255</v>
      </c>
      <c r="E424" s="1" t="s">
        <v>1357</v>
      </c>
      <c r="F424" s="2" t="s">
        <v>1359</v>
      </c>
      <c r="G424" s="1">
        <f ca="1">IFERROR(__xludf.DUMMYFUNCTION("COUNTA(SPLIT(F424,"" ""))"),149)</f>
        <v>149</v>
      </c>
      <c r="H424" s="1">
        <v>149</v>
      </c>
      <c r="I424" s="1"/>
      <c r="J424" s="1"/>
      <c r="K424" s="1"/>
      <c r="L424" s="1"/>
      <c r="M424" s="1"/>
      <c r="N424" s="1"/>
      <c r="O424" s="1"/>
      <c r="P424" s="1"/>
      <c r="Q424" s="1"/>
      <c r="R424" s="1"/>
      <c r="S424" s="1"/>
      <c r="T424" s="1"/>
    </row>
    <row r="425" spans="1:20" ht="33.75" hidden="1" customHeight="1">
      <c r="A425" s="1" t="s">
        <v>1360</v>
      </c>
      <c r="B425" s="1" t="s">
        <v>846</v>
      </c>
      <c r="C425" s="4">
        <v>39853.834027777775</v>
      </c>
      <c r="D425" s="1" t="s">
        <v>1089</v>
      </c>
      <c r="E425" s="1" t="s">
        <v>1287</v>
      </c>
      <c r="F425" s="2" t="s">
        <v>1361</v>
      </c>
      <c r="G425" s="1">
        <f ca="1">IFERROR(__xludf.DUMMYFUNCTION("COUNTA(SPLIT(F425,"" ""))"),72)</f>
        <v>72</v>
      </c>
      <c r="H425" s="1">
        <v>72</v>
      </c>
      <c r="I425" s="1"/>
      <c r="J425" s="1"/>
      <c r="K425" s="1"/>
      <c r="L425" s="1"/>
      <c r="M425" s="1"/>
      <c r="N425" s="1"/>
      <c r="O425" s="1"/>
      <c r="P425" s="1"/>
      <c r="Q425" s="1"/>
      <c r="R425" s="1"/>
      <c r="S425" s="1"/>
      <c r="T425" s="1"/>
    </row>
    <row r="426" spans="1:20" ht="33.75" hidden="1" customHeight="1">
      <c r="A426" s="1" t="s">
        <v>1362</v>
      </c>
      <c r="B426" s="1" t="s">
        <v>846</v>
      </c>
      <c r="C426" s="4">
        <v>39853.892361111109</v>
      </c>
      <c r="D426" s="1" t="s">
        <v>1241</v>
      </c>
      <c r="E426" s="1" t="s">
        <v>1240</v>
      </c>
      <c r="F426" s="2" t="s">
        <v>1363</v>
      </c>
      <c r="G426" s="1">
        <f ca="1">IFERROR(__xludf.DUMMYFUNCTION("COUNTA(SPLIT(F426,"" ""))"),36)</f>
        <v>36</v>
      </c>
      <c r="H426" s="1">
        <v>36</v>
      </c>
      <c r="I426" s="1"/>
      <c r="J426" s="1"/>
      <c r="K426" s="1"/>
      <c r="L426" s="1"/>
      <c r="M426" s="1"/>
      <c r="N426" s="1"/>
      <c r="O426" s="1"/>
      <c r="P426" s="1"/>
      <c r="Q426" s="1"/>
      <c r="R426" s="1"/>
      <c r="S426" s="1"/>
      <c r="T426" s="1"/>
    </row>
    <row r="427" spans="1:20" ht="33.75" hidden="1" customHeight="1">
      <c r="A427" s="1" t="s">
        <v>1364</v>
      </c>
      <c r="B427" s="1" t="s">
        <v>1196</v>
      </c>
      <c r="C427" s="4">
        <v>39853.916666666664</v>
      </c>
      <c r="D427" s="1" t="s">
        <v>320</v>
      </c>
      <c r="E427" s="1">
        <v>413</v>
      </c>
      <c r="F427" s="2" t="s">
        <v>1366</v>
      </c>
      <c r="G427" s="1">
        <f ca="1">IFERROR(__xludf.DUMMYFUNCTION("COUNTA(SPLIT(F427,"" ""))"),311)</f>
        <v>311</v>
      </c>
      <c r="H427" s="1">
        <v>311</v>
      </c>
      <c r="I427" s="1"/>
      <c r="J427" s="1"/>
      <c r="K427" s="1"/>
      <c r="L427" s="1"/>
      <c r="M427" s="1"/>
      <c r="N427" s="1"/>
      <c r="O427" s="1"/>
      <c r="P427" s="1"/>
      <c r="Q427" s="1"/>
      <c r="R427" s="1"/>
      <c r="S427" s="1"/>
      <c r="T427" s="1"/>
    </row>
    <row r="428" spans="1:20" ht="33.75" hidden="1" customHeight="1">
      <c r="A428" s="1" t="s">
        <v>1367</v>
      </c>
      <c r="B428" s="1" t="s">
        <v>1196</v>
      </c>
      <c r="C428" s="4">
        <v>39853.938194444447</v>
      </c>
      <c r="D428" s="1" t="s">
        <v>320</v>
      </c>
      <c r="E428" s="1">
        <v>418</v>
      </c>
      <c r="F428" s="2" t="s">
        <v>1368</v>
      </c>
      <c r="G428" s="1">
        <f ca="1">IFERROR(__xludf.DUMMYFUNCTION("COUNTA(SPLIT(F428,"" ""))"),20)</f>
        <v>20</v>
      </c>
      <c r="H428" s="1">
        <v>20</v>
      </c>
      <c r="I428" s="1"/>
      <c r="J428" s="1"/>
      <c r="K428" s="1"/>
      <c r="L428" s="1"/>
      <c r="M428" s="1"/>
      <c r="N428" s="1"/>
      <c r="O428" s="1"/>
      <c r="P428" s="1"/>
      <c r="Q428" s="1"/>
      <c r="R428" s="1"/>
      <c r="S428" s="1"/>
      <c r="T428" s="1"/>
    </row>
    <row r="429" spans="1:20" ht="33.75" hidden="1" customHeight="1">
      <c r="A429" s="1" t="s">
        <v>1369</v>
      </c>
      <c r="B429" s="1" t="s">
        <v>1196</v>
      </c>
      <c r="C429" s="4">
        <v>39853.954861111109</v>
      </c>
      <c r="D429" s="1" t="s">
        <v>320</v>
      </c>
      <c r="E429" s="1" t="s">
        <v>1370</v>
      </c>
      <c r="F429" s="2" t="s">
        <v>1372</v>
      </c>
      <c r="G429" s="1">
        <f ca="1">IFERROR(__xludf.DUMMYFUNCTION("COUNTA(SPLIT(F429,"" ""))"),126)</f>
        <v>126</v>
      </c>
      <c r="H429" s="1">
        <v>126</v>
      </c>
      <c r="I429" s="1"/>
      <c r="J429" s="1"/>
      <c r="K429" s="1"/>
      <c r="L429" s="1"/>
      <c r="M429" s="1"/>
      <c r="N429" s="1"/>
      <c r="O429" s="1"/>
      <c r="P429" s="1"/>
      <c r="Q429" s="1"/>
      <c r="R429" s="1"/>
      <c r="S429" s="1"/>
      <c r="T429" s="1"/>
    </row>
    <row r="430" spans="1:20" ht="33.75" hidden="1" customHeight="1">
      <c r="A430" s="1" t="s">
        <v>1373</v>
      </c>
      <c r="B430" s="1" t="s">
        <v>1196</v>
      </c>
      <c r="C430" s="4">
        <v>39853.958333333336</v>
      </c>
      <c r="D430" s="1" t="s">
        <v>393</v>
      </c>
      <c r="E430" s="1" t="s">
        <v>1367</v>
      </c>
      <c r="F430" s="2" t="s">
        <v>1374</v>
      </c>
      <c r="G430" s="1">
        <f ca="1">IFERROR(__xludf.DUMMYFUNCTION("COUNTA(SPLIT(F430,"" ""))"),64)</f>
        <v>64</v>
      </c>
      <c r="H430" s="1">
        <v>64</v>
      </c>
      <c r="I430" s="1"/>
      <c r="J430" s="1"/>
      <c r="K430" s="1"/>
      <c r="L430" s="1"/>
      <c r="M430" s="1"/>
      <c r="N430" s="1"/>
      <c r="O430" s="1"/>
      <c r="P430" s="1"/>
      <c r="Q430" s="1"/>
      <c r="R430" s="1"/>
      <c r="S430" s="1"/>
      <c r="T430" s="1"/>
    </row>
    <row r="431" spans="1:20" ht="33.75" hidden="1" customHeight="1">
      <c r="A431" s="1" t="s">
        <v>1375</v>
      </c>
      <c r="B431" s="1" t="s">
        <v>1196</v>
      </c>
      <c r="C431" s="4">
        <v>39853.960416666669</v>
      </c>
      <c r="D431" s="1" t="s">
        <v>393</v>
      </c>
      <c r="E431" s="1" t="s">
        <v>1369</v>
      </c>
      <c r="F431" s="2" t="s">
        <v>1377</v>
      </c>
      <c r="G431" s="1">
        <f ca="1">IFERROR(__xludf.DUMMYFUNCTION("COUNTA(SPLIT(F431,"" ""))"),51)</f>
        <v>51</v>
      </c>
      <c r="H431" s="1">
        <v>51</v>
      </c>
      <c r="I431" s="1"/>
      <c r="J431" s="1"/>
      <c r="K431" s="1"/>
      <c r="L431" s="1"/>
      <c r="M431" s="1"/>
      <c r="N431" s="1"/>
      <c r="O431" s="1"/>
      <c r="P431" s="1"/>
      <c r="Q431" s="1"/>
      <c r="R431" s="1"/>
      <c r="S431" s="1"/>
      <c r="T431" s="1"/>
    </row>
    <row r="432" spans="1:20" ht="33.75" hidden="1" customHeight="1">
      <c r="A432" s="1" t="s">
        <v>1378</v>
      </c>
      <c r="B432" s="1" t="s">
        <v>1196</v>
      </c>
      <c r="C432" s="4">
        <v>39853.961111111108</v>
      </c>
      <c r="D432" s="1" t="s">
        <v>14</v>
      </c>
      <c r="E432" s="1" t="s">
        <v>1379</v>
      </c>
      <c r="F432" s="2" t="s">
        <v>1381</v>
      </c>
      <c r="G432" s="1">
        <f ca="1">IFERROR(__xludf.DUMMYFUNCTION("COUNTA(SPLIT(F432,"" ""))"),40)</f>
        <v>40</v>
      </c>
      <c r="H432" s="1">
        <v>40</v>
      </c>
      <c r="I432" s="1"/>
      <c r="J432" s="1"/>
      <c r="K432" s="1"/>
      <c r="L432" s="1"/>
      <c r="M432" s="1"/>
      <c r="N432" s="1"/>
      <c r="O432" s="1"/>
      <c r="P432" s="1"/>
      <c r="Q432" s="1"/>
      <c r="R432" s="1"/>
      <c r="S432" s="1"/>
      <c r="T432" s="1"/>
    </row>
    <row r="433" spans="1:20" ht="33.75" hidden="1" customHeight="1">
      <c r="A433" s="1" t="s">
        <v>1382</v>
      </c>
      <c r="B433" s="1" t="s">
        <v>1196</v>
      </c>
      <c r="C433" s="4">
        <v>39853.963888888888</v>
      </c>
      <c r="D433" s="1" t="s">
        <v>14</v>
      </c>
      <c r="E433" s="1" t="s">
        <v>1383</v>
      </c>
      <c r="F433" s="2" t="s">
        <v>1384</v>
      </c>
      <c r="G433" s="1">
        <f ca="1">IFERROR(__xludf.DUMMYFUNCTION("COUNTA(SPLIT(F433,"" ""))"),38)</f>
        <v>38</v>
      </c>
      <c r="H433" s="1">
        <v>38</v>
      </c>
      <c r="I433" s="1"/>
      <c r="J433" s="1"/>
      <c r="K433" s="1"/>
      <c r="L433" s="1"/>
      <c r="M433" s="1"/>
      <c r="N433" s="1"/>
      <c r="O433" s="1"/>
      <c r="P433" s="1"/>
      <c r="Q433" s="1"/>
      <c r="R433" s="1"/>
      <c r="S433" s="1"/>
      <c r="T433" s="1"/>
    </row>
    <row r="434" spans="1:20" ht="33.75" hidden="1" customHeight="1">
      <c r="A434" s="1" t="s">
        <v>1385</v>
      </c>
      <c r="B434" s="1" t="s">
        <v>1196</v>
      </c>
      <c r="C434" s="4">
        <v>39853.977083333331</v>
      </c>
      <c r="D434" s="1" t="s">
        <v>393</v>
      </c>
      <c r="E434" s="1" t="s">
        <v>1386</v>
      </c>
      <c r="F434" s="2" t="s">
        <v>1387</v>
      </c>
      <c r="G434" s="1">
        <f ca="1">IFERROR(__xludf.DUMMYFUNCTION("COUNTA(SPLIT(F434,"" ""))"),150)</f>
        <v>150</v>
      </c>
      <c r="H434" s="1">
        <v>150</v>
      </c>
      <c r="I434" s="1"/>
      <c r="J434" s="1"/>
      <c r="K434" s="1"/>
      <c r="L434" s="1"/>
      <c r="M434" s="1"/>
      <c r="N434" s="1"/>
      <c r="O434" s="1"/>
      <c r="P434" s="1"/>
      <c r="Q434" s="1"/>
      <c r="R434" s="1"/>
      <c r="S434" s="1"/>
      <c r="T434" s="1"/>
    </row>
    <row r="435" spans="1:20" ht="33.75" customHeight="1">
      <c r="A435" s="1" t="s">
        <v>1388</v>
      </c>
      <c r="B435" s="1" t="s">
        <v>1196</v>
      </c>
      <c r="C435" s="4">
        <v>39853.979861111111</v>
      </c>
      <c r="D435" s="1" t="s">
        <v>54</v>
      </c>
      <c r="E435" s="1"/>
      <c r="F435" s="2" t="s">
        <v>1391</v>
      </c>
      <c r="G435" s="1">
        <f ca="1">IFERROR(__xludf.DUMMYFUNCTION("COUNTA(SPLIT(F435,"" ""))"),221)</f>
        <v>221</v>
      </c>
      <c r="H435" s="1">
        <v>221</v>
      </c>
      <c r="I435" s="1"/>
      <c r="J435" s="1"/>
      <c r="K435" s="1"/>
      <c r="L435" s="1"/>
      <c r="M435" s="1"/>
      <c r="N435" s="1"/>
      <c r="O435" s="1"/>
      <c r="P435" s="1"/>
      <c r="Q435" s="1"/>
      <c r="R435" s="1"/>
      <c r="S435" s="1"/>
      <c r="T435" s="1"/>
    </row>
    <row r="436" spans="1:20" ht="33.75" hidden="1" customHeight="1">
      <c r="A436" s="1" t="s">
        <v>1392</v>
      </c>
      <c r="B436" s="1" t="s">
        <v>1196</v>
      </c>
      <c r="C436" s="4">
        <v>39853.990972222222</v>
      </c>
      <c r="D436" s="1" t="s">
        <v>14</v>
      </c>
      <c r="E436" s="1" t="s">
        <v>1373</v>
      </c>
      <c r="F436" s="2" t="s">
        <v>1393</v>
      </c>
      <c r="G436" s="1">
        <f ca="1">IFERROR(__xludf.DUMMYFUNCTION("COUNTA(SPLIT(F436,"" ""))"),99)</f>
        <v>99</v>
      </c>
      <c r="H436" s="1">
        <v>99</v>
      </c>
      <c r="I436" s="1"/>
      <c r="J436" s="1"/>
      <c r="K436" s="1"/>
      <c r="L436" s="1"/>
      <c r="M436" s="1"/>
      <c r="N436" s="1"/>
      <c r="O436" s="1"/>
      <c r="P436" s="1"/>
      <c r="Q436" s="1"/>
      <c r="R436" s="1"/>
      <c r="S436" s="1"/>
      <c r="T436" s="1"/>
    </row>
    <row r="437" spans="1:20" ht="33.75" hidden="1" customHeight="1">
      <c r="A437" s="1" t="s">
        <v>1394</v>
      </c>
      <c r="B437" s="1" t="s">
        <v>1196</v>
      </c>
      <c r="C437" s="4">
        <v>39853.994444444441</v>
      </c>
      <c r="D437" s="1" t="s">
        <v>54</v>
      </c>
      <c r="E437" s="1">
        <v>411</v>
      </c>
      <c r="F437" s="2" t="s">
        <v>1395</v>
      </c>
      <c r="G437" s="1">
        <f ca="1">IFERROR(__xludf.DUMMYFUNCTION("COUNTA(SPLIT(F437,"" ""))"),167)</f>
        <v>167</v>
      </c>
      <c r="H437" s="1">
        <v>167</v>
      </c>
      <c r="I437" s="1"/>
      <c r="J437" s="1"/>
      <c r="K437" s="1"/>
      <c r="L437" s="1"/>
      <c r="M437" s="1"/>
      <c r="N437" s="1"/>
      <c r="O437" s="1"/>
      <c r="P437" s="1"/>
      <c r="Q437" s="1"/>
      <c r="R437" s="1"/>
      <c r="S437" s="1"/>
      <c r="T437" s="1"/>
    </row>
    <row r="438" spans="1:20" ht="33.75" customHeight="1">
      <c r="A438" s="1" t="s">
        <v>1396</v>
      </c>
      <c r="B438" s="1" t="s">
        <v>1196</v>
      </c>
      <c r="C438" s="4">
        <v>39853.995138888888</v>
      </c>
      <c r="D438" s="1" t="s">
        <v>393</v>
      </c>
      <c r="E438" s="1"/>
      <c r="F438" s="2" t="s">
        <v>1398</v>
      </c>
      <c r="G438" s="1">
        <f ca="1">IFERROR(__xludf.DUMMYFUNCTION("COUNTA(SPLIT(F438,"" ""))"),21)</f>
        <v>21</v>
      </c>
      <c r="H438" s="1">
        <v>21</v>
      </c>
      <c r="I438" s="1"/>
      <c r="J438" s="1"/>
      <c r="K438" s="1"/>
      <c r="L438" s="1"/>
      <c r="M438" s="1"/>
      <c r="N438" s="1"/>
      <c r="O438" s="1"/>
      <c r="P438" s="1"/>
      <c r="Q438" s="1"/>
      <c r="R438" s="1"/>
      <c r="S438" s="1"/>
      <c r="T438" s="1"/>
    </row>
    <row r="439" spans="1:20" ht="33.75" hidden="1" customHeight="1">
      <c r="A439" s="1" t="s">
        <v>1399</v>
      </c>
      <c r="B439" s="1" t="s">
        <v>1196</v>
      </c>
      <c r="C439" s="4">
        <v>39853.99722222222</v>
      </c>
      <c r="D439" s="1" t="s">
        <v>54</v>
      </c>
      <c r="E439" s="1">
        <v>431</v>
      </c>
      <c r="F439" s="2" t="s">
        <v>1400</v>
      </c>
      <c r="G439" s="1">
        <f ca="1">IFERROR(__xludf.DUMMYFUNCTION("COUNTA(SPLIT(F439,"" ""))"),149)</f>
        <v>149</v>
      </c>
      <c r="H439" s="1">
        <v>149</v>
      </c>
      <c r="I439" s="1"/>
      <c r="J439" s="1"/>
      <c r="K439" s="1"/>
      <c r="L439" s="1"/>
      <c r="M439" s="1"/>
      <c r="N439" s="1"/>
      <c r="O439" s="1"/>
      <c r="P439" s="1"/>
      <c r="Q439" s="1"/>
      <c r="R439" s="1"/>
      <c r="S439" s="1"/>
      <c r="T439" s="1"/>
    </row>
    <row r="440" spans="1:20" ht="33.75" hidden="1" customHeight="1">
      <c r="A440" s="1" t="s">
        <v>1401</v>
      </c>
      <c r="B440" s="1" t="s">
        <v>1196</v>
      </c>
      <c r="C440" s="4">
        <v>39854.010416666664</v>
      </c>
      <c r="D440" s="1" t="s">
        <v>393</v>
      </c>
      <c r="E440" s="1">
        <v>132</v>
      </c>
      <c r="F440" s="2" t="s">
        <v>1402</v>
      </c>
      <c r="G440" s="1">
        <f ca="1">IFERROR(__xludf.DUMMYFUNCTION("COUNTA(SPLIT(F440,"" ""))"),60)</f>
        <v>60</v>
      </c>
      <c r="H440" s="1">
        <v>60</v>
      </c>
      <c r="I440" s="1"/>
      <c r="J440" s="1"/>
      <c r="K440" s="1"/>
      <c r="L440" s="1"/>
      <c r="M440" s="1"/>
      <c r="N440" s="1"/>
      <c r="O440" s="1"/>
      <c r="P440" s="1"/>
      <c r="Q440" s="1"/>
      <c r="R440" s="1"/>
      <c r="S440" s="1"/>
      <c r="T440" s="1"/>
    </row>
    <row r="441" spans="1:20" ht="33.75" hidden="1" customHeight="1">
      <c r="A441" s="1" t="s">
        <v>1403</v>
      </c>
      <c r="B441" s="1" t="s">
        <v>1196</v>
      </c>
      <c r="C441" s="4">
        <v>39854.020138888889</v>
      </c>
      <c r="D441" s="1" t="s">
        <v>320</v>
      </c>
      <c r="E441" s="9">
        <v>426427430</v>
      </c>
      <c r="F441" s="2" t="s">
        <v>1404</v>
      </c>
      <c r="G441" s="1">
        <f ca="1">IFERROR(__xludf.DUMMYFUNCTION("COUNTA(SPLIT(F441,"" ""))"),29)</f>
        <v>29</v>
      </c>
      <c r="H441" s="1">
        <v>29</v>
      </c>
      <c r="I441" s="1"/>
      <c r="J441" s="1"/>
      <c r="K441" s="1"/>
      <c r="L441" s="1"/>
      <c r="M441" s="1"/>
      <c r="N441" s="1"/>
      <c r="O441" s="1"/>
      <c r="P441" s="1"/>
      <c r="Q441" s="1"/>
      <c r="R441" s="1"/>
      <c r="S441" s="1"/>
      <c r="T441" s="1"/>
    </row>
    <row r="442" spans="1:20" ht="33.75" hidden="1" customHeight="1">
      <c r="A442" s="1" t="s">
        <v>1405</v>
      </c>
      <c r="B442" s="1" t="s">
        <v>1196</v>
      </c>
      <c r="C442" s="4">
        <v>39854.146527777775</v>
      </c>
      <c r="D442" s="1" t="s">
        <v>54</v>
      </c>
      <c r="E442" s="1" t="s">
        <v>1406</v>
      </c>
      <c r="F442" s="2" t="s">
        <v>1407</v>
      </c>
      <c r="G442" s="1">
        <f ca="1">IFERROR(__xludf.DUMMYFUNCTION("COUNTA(SPLIT(F442,"" ""))"),83)</f>
        <v>83</v>
      </c>
      <c r="H442" s="1">
        <v>83</v>
      </c>
      <c r="I442" s="1"/>
      <c r="J442" s="1"/>
      <c r="K442" s="1"/>
      <c r="L442" s="1"/>
      <c r="M442" s="1"/>
      <c r="N442" s="1"/>
      <c r="O442" s="1"/>
      <c r="P442" s="1"/>
      <c r="Q442" s="1"/>
      <c r="R442" s="1"/>
      <c r="S442" s="1"/>
      <c r="T442" s="1"/>
    </row>
    <row r="443" spans="1:20" ht="33.75" customHeight="1">
      <c r="A443" s="1" t="s">
        <v>1408</v>
      </c>
      <c r="B443" s="1" t="s">
        <v>1196</v>
      </c>
      <c r="C443" s="4">
        <v>39854.150694444441</v>
      </c>
      <c r="D443" s="1" t="s">
        <v>54</v>
      </c>
      <c r="E443" s="1"/>
      <c r="F443" s="2" t="s">
        <v>1409</v>
      </c>
      <c r="G443" s="1">
        <f ca="1">IFERROR(__xludf.DUMMYFUNCTION("COUNTA(SPLIT(F443,"" ""))"),255)</f>
        <v>255</v>
      </c>
      <c r="H443" s="1">
        <v>255</v>
      </c>
      <c r="I443" s="1"/>
      <c r="J443" s="1"/>
      <c r="K443" s="1"/>
      <c r="L443" s="1"/>
      <c r="M443" s="1"/>
      <c r="N443" s="1"/>
      <c r="O443" s="1"/>
      <c r="P443" s="1"/>
      <c r="Q443" s="1"/>
      <c r="R443" s="1"/>
      <c r="S443" s="1"/>
      <c r="T443" s="1"/>
    </row>
    <row r="444" spans="1:20" ht="33.75" customHeight="1">
      <c r="A444" s="1" t="s">
        <v>1410</v>
      </c>
      <c r="B444" s="1" t="s">
        <v>846</v>
      </c>
      <c r="C444" s="4">
        <v>39854.163888888892</v>
      </c>
      <c r="D444" s="1" t="s">
        <v>416</v>
      </c>
      <c r="E444" s="1"/>
      <c r="F444" s="2" t="s">
        <v>1411</v>
      </c>
      <c r="G444" s="1">
        <f ca="1">IFERROR(__xludf.DUMMYFUNCTION("COUNTA(SPLIT(F444,"" ""))"),171)</f>
        <v>171</v>
      </c>
      <c r="H444" s="1">
        <v>171</v>
      </c>
      <c r="I444" s="1"/>
      <c r="J444" s="1"/>
      <c r="K444" s="1"/>
      <c r="L444" s="1"/>
      <c r="M444" s="1"/>
      <c r="N444" s="1"/>
      <c r="O444" s="1"/>
      <c r="P444" s="1"/>
      <c r="Q444" s="1"/>
      <c r="R444" s="1"/>
      <c r="S444" s="1"/>
      <c r="T444" s="1"/>
    </row>
    <row r="445" spans="1:20" ht="33.75" customHeight="1">
      <c r="A445" s="1" t="s">
        <v>1412</v>
      </c>
      <c r="B445" s="1" t="s">
        <v>1196</v>
      </c>
      <c r="C445" s="4">
        <v>39854.316666666666</v>
      </c>
      <c r="D445" s="1" t="s">
        <v>255</v>
      </c>
      <c r="E445" s="1"/>
      <c r="F445" s="2" t="s">
        <v>1413</v>
      </c>
      <c r="G445" s="1">
        <f ca="1">IFERROR(__xludf.DUMMYFUNCTION("COUNTA(SPLIT(F445,"" ""))"),247)</f>
        <v>247</v>
      </c>
      <c r="H445" s="1">
        <v>247</v>
      </c>
      <c r="I445" s="1"/>
      <c r="J445" s="1"/>
      <c r="K445" s="1"/>
      <c r="L445" s="1"/>
      <c r="M445" s="1"/>
      <c r="N445" s="1"/>
      <c r="O445" s="1"/>
      <c r="P445" s="1"/>
      <c r="Q445" s="1"/>
      <c r="R445" s="1"/>
      <c r="S445" s="1"/>
      <c r="T445" s="1"/>
    </row>
    <row r="446" spans="1:20" ht="33.75" hidden="1" customHeight="1">
      <c r="A446" s="1" t="s">
        <v>1414</v>
      </c>
      <c r="B446" s="1" t="s">
        <v>1196</v>
      </c>
      <c r="C446" s="4">
        <v>39854.382638888892</v>
      </c>
      <c r="D446" s="1" t="s">
        <v>14</v>
      </c>
      <c r="E446" s="9">
        <v>431433</v>
      </c>
      <c r="F446" s="2" t="s">
        <v>1415</v>
      </c>
      <c r="G446" s="1">
        <f ca="1">IFERROR(__xludf.DUMMYFUNCTION("COUNTA(SPLIT(F446,"" ""))"),662)</f>
        <v>662</v>
      </c>
      <c r="H446" s="1">
        <v>662</v>
      </c>
      <c r="I446" s="1"/>
      <c r="J446" s="1"/>
      <c r="K446" s="1"/>
      <c r="L446" s="1"/>
      <c r="M446" s="1"/>
      <c r="N446" s="1"/>
      <c r="O446" s="1"/>
      <c r="P446" s="1"/>
      <c r="Q446" s="1"/>
      <c r="R446" s="1"/>
      <c r="S446" s="1"/>
      <c r="T446" s="1"/>
    </row>
    <row r="447" spans="1:20" ht="33.75" hidden="1" customHeight="1">
      <c r="A447" s="1" t="s">
        <v>1416</v>
      </c>
      <c r="B447" s="1" t="s">
        <v>1196</v>
      </c>
      <c r="C447" s="4">
        <v>39854.386805555558</v>
      </c>
      <c r="D447" s="1" t="s">
        <v>54</v>
      </c>
      <c r="E447" s="1">
        <v>413</v>
      </c>
      <c r="F447" s="2" t="s">
        <v>1418</v>
      </c>
      <c r="G447" s="1">
        <f ca="1">IFERROR(__xludf.DUMMYFUNCTION("COUNTA(SPLIT(F447,"" ""))"),633)</f>
        <v>633</v>
      </c>
      <c r="H447" s="1">
        <v>633</v>
      </c>
      <c r="I447" s="1"/>
      <c r="J447" s="1"/>
      <c r="K447" s="1"/>
      <c r="L447" s="1"/>
      <c r="M447" s="1"/>
      <c r="N447" s="1"/>
      <c r="O447" s="1"/>
      <c r="P447" s="1"/>
      <c r="Q447" s="1"/>
      <c r="R447" s="1"/>
      <c r="S447" s="1"/>
      <c r="T447" s="1"/>
    </row>
    <row r="448" spans="1:20" ht="33.75" hidden="1" customHeight="1">
      <c r="A448" s="1" t="s">
        <v>1419</v>
      </c>
      <c r="B448" s="1" t="s">
        <v>846</v>
      </c>
      <c r="C448" s="4">
        <v>39854.42083333333</v>
      </c>
      <c r="D448" s="1" t="s">
        <v>1089</v>
      </c>
      <c r="E448" s="1" t="s">
        <v>1420</v>
      </c>
      <c r="F448" s="2" t="s">
        <v>1421</v>
      </c>
      <c r="G448" s="1">
        <f ca="1">IFERROR(__xludf.DUMMYFUNCTION("COUNTA(SPLIT(F448,"" ""))"),197)</f>
        <v>197</v>
      </c>
      <c r="H448" s="1">
        <v>197</v>
      </c>
      <c r="I448" s="1"/>
      <c r="J448" s="1"/>
      <c r="K448" s="1"/>
      <c r="L448" s="1"/>
      <c r="M448" s="1"/>
      <c r="N448" s="1"/>
      <c r="O448" s="1"/>
      <c r="P448" s="1"/>
      <c r="Q448" s="1"/>
      <c r="R448" s="1"/>
      <c r="S448" s="1"/>
      <c r="T448" s="1"/>
    </row>
    <row r="449" spans="1:20" ht="33.75" hidden="1" customHeight="1">
      <c r="A449" s="1" t="s">
        <v>1422</v>
      </c>
      <c r="B449" s="1" t="s">
        <v>846</v>
      </c>
      <c r="C449" s="4">
        <v>39854.48541666667</v>
      </c>
      <c r="D449" s="1" t="s">
        <v>54</v>
      </c>
      <c r="E449" s="1" t="s">
        <v>1419</v>
      </c>
      <c r="F449" s="2" t="s">
        <v>1424</v>
      </c>
      <c r="G449" s="1">
        <f ca="1">IFERROR(__xludf.DUMMYFUNCTION("COUNTA(SPLIT(F449,"" ""))"),20)</f>
        <v>20</v>
      </c>
      <c r="H449" s="1">
        <v>20</v>
      </c>
      <c r="I449" s="1"/>
      <c r="J449" s="1"/>
      <c r="K449" s="1"/>
      <c r="L449" s="1"/>
      <c r="M449" s="1"/>
      <c r="N449" s="1"/>
      <c r="O449" s="1"/>
      <c r="P449" s="1"/>
      <c r="Q449" s="1"/>
      <c r="R449" s="1"/>
      <c r="S449" s="1"/>
      <c r="T449" s="1"/>
    </row>
    <row r="450" spans="1:20" ht="33.75" hidden="1" customHeight="1">
      <c r="A450" s="1" t="s">
        <v>1425</v>
      </c>
      <c r="B450" s="1" t="s">
        <v>1196</v>
      </c>
      <c r="C450" s="4">
        <v>39854.501388888886</v>
      </c>
      <c r="D450" s="1" t="s">
        <v>1426</v>
      </c>
      <c r="E450" s="1" t="s">
        <v>1416</v>
      </c>
      <c r="F450" s="2" t="s">
        <v>1427</v>
      </c>
      <c r="G450" s="1">
        <f ca="1">IFERROR(__xludf.DUMMYFUNCTION("COUNTA(SPLIT(F450,"" ""))"),79)</f>
        <v>79</v>
      </c>
      <c r="H450" s="1">
        <v>79</v>
      </c>
      <c r="I450" s="1"/>
      <c r="J450" s="1"/>
      <c r="K450" s="1"/>
      <c r="L450" s="1"/>
      <c r="M450" s="1"/>
      <c r="N450" s="1"/>
      <c r="O450" s="1"/>
      <c r="P450" s="1"/>
      <c r="Q450" s="1"/>
      <c r="R450" s="1"/>
      <c r="S450" s="1"/>
      <c r="T450" s="1"/>
    </row>
    <row r="451" spans="1:20" ht="33.75" customHeight="1">
      <c r="A451" s="1" t="s">
        <v>1428</v>
      </c>
      <c r="B451" s="3" t="s">
        <v>13</v>
      </c>
      <c r="C451" s="4">
        <v>39854.531944444447</v>
      </c>
      <c r="D451" s="1" t="s">
        <v>1429</v>
      </c>
      <c r="E451" s="1"/>
      <c r="F451" s="2" t="s">
        <v>1430</v>
      </c>
      <c r="G451" s="1">
        <f ca="1">IFERROR(__xludf.DUMMYFUNCTION("COUNTA(SPLIT(F451,"" ""))"),176)</f>
        <v>176</v>
      </c>
      <c r="H451" s="1">
        <v>176</v>
      </c>
      <c r="I451" s="1"/>
      <c r="J451" s="1"/>
      <c r="K451" s="1"/>
      <c r="L451" s="1"/>
      <c r="M451" s="1"/>
      <c r="N451" s="1"/>
      <c r="O451" s="1"/>
      <c r="P451" s="1"/>
      <c r="Q451" s="1"/>
      <c r="R451" s="1"/>
      <c r="S451" s="1"/>
      <c r="T451" s="1"/>
    </row>
    <row r="452" spans="1:20" ht="33.75" hidden="1" customHeight="1">
      <c r="A452" s="1" t="s">
        <v>1431</v>
      </c>
      <c r="B452" s="1" t="s">
        <v>1196</v>
      </c>
      <c r="C452" s="4">
        <v>39854.588888888888</v>
      </c>
      <c r="D452" s="1" t="s">
        <v>14</v>
      </c>
      <c r="E452" s="1" t="s">
        <v>1432</v>
      </c>
      <c r="F452" s="2" t="s">
        <v>1433</v>
      </c>
      <c r="G452" s="1">
        <f ca="1">IFERROR(__xludf.DUMMYFUNCTION("COUNTA(SPLIT(F452,"" ""))"),425)</f>
        <v>425</v>
      </c>
      <c r="H452" s="1">
        <v>425</v>
      </c>
      <c r="I452" s="1"/>
      <c r="J452" s="1"/>
      <c r="K452" s="1"/>
      <c r="L452" s="1"/>
      <c r="M452" s="1"/>
      <c r="N452" s="1"/>
      <c r="O452" s="1"/>
      <c r="P452" s="1"/>
      <c r="Q452" s="1"/>
      <c r="R452" s="1"/>
      <c r="S452" s="1"/>
      <c r="T452" s="1"/>
    </row>
    <row r="453" spans="1:20" ht="33.75" customHeight="1">
      <c r="A453" s="1" t="s">
        <v>1434</v>
      </c>
      <c r="B453" s="3" t="s">
        <v>13</v>
      </c>
      <c r="C453" s="4">
        <v>39854.794444444444</v>
      </c>
      <c r="D453" s="1" t="s">
        <v>1435</v>
      </c>
      <c r="E453" s="1"/>
      <c r="F453" s="2" t="s">
        <v>1437</v>
      </c>
      <c r="G453" s="1">
        <f ca="1">IFERROR(__xludf.DUMMYFUNCTION("COUNTA(SPLIT(F453,"" ""))"),109)</f>
        <v>109</v>
      </c>
      <c r="H453" s="1">
        <v>109</v>
      </c>
      <c r="I453" s="1"/>
      <c r="J453" s="1"/>
      <c r="K453" s="1"/>
      <c r="L453" s="1"/>
      <c r="M453" s="1"/>
      <c r="N453" s="1"/>
      <c r="O453" s="1"/>
      <c r="P453" s="1"/>
      <c r="Q453" s="1"/>
      <c r="R453" s="1"/>
      <c r="S453" s="1"/>
      <c r="T453" s="1"/>
    </row>
    <row r="454" spans="1:20" ht="33.75" customHeight="1">
      <c r="A454" s="1" t="s">
        <v>1438</v>
      </c>
      <c r="B454" s="1" t="s">
        <v>1196</v>
      </c>
      <c r="C454" s="4">
        <v>39854.84097222222</v>
      </c>
      <c r="D454" s="1" t="s">
        <v>14</v>
      </c>
      <c r="E454" s="1"/>
      <c r="F454" s="2" t="s">
        <v>1439</v>
      </c>
      <c r="G454" s="1">
        <f ca="1">IFERROR(__xludf.DUMMYFUNCTION("COUNTA(SPLIT(F454,"" ""))"),259)</f>
        <v>259</v>
      </c>
      <c r="H454" s="1">
        <v>259</v>
      </c>
      <c r="I454" s="1"/>
      <c r="J454" s="1"/>
      <c r="K454" s="1"/>
      <c r="L454" s="1"/>
      <c r="M454" s="1"/>
      <c r="N454" s="1"/>
      <c r="O454" s="1"/>
      <c r="P454" s="1"/>
      <c r="Q454" s="1"/>
      <c r="R454" s="1"/>
      <c r="S454" s="1"/>
      <c r="T454" s="1"/>
    </row>
    <row r="455" spans="1:20" ht="33.75" hidden="1" customHeight="1">
      <c r="A455" s="1" t="s">
        <v>1440</v>
      </c>
      <c r="B455" s="1" t="s">
        <v>1196</v>
      </c>
      <c r="C455" s="4">
        <v>39854.85</v>
      </c>
      <c r="D455" s="1" t="s">
        <v>54</v>
      </c>
      <c r="E455" s="1" t="s">
        <v>1425</v>
      </c>
      <c r="F455" s="2" t="s">
        <v>1441</v>
      </c>
      <c r="G455" s="1">
        <f ca="1">IFERROR(__xludf.DUMMYFUNCTION("COUNTA(SPLIT(F455,"" ""))"),454)</f>
        <v>454</v>
      </c>
      <c r="H455" s="1">
        <v>454</v>
      </c>
      <c r="I455" s="1"/>
      <c r="J455" s="1"/>
      <c r="K455" s="1"/>
      <c r="L455" s="1"/>
      <c r="M455" s="1"/>
      <c r="N455" s="1"/>
      <c r="O455" s="1"/>
      <c r="P455" s="1"/>
      <c r="Q455" s="1"/>
      <c r="R455" s="1"/>
      <c r="S455" s="1"/>
      <c r="T455" s="1"/>
    </row>
    <row r="456" spans="1:20" ht="33.75" customHeight="1">
      <c r="A456" s="1" t="s">
        <v>1442</v>
      </c>
      <c r="B456" s="1" t="s">
        <v>1196</v>
      </c>
      <c r="C456" s="4">
        <v>39854.888194444444</v>
      </c>
      <c r="D456" s="1" t="s">
        <v>14</v>
      </c>
      <c r="E456" s="1"/>
      <c r="F456" s="2" t="s">
        <v>1444</v>
      </c>
      <c r="G456" s="1">
        <f ca="1">IFERROR(__xludf.DUMMYFUNCTION("COUNTA(SPLIT(F456,"" ""))"),434)</f>
        <v>434</v>
      </c>
      <c r="H456" s="1">
        <v>434</v>
      </c>
      <c r="I456" s="1"/>
      <c r="J456" s="1"/>
      <c r="K456" s="1"/>
      <c r="L456" s="1"/>
      <c r="M456" s="1"/>
      <c r="N456" s="1"/>
      <c r="O456" s="1"/>
      <c r="P456" s="1"/>
      <c r="Q456" s="1"/>
      <c r="R456" s="1"/>
      <c r="S456" s="1"/>
      <c r="T456" s="1"/>
    </row>
    <row r="457" spans="1:20" ht="33.75" customHeight="1">
      <c r="A457" s="1" t="s">
        <v>1445</v>
      </c>
      <c r="B457" s="1" t="s">
        <v>846</v>
      </c>
      <c r="C457" s="4">
        <v>39854.911805555559</v>
      </c>
      <c r="D457" s="1" t="s">
        <v>1089</v>
      </c>
      <c r="E457" s="1"/>
      <c r="F457" s="2" t="s">
        <v>1446</v>
      </c>
      <c r="G457" s="1">
        <f ca="1">IFERROR(__xludf.DUMMYFUNCTION("COUNTA(SPLIT(F457,"" ""))"),196)</f>
        <v>196</v>
      </c>
      <c r="H457" s="1">
        <v>196</v>
      </c>
      <c r="I457" s="1"/>
      <c r="J457" s="1"/>
      <c r="K457" s="1"/>
      <c r="L457" s="1"/>
      <c r="M457" s="1"/>
      <c r="N457" s="1"/>
      <c r="O457" s="1"/>
      <c r="P457" s="1"/>
      <c r="Q457" s="1"/>
      <c r="R457" s="1"/>
      <c r="S457" s="1"/>
      <c r="T457" s="1"/>
    </row>
    <row r="458" spans="1:20" ht="33.75" hidden="1" customHeight="1">
      <c r="A458" s="1" t="s">
        <v>1447</v>
      </c>
      <c r="B458" s="1" t="s">
        <v>846</v>
      </c>
      <c r="C458" s="4">
        <v>39854.92291666667</v>
      </c>
      <c r="D458" s="1" t="s">
        <v>1089</v>
      </c>
      <c r="E458" s="1" t="s">
        <v>1448</v>
      </c>
      <c r="F458" s="2" t="s">
        <v>1449</v>
      </c>
      <c r="G458" s="1">
        <f ca="1">IFERROR(__xludf.DUMMYFUNCTION("COUNTA(SPLIT(F458,"" ""))"),45)</f>
        <v>45</v>
      </c>
      <c r="H458" s="1">
        <v>45</v>
      </c>
      <c r="I458" s="1"/>
      <c r="J458" s="1"/>
      <c r="K458" s="1"/>
      <c r="L458" s="1"/>
      <c r="M458" s="1"/>
      <c r="N458" s="1"/>
      <c r="O458" s="1"/>
      <c r="P458" s="1"/>
      <c r="Q458" s="1"/>
      <c r="R458" s="1"/>
      <c r="S458" s="1"/>
      <c r="T458" s="1"/>
    </row>
    <row r="459" spans="1:20" ht="33.75" hidden="1" customHeight="1">
      <c r="A459" s="1" t="s">
        <v>1450</v>
      </c>
      <c r="B459" s="1" t="s">
        <v>1196</v>
      </c>
      <c r="C459" s="4">
        <v>39855.015277777777</v>
      </c>
      <c r="D459" s="1" t="s">
        <v>196</v>
      </c>
      <c r="E459" s="1" t="s">
        <v>1442</v>
      </c>
      <c r="F459" s="2" t="s">
        <v>1451</v>
      </c>
      <c r="G459" s="1">
        <f ca="1">IFERROR(__xludf.DUMMYFUNCTION("COUNTA(SPLIT(F459,"" ""))"),36)</f>
        <v>36</v>
      </c>
      <c r="H459" s="1">
        <v>36</v>
      </c>
      <c r="I459" s="1"/>
      <c r="J459" s="1"/>
      <c r="K459" s="1"/>
      <c r="L459" s="1"/>
      <c r="M459" s="1"/>
      <c r="N459" s="1"/>
      <c r="O459" s="1"/>
      <c r="P459" s="1"/>
      <c r="Q459" s="1"/>
      <c r="R459" s="1"/>
      <c r="S459" s="1"/>
      <c r="T459" s="1"/>
    </row>
    <row r="460" spans="1:20" ht="33.75" hidden="1" customHeight="1">
      <c r="A460" s="1" t="s">
        <v>1452</v>
      </c>
      <c r="B460" s="1" t="s">
        <v>1196</v>
      </c>
      <c r="C460" s="4">
        <v>39855.015277777777</v>
      </c>
      <c r="D460" s="1" t="s">
        <v>54</v>
      </c>
      <c r="E460" s="1" t="s">
        <v>1453</v>
      </c>
      <c r="F460" s="2" t="s">
        <v>1454</v>
      </c>
      <c r="G460" s="1">
        <f ca="1">IFERROR(__xludf.DUMMYFUNCTION("COUNTA(SPLIT(F460,"" ""))"),127)</f>
        <v>127</v>
      </c>
      <c r="H460" s="1">
        <v>127</v>
      </c>
      <c r="I460" s="1"/>
      <c r="J460" s="1"/>
      <c r="K460" s="1"/>
      <c r="L460" s="1"/>
      <c r="M460" s="1"/>
      <c r="N460" s="1"/>
      <c r="O460" s="1"/>
      <c r="P460" s="1"/>
      <c r="Q460" s="1"/>
      <c r="R460" s="1"/>
      <c r="S460" s="1"/>
      <c r="T460" s="1"/>
    </row>
    <row r="461" spans="1:20" ht="33.75" hidden="1" customHeight="1">
      <c r="A461" s="1" t="s">
        <v>1455</v>
      </c>
      <c r="B461" s="1" t="s">
        <v>1196</v>
      </c>
      <c r="C461" s="4">
        <v>39855.020833333336</v>
      </c>
      <c r="D461" s="1" t="s">
        <v>14</v>
      </c>
      <c r="E461" s="1">
        <v>418</v>
      </c>
      <c r="F461" s="2" t="s">
        <v>1456</v>
      </c>
      <c r="G461" s="1">
        <f ca="1">IFERROR(__xludf.DUMMYFUNCTION("COUNTA(SPLIT(F461,"" ""))"),528)</f>
        <v>528</v>
      </c>
      <c r="H461" s="1">
        <v>528</v>
      </c>
      <c r="I461" s="1"/>
      <c r="J461" s="1"/>
      <c r="K461" s="1"/>
      <c r="L461" s="1"/>
      <c r="M461" s="1"/>
      <c r="N461" s="1"/>
      <c r="O461" s="1"/>
      <c r="P461" s="1"/>
      <c r="Q461" s="1"/>
      <c r="R461" s="1"/>
      <c r="S461" s="1"/>
      <c r="T461" s="1"/>
    </row>
    <row r="462" spans="1:20" ht="33.75" hidden="1" customHeight="1">
      <c r="A462" s="1" t="s">
        <v>1457</v>
      </c>
      <c r="B462" s="1" t="s">
        <v>1196</v>
      </c>
      <c r="C462" s="4">
        <v>39855.030555555553</v>
      </c>
      <c r="D462" s="1" t="s">
        <v>14</v>
      </c>
      <c r="E462" s="1" t="s">
        <v>1458</v>
      </c>
      <c r="F462" s="2" t="s">
        <v>1459</v>
      </c>
      <c r="G462" s="1">
        <f ca="1">IFERROR(__xludf.DUMMYFUNCTION("COUNTA(SPLIT(F462,"" ""))"),332)</f>
        <v>332</v>
      </c>
      <c r="H462" s="1">
        <v>332</v>
      </c>
      <c r="I462" s="1"/>
      <c r="J462" s="1"/>
      <c r="K462" s="1"/>
      <c r="L462" s="1"/>
      <c r="M462" s="1"/>
      <c r="N462" s="1"/>
      <c r="O462" s="1"/>
      <c r="P462" s="1"/>
      <c r="Q462" s="1"/>
      <c r="R462" s="1"/>
      <c r="S462" s="1"/>
      <c r="T462" s="1"/>
    </row>
    <row r="463" spans="1:20" ht="33.75" hidden="1" customHeight="1">
      <c r="A463" s="1" t="s">
        <v>1460</v>
      </c>
      <c r="B463" s="1" t="s">
        <v>1196</v>
      </c>
      <c r="C463" s="4">
        <v>39855.184027777781</v>
      </c>
      <c r="D463" s="1" t="s">
        <v>54</v>
      </c>
      <c r="E463" s="1" t="s">
        <v>1461</v>
      </c>
      <c r="F463" s="2" t="s">
        <v>1462</v>
      </c>
      <c r="G463" s="1">
        <f ca="1">IFERROR(__xludf.DUMMYFUNCTION("COUNTA(SPLIT(F463,"" ""))"),196)</f>
        <v>196</v>
      </c>
      <c r="H463" s="1">
        <v>196</v>
      </c>
      <c r="I463" s="1"/>
      <c r="J463" s="1"/>
      <c r="K463" s="1"/>
      <c r="L463" s="1"/>
      <c r="M463" s="1"/>
      <c r="N463" s="1"/>
      <c r="O463" s="1"/>
      <c r="P463" s="1"/>
      <c r="Q463" s="1"/>
      <c r="R463" s="1"/>
      <c r="S463" s="1"/>
      <c r="T463" s="1"/>
    </row>
    <row r="464" spans="1:20" ht="33.75" hidden="1" customHeight="1">
      <c r="A464" s="1" t="s">
        <v>1463</v>
      </c>
      <c r="B464" s="1" t="s">
        <v>1196</v>
      </c>
      <c r="C464" s="4">
        <v>39855.213888888888</v>
      </c>
      <c r="D464" s="1" t="s">
        <v>54</v>
      </c>
      <c r="E464" s="1">
        <v>438</v>
      </c>
      <c r="F464" s="2" t="s">
        <v>1464</v>
      </c>
      <c r="G464" s="1">
        <f ca="1">IFERROR(__xludf.DUMMYFUNCTION("COUNTA(SPLIT(F464,"" ""))"),339)</f>
        <v>339</v>
      </c>
      <c r="H464" s="1">
        <v>339</v>
      </c>
      <c r="I464" s="1"/>
      <c r="J464" s="1"/>
      <c r="K464" s="1"/>
      <c r="L464" s="1"/>
      <c r="M464" s="1"/>
      <c r="N464" s="1"/>
      <c r="O464" s="1"/>
      <c r="P464" s="1"/>
      <c r="Q464" s="1"/>
      <c r="R464" s="1"/>
      <c r="S464" s="1"/>
      <c r="T464" s="1"/>
    </row>
    <row r="465" spans="1:20" ht="33.75" hidden="1" customHeight="1">
      <c r="A465" s="1" t="s">
        <v>1465</v>
      </c>
      <c r="B465" s="1" t="s">
        <v>846</v>
      </c>
      <c r="C465" s="4">
        <v>39855.225694444445</v>
      </c>
      <c r="D465" s="1" t="s">
        <v>1089</v>
      </c>
      <c r="E465" s="1" t="s">
        <v>1448</v>
      </c>
      <c r="F465" s="2" t="s">
        <v>1466</v>
      </c>
      <c r="G465" s="1">
        <f ca="1">IFERROR(__xludf.DUMMYFUNCTION("COUNTA(SPLIT(F465,"" ""))"),110)</f>
        <v>110</v>
      </c>
      <c r="H465" s="1">
        <v>110</v>
      </c>
      <c r="I465" s="1"/>
      <c r="J465" s="1"/>
      <c r="K465" s="1"/>
      <c r="L465" s="1"/>
      <c r="M465" s="1"/>
      <c r="N465" s="1"/>
      <c r="O465" s="1"/>
      <c r="P465" s="1"/>
      <c r="Q465" s="1"/>
      <c r="R465" s="1"/>
      <c r="S465" s="1"/>
      <c r="T465" s="1"/>
    </row>
    <row r="466" spans="1:20" ht="33.75" hidden="1" customHeight="1">
      <c r="A466" s="1" t="s">
        <v>1467</v>
      </c>
      <c r="B466" s="1" t="s">
        <v>1196</v>
      </c>
      <c r="C466" s="4">
        <v>39855.229861111111</v>
      </c>
      <c r="D466" s="1" t="s">
        <v>54</v>
      </c>
      <c r="E466" s="1" t="s">
        <v>1468</v>
      </c>
      <c r="F466" s="2" t="s">
        <v>1469</v>
      </c>
      <c r="G466" s="1">
        <f ca="1">IFERROR(__xludf.DUMMYFUNCTION("COUNTA(SPLIT(F466,"" ""))"),408)</f>
        <v>408</v>
      </c>
      <c r="H466" s="1">
        <v>408</v>
      </c>
      <c r="I466" s="1"/>
      <c r="J466" s="1"/>
      <c r="K466" s="1"/>
      <c r="L466" s="1"/>
      <c r="M466" s="1"/>
      <c r="N466" s="1"/>
      <c r="O466" s="1"/>
      <c r="P466" s="1"/>
      <c r="Q466" s="1"/>
      <c r="R466" s="1"/>
      <c r="S466" s="1"/>
      <c r="T466" s="1"/>
    </row>
    <row r="467" spans="1:20" ht="33.75" hidden="1" customHeight="1">
      <c r="A467" s="1" t="s">
        <v>1470</v>
      </c>
      <c r="B467" s="1" t="s">
        <v>1196</v>
      </c>
      <c r="C467" s="4">
        <v>39855.245138888888</v>
      </c>
      <c r="D467" s="1" t="s">
        <v>393</v>
      </c>
      <c r="E467" s="1" t="s">
        <v>1471</v>
      </c>
      <c r="F467" s="2" t="s">
        <v>1472</v>
      </c>
      <c r="G467" s="1">
        <f ca="1">IFERROR(__xludf.DUMMYFUNCTION("COUNTA(SPLIT(F467,"" ""))"),251)</f>
        <v>251</v>
      </c>
      <c r="H467" s="1">
        <v>251</v>
      </c>
      <c r="I467" s="1"/>
      <c r="J467" s="1"/>
      <c r="K467" s="1"/>
      <c r="L467" s="1"/>
      <c r="M467" s="1"/>
      <c r="N467" s="1"/>
      <c r="O467" s="1"/>
      <c r="P467" s="1"/>
      <c r="Q467" s="1"/>
      <c r="R467" s="1"/>
      <c r="S467" s="1"/>
      <c r="T467" s="1"/>
    </row>
    <row r="468" spans="1:20" ht="33.75" hidden="1" customHeight="1">
      <c r="A468" s="1" t="s">
        <v>1473</v>
      </c>
      <c r="B468" s="3" t="s">
        <v>13</v>
      </c>
      <c r="C468" s="4">
        <v>39855.247916666667</v>
      </c>
      <c r="D468" s="1" t="s">
        <v>1474</v>
      </c>
      <c r="E468" s="1" t="s">
        <v>49</v>
      </c>
      <c r="F468" s="2" t="s">
        <v>1475</v>
      </c>
      <c r="G468" s="1">
        <f ca="1">IFERROR(__xludf.DUMMYFUNCTION("COUNTA(SPLIT(F468,"" ""))"),88)</f>
        <v>88</v>
      </c>
      <c r="H468" s="1">
        <v>88</v>
      </c>
      <c r="I468" s="1"/>
      <c r="J468" s="1"/>
      <c r="K468" s="1"/>
      <c r="L468" s="1"/>
      <c r="M468" s="1"/>
      <c r="N468" s="1"/>
      <c r="O468" s="1"/>
      <c r="P468" s="1"/>
      <c r="Q468" s="1"/>
      <c r="R468" s="1"/>
      <c r="S468" s="1"/>
      <c r="T468" s="1"/>
    </row>
    <row r="469" spans="1:20" ht="33.75" hidden="1" customHeight="1">
      <c r="A469" s="1" t="s">
        <v>1476</v>
      </c>
      <c r="B469" s="1" t="s">
        <v>1196</v>
      </c>
      <c r="C469" s="4">
        <v>39855.257638888892</v>
      </c>
      <c r="D469" s="1" t="s">
        <v>54</v>
      </c>
      <c r="E469" s="1">
        <v>439</v>
      </c>
      <c r="F469" s="2" t="s">
        <v>1477</v>
      </c>
      <c r="G469" s="1">
        <f ca="1">IFERROR(__xludf.DUMMYFUNCTION("COUNTA(SPLIT(F469,"" ""))"),221)</f>
        <v>221</v>
      </c>
      <c r="H469" s="1">
        <v>221</v>
      </c>
      <c r="I469" s="1"/>
      <c r="J469" s="1"/>
      <c r="K469" s="1"/>
      <c r="L469" s="1"/>
      <c r="M469" s="1"/>
      <c r="N469" s="1"/>
      <c r="O469" s="1"/>
      <c r="P469" s="1"/>
      <c r="Q469" s="1"/>
      <c r="R469" s="1"/>
      <c r="S469" s="1"/>
      <c r="T469" s="1"/>
    </row>
    <row r="470" spans="1:20" ht="33.75" customHeight="1">
      <c r="A470" s="1" t="s">
        <v>1478</v>
      </c>
      <c r="B470" s="1" t="s">
        <v>846</v>
      </c>
      <c r="C470" s="4">
        <v>39855.406944444447</v>
      </c>
      <c r="D470" s="1" t="s">
        <v>54</v>
      </c>
      <c r="E470" s="1"/>
      <c r="F470" s="2" t="s">
        <v>1479</v>
      </c>
      <c r="G470" s="1">
        <f ca="1">IFERROR(__xludf.DUMMYFUNCTION("COUNTA(SPLIT(F470,"" ""))"),51)</f>
        <v>51</v>
      </c>
      <c r="H470" s="1">
        <v>51</v>
      </c>
      <c r="I470" s="1"/>
      <c r="J470" s="1"/>
      <c r="K470" s="1"/>
      <c r="L470" s="1"/>
      <c r="M470" s="1"/>
      <c r="N470" s="1"/>
      <c r="O470" s="1"/>
      <c r="P470" s="1"/>
      <c r="Q470" s="1"/>
      <c r="R470" s="1"/>
      <c r="S470" s="1"/>
      <c r="T470" s="1"/>
    </row>
    <row r="471" spans="1:20" ht="33.75" hidden="1" customHeight="1">
      <c r="A471" s="1" t="s">
        <v>1480</v>
      </c>
      <c r="B471" s="1" t="s">
        <v>1196</v>
      </c>
      <c r="C471" s="4">
        <v>39855.479166666664</v>
      </c>
      <c r="D471" s="1" t="s">
        <v>14</v>
      </c>
      <c r="E471" s="1" t="s">
        <v>1481</v>
      </c>
      <c r="F471" s="2" t="s">
        <v>1482</v>
      </c>
      <c r="G471" s="1">
        <f ca="1">IFERROR(__xludf.DUMMYFUNCTION("COUNTA(SPLIT(F471,"" ""))"),909)</f>
        <v>909</v>
      </c>
      <c r="H471" s="1">
        <v>909</v>
      </c>
      <c r="I471" s="1"/>
      <c r="J471" s="1"/>
      <c r="K471" s="1"/>
      <c r="L471" s="1"/>
      <c r="M471" s="1"/>
      <c r="N471" s="1"/>
      <c r="O471" s="1"/>
      <c r="P471" s="1"/>
      <c r="Q471" s="1"/>
      <c r="R471" s="1"/>
      <c r="S471" s="1"/>
      <c r="T471" s="1"/>
    </row>
    <row r="472" spans="1:20" ht="33.75" customHeight="1">
      <c r="A472" s="1" t="s">
        <v>1483</v>
      </c>
      <c r="B472" s="1" t="s">
        <v>846</v>
      </c>
      <c r="C472" s="4">
        <v>39855.531944444447</v>
      </c>
      <c r="D472" s="1" t="s">
        <v>772</v>
      </c>
      <c r="E472" s="1"/>
      <c r="F472" s="2" t="s">
        <v>1484</v>
      </c>
      <c r="G472" s="1">
        <f ca="1">IFERROR(__xludf.DUMMYFUNCTION("COUNTA(SPLIT(F472,"" ""))"),239)</f>
        <v>239</v>
      </c>
      <c r="H472" s="1">
        <v>239</v>
      </c>
      <c r="I472" s="1"/>
      <c r="J472" s="1"/>
      <c r="K472" s="1"/>
      <c r="L472" s="1"/>
      <c r="M472" s="1"/>
      <c r="N472" s="1"/>
      <c r="O472" s="1"/>
      <c r="P472" s="1"/>
      <c r="Q472" s="1"/>
      <c r="R472" s="1"/>
      <c r="S472" s="1"/>
      <c r="T472" s="1"/>
    </row>
    <row r="473" spans="1:20" ht="33.75" hidden="1" customHeight="1">
      <c r="A473" s="1" t="s">
        <v>1485</v>
      </c>
      <c r="B473" s="1" t="s">
        <v>846</v>
      </c>
      <c r="C473" s="4">
        <v>39855.556944444441</v>
      </c>
      <c r="D473" s="1" t="s">
        <v>54</v>
      </c>
      <c r="E473" s="1" t="s">
        <v>1465</v>
      </c>
      <c r="F473" s="2" t="s">
        <v>1487</v>
      </c>
      <c r="G473" s="1">
        <f ca="1">IFERROR(__xludf.DUMMYFUNCTION("COUNTA(SPLIT(F473,"" ""))"),181)</f>
        <v>181</v>
      </c>
      <c r="H473" s="1">
        <v>181</v>
      </c>
      <c r="I473" s="1"/>
      <c r="J473" s="1"/>
      <c r="K473" s="1"/>
      <c r="L473" s="1"/>
      <c r="M473" s="1"/>
      <c r="N473" s="1"/>
      <c r="O473" s="1"/>
      <c r="P473" s="1"/>
      <c r="Q473" s="1"/>
      <c r="R473" s="1"/>
      <c r="S473" s="1"/>
      <c r="T473" s="1"/>
    </row>
    <row r="474" spans="1:20" ht="33.75" customHeight="1">
      <c r="A474" s="1" t="s">
        <v>1488</v>
      </c>
      <c r="B474" s="1" t="s">
        <v>846</v>
      </c>
      <c r="C474" s="4">
        <v>39855.570138888892</v>
      </c>
      <c r="D474" s="1" t="s">
        <v>54</v>
      </c>
      <c r="E474" s="1"/>
      <c r="F474" s="2" t="s">
        <v>1489</v>
      </c>
      <c r="G474" s="1">
        <f ca="1">IFERROR(__xludf.DUMMYFUNCTION("COUNTA(SPLIT(F474,"" ""))"),321)</f>
        <v>321</v>
      </c>
      <c r="H474" s="1">
        <v>321</v>
      </c>
      <c r="I474" s="1"/>
      <c r="J474" s="1"/>
      <c r="K474" s="1"/>
      <c r="L474" s="1"/>
      <c r="M474" s="1"/>
      <c r="N474" s="1"/>
      <c r="O474" s="1"/>
      <c r="P474" s="1"/>
      <c r="Q474" s="1"/>
      <c r="R474" s="1"/>
      <c r="S474" s="1"/>
      <c r="T474" s="1"/>
    </row>
    <row r="475" spans="1:20" ht="33.75" customHeight="1">
      <c r="A475" s="1" t="s">
        <v>1490</v>
      </c>
      <c r="B475" s="1" t="s">
        <v>1196</v>
      </c>
      <c r="C475" s="4">
        <v>39855.612500000003</v>
      </c>
      <c r="D475" s="1" t="s">
        <v>314</v>
      </c>
      <c r="E475" s="1"/>
      <c r="F475" s="2" t="s">
        <v>1491</v>
      </c>
      <c r="G475" s="1">
        <f ca="1">IFERROR(__xludf.DUMMYFUNCTION("COUNTA(SPLIT(F475,"" ""))"),84)</f>
        <v>84</v>
      </c>
      <c r="H475" s="1">
        <v>84</v>
      </c>
      <c r="I475" s="1"/>
      <c r="J475" s="1"/>
      <c r="K475" s="1"/>
      <c r="L475" s="1"/>
      <c r="M475" s="1"/>
      <c r="N475" s="1"/>
      <c r="O475" s="1"/>
      <c r="P475" s="1"/>
      <c r="Q475" s="1"/>
      <c r="R475" s="1"/>
      <c r="S475" s="1"/>
      <c r="T475" s="1"/>
    </row>
    <row r="476" spans="1:20" ht="33.75" customHeight="1">
      <c r="A476" s="1" t="s">
        <v>1492</v>
      </c>
      <c r="B476" s="1" t="s">
        <v>156</v>
      </c>
      <c r="C476" s="4">
        <v>39855.625694444447</v>
      </c>
      <c r="D476" s="1" t="s">
        <v>314</v>
      </c>
      <c r="E476" s="1"/>
      <c r="F476" s="2" t="s">
        <v>1494</v>
      </c>
      <c r="G476" s="1">
        <f ca="1">IFERROR(__xludf.DUMMYFUNCTION("COUNTA(SPLIT(F476,"" ""))"),119)</f>
        <v>119</v>
      </c>
      <c r="H476" s="1">
        <v>119</v>
      </c>
      <c r="I476" s="1"/>
      <c r="J476" s="1"/>
      <c r="K476" s="1"/>
      <c r="L476" s="1"/>
      <c r="M476" s="1"/>
      <c r="N476" s="1"/>
      <c r="O476" s="1"/>
      <c r="P476" s="1"/>
      <c r="Q476" s="1"/>
      <c r="R476" s="1"/>
      <c r="S476" s="1"/>
      <c r="T476" s="1"/>
    </row>
    <row r="477" spans="1:20" ht="33.75" customHeight="1">
      <c r="A477" s="1" t="s">
        <v>1495</v>
      </c>
      <c r="B477" s="1" t="s">
        <v>1196</v>
      </c>
      <c r="C477" s="4">
        <v>39855.62777777778</v>
      </c>
      <c r="D477" s="1" t="s">
        <v>320</v>
      </c>
      <c r="E477" s="1"/>
      <c r="F477" s="2" t="s">
        <v>1496</v>
      </c>
      <c r="G477" s="1">
        <f ca="1">IFERROR(__xludf.DUMMYFUNCTION("COUNTA(SPLIT(F477,"" ""))"),126)</f>
        <v>126</v>
      </c>
      <c r="H477" s="1">
        <v>126</v>
      </c>
      <c r="I477" s="1"/>
      <c r="J477" s="1"/>
      <c r="K477" s="1"/>
      <c r="L477" s="1"/>
      <c r="M477" s="1"/>
      <c r="N477" s="1"/>
      <c r="O477" s="1"/>
      <c r="P477" s="1"/>
      <c r="Q477" s="1"/>
      <c r="R477" s="1"/>
      <c r="S477" s="1"/>
      <c r="T477" s="1"/>
    </row>
    <row r="478" spans="1:20" ht="33.75" customHeight="1">
      <c r="A478" s="1" t="s">
        <v>1497</v>
      </c>
      <c r="B478" s="1" t="s">
        <v>1196</v>
      </c>
      <c r="C478" s="4">
        <v>39855.647222222222</v>
      </c>
      <c r="D478" s="1" t="s">
        <v>314</v>
      </c>
      <c r="E478" s="1"/>
      <c r="F478" s="2" t="s">
        <v>1499</v>
      </c>
      <c r="G478" s="1">
        <f ca="1">IFERROR(__xludf.DUMMYFUNCTION("COUNTA(SPLIT(F478,"" ""))"),57)</f>
        <v>57</v>
      </c>
      <c r="H478" s="1">
        <v>57</v>
      </c>
      <c r="I478" s="1"/>
      <c r="J478" s="1"/>
      <c r="K478" s="1"/>
      <c r="L478" s="1"/>
      <c r="M478" s="1"/>
      <c r="N478" s="1"/>
      <c r="O478" s="1"/>
      <c r="P478" s="1"/>
      <c r="Q478" s="1"/>
      <c r="R478" s="1"/>
      <c r="S478" s="1"/>
      <c r="T478" s="1"/>
    </row>
    <row r="479" spans="1:20" ht="33.75" customHeight="1">
      <c r="A479" s="1" t="s">
        <v>1500</v>
      </c>
      <c r="B479" s="1" t="s">
        <v>1196</v>
      </c>
      <c r="C479" s="4">
        <v>39855.668749999997</v>
      </c>
      <c r="D479" s="1" t="s">
        <v>255</v>
      </c>
      <c r="E479" s="1"/>
      <c r="F479" s="2" t="s">
        <v>1501</v>
      </c>
      <c r="G479" s="1">
        <f ca="1">IFERROR(__xludf.DUMMYFUNCTION("COUNTA(SPLIT(F479,"" ""))"),60)</f>
        <v>60</v>
      </c>
      <c r="H479" s="1">
        <v>60</v>
      </c>
      <c r="I479" s="1"/>
      <c r="J479" s="1"/>
      <c r="K479" s="1"/>
      <c r="L479" s="1"/>
      <c r="M479" s="1"/>
      <c r="N479" s="1"/>
      <c r="O479" s="1"/>
      <c r="P479" s="1"/>
      <c r="Q479" s="1"/>
      <c r="R479" s="1"/>
      <c r="S479" s="1"/>
      <c r="T479" s="1"/>
    </row>
    <row r="480" spans="1:20" ht="33.75" customHeight="1">
      <c r="A480" s="1" t="s">
        <v>1502</v>
      </c>
      <c r="B480" s="1" t="s">
        <v>1196</v>
      </c>
      <c r="C480" s="4">
        <v>39855.679166666669</v>
      </c>
      <c r="D480" s="1" t="s">
        <v>54</v>
      </c>
      <c r="E480" s="1"/>
      <c r="F480" s="2" t="s">
        <v>1504</v>
      </c>
      <c r="G480" s="1">
        <f ca="1">IFERROR(__xludf.DUMMYFUNCTION("COUNTA(SPLIT(F480,"" ""))"),79)</f>
        <v>79</v>
      </c>
      <c r="H480" s="1">
        <v>79</v>
      </c>
      <c r="I480" s="1"/>
      <c r="J480" s="1"/>
      <c r="K480" s="1"/>
      <c r="L480" s="1"/>
      <c r="M480" s="1"/>
      <c r="N480" s="1"/>
      <c r="O480" s="1"/>
      <c r="P480" s="1"/>
      <c r="Q480" s="1"/>
      <c r="R480" s="1"/>
      <c r="S480" s="1"/>
      <c r="T480" s="1"/>
    </row>
    <row r="481" spans="1:20" ht="33.75" customHeight="1">
      <c r="A481" s="1" t="s">
        <v>1505</v>
      </c>
      <c r="B481" s="1" t="s">
        <v>846</v>
      </c>
      <c r="C481" s="4">
        <v>39855.684027777781</v>
      </c>
      <c r="D481" s="1" t="s">
        <v>416</v>
      </c>
      <c r="E481" s="1"/>
      <c r="F481" s="2" t="s">
        <v>1506</v>
      </c>
      <c r="G481" s="1">
        <f ca="1">IFERROR(__xludf.DUMMYFUNCTION("COUNTA(SPLIT(F481,"" ""))"),76)</f>
        <v>76</v>
      </c>
      <c r="H481" s="1">
        <v>76</v>
      </c>
      <c r="I481" s="1"/>
      <c r="J481" s="1"/>
      <c r="K481" s="1"/>
      <c r="L481" s="1"/>
      <c r="M481" s="1"/>
      <c r="N481" s="1"/>
      <c r="O481" s="1"/>
      <c r="P481" s="1"/>
      <c r="Q481" s="1"/>
      <c r="R481" s="1"/>
      <c r="S481" s="1"/>
      <c r="T481" s="1"/>
    </row>
    <row r="482" spans="1:20" ht="33.75" customHeight="1">
      <c r="A482" s="1" t="s">
        <v>1507</v>
      </c>
      <c r="B482" s="1" t="s">
        <v>846</v>
      </c>
      <c r="C482" s="4">
        <v>39855.697916666664</v>
      </c>
      <c r="D482" s="1" t="s">
        <v>54</v>
      </c>
      <c r="E482" s="1"/>
      <c r="F482" s="2" t="s">
        <v>1508</v>
      </c>
      <c r="G482" s="1">
        <f ca="1">IFERROR(__xludf.DUMMYFUNCTION("COUNTA(SPLIT(F482,"" ""))"),173)</f>
        <v>173</v>
      </c>
      <c r="H482" s="1">
        <v>173</v>
      </c>
      <c r="I482" s="1"/>
      <c r="J482" s="1"/>
      <c r="K482" s="1"/>
      <c r="L482" s="1"/>
      <c r="M482" s="1"/>
      <c r="N482" s="1"/>
      <c r="O482" s="1"/>
      <c r="P482" s="1"/>
      <c r="Q482" s="1"/>
      <c r="R482" s="1"/>
      <c r="S482" s="1"/>
      <c r="T482" s="1"/>
    </row>
    <row r="483" spans="1:20" ht="33.75" hidden="1" customHeight="1">
      <c r="A483" s="1" t="s">
        <v>1509</v>
      </c>
      <c r="B483" s="1" t="s">
        <v>1196</v>
      </c>
      <c r="C483" s="4">
        <v>39855.722222222219</v>
      </c>
      <c r="D483" s="1" t="s">
        <v>320</v>
      </c>
      <c r="E483" s="1">
        <v>451</v>
      </c>
      <c r="F483" s="2" t="s">
        <v>1510</v>
      </c>
      <c r="G483" s="1">
        <f ca="1">IFERROR(__xludf.DUMMYFUNCTION("COUNTA(SPLIT(F483,"" ""))"),79)</f>
        <v>79</v>
      </c>
      <c r="H483" s="1">
        <v>79</v>
      </c>
      <c r="I483" s="1"/>
      <c r="J483" s="1"/>
      <c r="K483" s="1"/>
      <c r="L483" s="1"/>
      <c r="M483" s="1"/>
      <c r="N483" s="1"/>
      <c r="O483" s="1"/>
      <c r="P483" s="1"/>
      <c r="Q483" s="1"/>
      <c r="R483" s="1"/>
      <c r="S483" s="1"/>
      <c r="T483" s="1"/>
    </row>
    <row r="484" spans="1:20" ht="33.75" customHeight="1">
      <c r="A484" s="1" t="s">
        <v>1511</v>
      </c>
      <c r="B484" s="1" t="s">
        <v>1196</v>
      </c>
      <c r="C484" s="4">
        <v>39855.736111111109</v>
      </c>
      <c r="D484" s="1" t="s">
        <v>14</v>
      </c>
      <c r="E484" s="1"/>
      <c r="F484" s="2" t="s">
        <v>1512</v>
      </c>
      <c r="G484" s="1">
        <f ca="1">IFERROR(__xludf.DUMMYFUNCTION("COUNTA(SPLIT(F484,"" ""))"),362)</f>
        <v>362</v>
      </c>
      <c r="H484" s="1">
        <v>362</v>
      </c>
      <c r="I484" s="1"/>
      <c r="J484" s="1"/>
      <c r="K484" s="1"/>
      <c r="L484" s="1"/>
      <c r="M484" s="1"/>
      <c r="N484" s="1"/>
      <c r="O484" s="1"/>
      <c r="P484" s="1"/>
      <c r="Q484" s="1"/>
      <c r="R484" s="1"/>
      <c r="S484" s="1"/>
      <c r="T484" s="1"/>
    </row>
    <row r="485" spans="1:20" ht="33.75" customHeight="1">
      <c r="A485" s="1" t="s">
        <v>1513</v>
      </c>
      <c r="B485" s="1" t="s">
        <v>1196</v>
      </c>
      <c r="C485" s="4">
        <v>39855.761111111111</v>
      </c>
      <c r="D485" s="1" t="s">
        <v>54</v>
      </c>
      <c r="E485" s="1"/>
      <c r="F485" s="2" t="s">
        <v>1514</v>
      </c>
      <c r="G485" s="1">
        <f ca="1">IFERROR(__xludf.DUMMYFUNCTION("COUNTA(SPLIT(F485,"" ""))"),954)</f>
        <v>954</v>
      </c>
      <c r="H485" s="1">
        <v>954</v>
      </c>
      <c r="I485" s="1"/>
      <c r="J485" s="1"/>
      <c r="K485" s="1"/>
      <c r="L485" s="1"/>
      <c r="M485" s="1"/>
      <c r="N485" s="1"/>
      <c r="O485" s="1"/>
      <c r="P485" s="1"/>
      <c r="Q485" s="1"/>
      <c r="R485" s="1"/>
      <c r="S485" s="1"/>
      <c r="T485" s="1"/>
    </row>
    <row r="486" spans="1:20" ht="33.75" hidden="1" customHeight="1">
      <c r="A486" s="1" t="s">
        <v>1515</v>
      </c>
      <c r="B486" s="1" t="s">
        <v>1196</v>
      </c>
      <c r="C486" s="4">
        <v>39855.769444444442</v>
      </c>
      <c r="D486" s="1" t="s">
        <v>54</v>
      </c>
      <c r="E486" s="1" t="s">
        <v>1516</v>
      </c>
      <c r="F486" s="2" t="s">
        <v>1517</v>
      </c>
      <c r="G486" s="1">
        <f ca="1">IFERROR(__xludf.DUMMYFUNCTION("COUNTA(SPLIT(F486,"" ""))"),198)</f>
        <v>198</v>
      </c>
      <c r="H486" s="1">
        <v>198</v>
      </c>
      <c r="I486" s="1"/>
      <c r="J486" s="1"/>
      <c r="K486" s="1"/>
      <c r="L486" s="1"/>
      <c r="M486" s="1"/>
      <c r="N486" s="1"/>
      <c r="O486" s="1"/>
      <c r="P486" s="1"/>
      <c r="Q486" s="1"/>
      <c r="R486" s="1"/>
      <c r="S486" s="1"/>
      <c r="T486" s="1"/>
    </row>
    <row r="487" spans="1:20" ht="33.75" hidden="1" customHeight="1">
      <c r="A487" s="1" t="s">
        <v>1518</v>
      </c>
      <c r="B487" s="1" t="s">
        <v>1519</v>
      </c>
      <c r="C487" s="4">
        <v>39855.775000000001</v>
      </c>
      <c r="D487" s="1" t="s">
        <v>54</v>
      </c>
      <c r="E487" s="1">
        <v>130</v>
      </c>
      <c r="F487" s="2" t="s">
        <v>1521</v>
      </c>
      <c r="G487" s="1">
        <f ca="1">IFERROR(__xludf.DUMMYFUNCTION("COUNTA(SPLIT(F487,"" ""))"),389)</f>
        <v>389</v>
      </c>
      <c r="H487" s="1">
        <v>389</v>
      </c>
      <c r="I487" s="1"/>
      <c r="J487" s="1"/>
      <c r="K487" s="1"/>
      <c r="L487" s="1"/>
      <c r="M487" s="1"/>
      <c r="N487" s="1"/>
      <c r="O487" s="1"/>
      <c r="P487" s="1"/>
      <c r="Q487" s="1"/>
      <c r="R487" s="1"/>
      <c r="S487" s="1"/>
      <c r="T487" s="1"/>
    </row>
    <row r="488" spans="1:20" ht="33.75" customHeight="1">
      <c r="A488" s="1" t="s">
        <v>1522</v>
      </c>
      <c r="B488" s="1" t="s">
        <v>1196</v>
      </c>
      <c r="C488" s="4">
        <v>39855.780555555553</v>
      </c>
      <c r="D488" s="1" t="s">
        <v>84</v>
      </c>
      <c r="E488" s="1"/>
      <c r="F488" s="2" t="s">
        <v>1524</v>
      </c>
      <c r="G488" s="1">
        <f ca="1">IFERROR(__xludf.DUMMYFUNCTION("COUNTA(SPLIT(F488,"" ""))"),61)</f>
        <v>61</v>
      </c>
      <c r="H488" s="1">
        <v>61</v>
      </c>
      <c r="I488" s="1"/>
      <c r="J488" s="1"/>
      <c r="K488" s="1"/>
      <c r="L488" s="1"/>
      <c r="M488" s="1"/>
      <c r="N488" s="1"/>
      <c r="O488" s="1"/>
      <c r="P488" s="1"/>
      <c r="Q488" s="1"/>
      <c r="R488" s="1"/>
      <c r="S488" s="1"/>
      <c r="T488" s="1"/>
    </row>
    <row r="489" spans="1:20" ht="33.75" customHeight="1">
      <c r="A489" s="1" t="s">
        <v>1525</v>
      </c>
      <c r="B489" s="1" t="s">
        <v>1196</v>
      </c>
      <c r="C489" s="4">
        <v>39855.786111111112</v>
      </c>
      <c r="D489" s="1" t="s">
        <v>14</v>
      </c>
      <c r="E489" s="1"/>
      <c r="F489" s="2" t="s">
        <v>1526</v>
      </c>
      <c r="G489" s="1">
        <f ca="1">IFERROR(__xludf.DUMMYFUNCTION("COUNTA(SPLIT(F489,"" ""))"),562)</f>
        <v>562</v>
      </c>
      <c r="H489" s="1">
        <v>562</v>
      </c>
      <c r="I489" s="1"/>
      <c r="J489" s="1"/>
      <c r="K489" s="1"/>
      <c r="L489" s="1"/>
      <c r="M489" s="1"/>
      <c r="N489" s="1"/>
      <c r="O489" s="1"/>
      <c r="P489" s="1"/>
      <c r="Q489" s="1"/>
      <c r="R489" s="1"/>
      <c r="S489" s="1"/>
      <c r="T489" s="1"/>
    </row>
    <row r="490" spans="1:20" ht="33.75" customHeight="1">
      <c r="A490" s="1" t="s">
        <v>1527</v>
      </c>
      <c r="B490" s="1" t="s">
        <v>1196</v>
      </c>
      <c r="C490" s="4">
        <v>39855.792361111111</v>
      </c>
      <c r="D490" s="1" t="s">
        <v>1528</v>
      </c>
      <c r="E490" s="1"/>
      <c r="F490" s="2" t="s">
        <v>1530</v>
      </c>
      <c r="G490" s="1">
        <f ca="1">IFERROR(__xludf.DUMMYFUNCTION("COUNTA(SPLIT(F490,"" ""))"),87)</f>
        <v>87</v>
      </c>
      <c r="H490" s="1">
        <v>87</v>
      </c>
      <c r="I490" s="1"/>
      <c r="J490" s="1"/>
      <c r="K490" s="1"/>
      <c r="L490" s="1"/>
      <c r="M490" s="1"/>
      <c r="N490" s="1"/>
      <c r="O490" s="1"/>
      <c r="P490" s="1"/>
      <c r="Q490" s="1"/>
      <c r="R490" s="1"/>
      <c r="S490" s="1"/>
      <c r="T490" s="1"/>
    </row>
    <row r="491" spans="1:20" ht="33.75" customHeight="1">
      <c r="A491" s="1" t="s">
        <v>1531</v>
      </c>
      <c r="B491" s="1" t="s">
        <v>846</v>
      </c>
      <c r="C491" s="4">
        <v>39855.802083333336</v>
      </c>
      <c r="D491" s="1" t="s">
        <v>84</v>
      </c>
      <c r="E491" s="1"/>
      <c r="F491" s="2" t="s">
        <v>1532</v>
      </c>
      <c r="G491" s="1">
        <f ca="1">IFERROR(__xludf.DUMMYFUNCTION("COUNTA(SPLIT(F491,"" ""))"),21)</f>
        <v>21</v>
      </c>
      <c r="H491" s="1">
        <v>21</v>
      </c>
      <c r="I491" s="1"/>
      <c r="J491" s="1"/>
      <c r="K491" s="1"/>
      <c r="L491" s="1"/>
      <c r="M491" s="1"/>
      <c r="N491" s="1"/>
      <c r="O491" s="1"/>
      <c r="P491" s="1"/>
      <c r="Q491" s="1"/>
      <c r="R491" s="1"/>
      <c r="S491" s="1"/>
      <c r="T491" s="1"/>
    </row>
    <row r="492" spans="1:20" ht="33.75" customHeight="1">
      <c r="A492" s="1" t="s">
        <v>1533</v>
      </c>
      <c r="B492" s="1" t="s">
        <v>1196</v>
      </c>
      <c r="C492" s="4">
        <v>39855.807638888888</v>
      </c>
      <c r="D492" s="1" t="s">
        <v>14</v>
      </c>
      <c r="E492" s="1"/>
      <c r="F492" s="2" t="s">
        <v>1534</v>
      </c>
      <c r="G492" s="1">
        <f ca="1">IFERROR(__xludf.DUMMYFUNCTION("COUNTA(SPLIT(F492,"" ""))"),385)</f>
        <v>385</v>
      </c>
      <c r="H492" s="1">
        <v>385</v>
      </c>
      <c r="I492" s="1"/>
      <c r="J492" s="1"/>
      <c r="K492" s="1"/>
      <c r="L492" s="1"/>
      <c r="M492" s="1"/>
      <c r="N492" s="1"/>
      <c r="O492" s="1"/>
      <c r="P492" s="1"/>
      <c r="Q492" s="1"/>
      <c r="R492" s="1"/>
      <c r="S492" s="1"/>
      <c r="T492" s="1"/>
    </row>
    <row r="493" spans="1:20" ht="33.75" customHeight="1">
      <c r="A493" s="1" t="s">
        <v>1535</v>
      </c>
      <c r="B493" s="1" t="s">
        <v>846</v>
      </c>
      <c r="C493" s="4">
        <v>39855.824999999997</v>
      </c>
      <c r="D493" s="1" t="s">
        <v>54</v>
      </c>
      <c r="E493" s="1"/>
      <c r="F493" s="2" t="s">
        <v>1536</v>
      </c>
      <c r="G493" s="1">
        <f ca="1">IFERROR(__xludf.DUMMYFUNCTION("COUNTA(SPLIT(F493,"" ""))"),29)</f>
        <v>29</v>
      </c>
      <c r="H493" s="1">
        <v>29</v>
      </c>
      <c r="I493" s="1"/>
      <c r="J493" s="1"/>
      <c r="K493" s="1"/>
      <c r="L493" s="1"/>
      <c r="M493" s="1"/>
      <c r="N493" s="1"/>
      <c r="O493" s="1"/>
      <c r="P493" s="1"/>
      <c r="Q493" s="1"/>
      <c r="R493" s="1"/>
      <c r="S493" s="1"/>
      <c r="T493" s="1"/>
    </row>
    <row r="494" spans="1:20" ht="33.75" hidden="1" customHeight="1">
      <c r="A494" s="1" t="s">
        <v>1537</v>
      </c>
      <c r="B494" s="1" t="s">
        <v>1196</v>
      </c>
      <c r="C494" s="4">
        <v>39855.830555555556</v>
      </c>
      <c r="D494" s="1" t="s">
        <v>14</v>
      </c>
      <c r="E494" s="1">
        <v>459</v>
      </c>
      <c r="F494" s="2" t="s">
        <v>1539</v>
      </c>
      <c r="G494" s="1">
        <f ca="1">IFERROR(__xludf.DUMMYFUNCTION("COUNTA(SPLIT(F494,"" ""))"),43)</f>
        <v>43</v>
      </c>
      <c r="H494" s="1">
        <v>43</v>
      </c>
      <c r="I494" s="1"/>
      <c r="J494" s="1"/>
      <c r="K494" s="1"/>
      <c r="L494" s="1"/>
      <c r="M494" s="1"/>
      <c r="N494" s="1"/>
      <c r="O494" s="1"/>
      <c r="P494" s="1"/>
      <c r="Q494" s="1"/>
      <c r="R494" s="1"/>
      <c r="S494" s="1"/>
      <c r="T494" s="1"/>
    </row>
    <row r="495" spans="1:20" ht="33.75" customHeight="1">
      <c r="A495" s="1" t="s">
        <v>1540</v>
      </c>
      <c r="B495" s="1" t="s">
        <v>1519</v>
      </c>
      <c r="C495" s="4">
        <v>39855.834027777775</v>
      </c>
      <c r="D495" s="1" t="s">
        <v>54</v>
      </c>
      <c r="E495" s="1"/>
      <c r="F495" s="2" t="s">
        <v>1542</v>
      </c>
      <c r="G495" s="1">
        <f ca="1">IFERROR(__xludf.DUMMYFUNCTION("COUNTA(SPLIT(F495,"" ""))"),343)</f>
        <v>343</v>
      </c>
      <c r="H495" s="1">
        <v>343</v>
      </c>
      <c r="I495" s="1"/>
      <c r="J495" s="1"/>
      <c r="K495" s="1"/>
      <c r="L495" s="1"/>
      <c r="M495" s="1"/>
      <c r="N495" s="1"/>
      <c r="O495" s="1"/>
      <c r="P495" s="1"/>
      <c r="Q495" s="1"/>
      <c r="R495" s="1"/>
      <c r="S495" s="1"/>
      <c r="T495" s="1"/>
    </row>
    <row r="496" spans="1:20" ht="33.75" customHeight="1">
      <c r="A496" s="1" t="s">
        <v>1543</v>
      </c>
      <c r="B496" s="1" t="s">
        <v>846</v>
      </c>
      <c r="C496" s="4">
        <v>39855.841666666667</v>
      </c>
      <c r="D496" s="1" t="s">
        <v>84</v>
      </c>
      <c r="E496" s="1"/>
      <c r="F496" s="2" t="s">
        <v>1545</v>
      </c>
      <c r="G496" s="1">
        <f ca="1">IFERROR(__xludf.DUMMYFUNCTION("COUNTA(SPLIT(F496,"" ""))"),74)</f>
        <v>74</v>
      </c>
      <c r="H496" s="1">
        <v>74</v>
      </c>
      <c r="I496" s="1"/>
      <c r="J496" s="1"/>
      <c r="K496" s="1"/>
      <c r="L496" s="1"/>
      <c r="M496" s="1"/>
      <c r="N496" s="1"/>
      <c r="O496" s="1"/>
      <c r="P496" s="1"/>
      <c r="Q496" s="1"/>
      <c r="R496" s="1"/>
      <c r="S496" s="1"/>
      <c r="T496" s="1"/>
    </row>
    <row r="497" spans="1:20" ht="33.75" hidden="1" customHeight="1">
      <c r="A497" s="1" t="s">
        <v>1546</v>
      </c>
      <c r="B497" s="1" t="s">
        <v>1196</v>
      </c>
      <c r="C497" s="4">
        <v>39855.884027777778</v>
      </c>
      <c r="D497" s="1" t="s">
        <v>54</v>
      </c>
      <c r="E497" s="1" t="s">
        <v>1547</v>
      </c>
      <c r="F497" s="2" t="s">
        <v>1549</v>
      </c>
      <c r="G497" s="1">
        <f ca="1">IFERROR(__xludf.DUMMYFUNCTION("COUNTA(SPLIT(F497,"" ""))"),276)</f>
        <v>276</v>
      </c>
      <c r="H497" s="1">
        <v>276</v>
      </c>
      <c r="I497" s="1"/>
      <c r="J497" s="1"/>
      <c r="K497" s="1"/>
      <c r="L497" s="1"/>
      <c r="M497" s="1"/>
      <c r="N497" s="1"/>
      <c r="O497" s="1"/>
      <c r="P497" s="1"/>
      <c r="Q497" s="1"/>
      <c r="R497" s="1"/>
      <c r="S497" s="1"/>
      <c r="T497" s="1"/>
    </row>
    <row r="498" spans="1:20" ht="33.75" customHeight="1">
      <c r="A498" s="1" t="s">
        <v>1550</v>
      </c>
      <c r="B498" s="1" t="s">
        <v>1196</v>
      </c>
      <c r="C498" s="4">
        <v>39855.887499999997</v>
      </c>
      <c r="D498" s="1" t="s">
        <v>54</v>
      </c>
      <c r="E498" s="1"/>
      <c r="F498" s="2" t="s">
        <v>1552</v>
      </c>
      <c r="G498" s="1">
        <f ca="1">IFERROR(__xludf.DUMMYFUNCTION("COUNTA(SPLIT(F498,"" ""))"),129)</f>
        <v>129</v>
      </c>
      <c r="H498" s="1">
        <v>129</v>
      </c>
      <c r="I498" s="1"/>
      <c r="J498" s="1"/>
      <c r="K498" s="1"/>
      <c r="L498" s="1"/>
      <c r="M498" s="1"/>
      <c r="N498" s="1"/>
      <c r="O498" s="1"/>
      <c r="P498" s="1"/>
      <c r="Q498" s="1"/>
      <c r="R498" s="1"/>
      <c r="S498" s="1"/>
      <c r="T498" s="1"/>
    </row>
    <row r="499" spans="1:20" ht="33.75" hidden="1" customHeight="1">
      <c r="A499" s="1" t="s">
        <v>1553</v>
      </c>
      <c r="B499" s="1" t="s">
        <v>1196</v>
      </c>
      <c r="C499" s="4">
        <v>39855.919444444444</v>
      </c>
      <c r="D499" s="1" t="s">
        <v>54</v>
      </c>
      <c r="E499" s="1">
        <v>462</v>
      </c>
      <c r="F499" s="2" t="s">
        <v>1554</v>
      </c>
      <c r="G499" s="1">
        <f ca="1">IFERROR(__xludf.DUMMYFUNCTION("COUNTA(SPLIT(F499,"" ""))"),167)</f>
        <v>167</v>
      </c>
      <c r="H499" s="1">
        <v>167</v>
      </c>
      <c r="I499" s="1"/>
      <c r="J499" s="1"/>
      <c r="K499" s="1"/>
      <c r="L499" s="1"/>
      <c r="M499" s="1"/>
      <c r="N499" s="1"/>
      <c r="O499" s="1"/>
      <c r="P499" s="1"/>
      <c r="Q499" s="1"/>
      <c r="R499" s="1"/>
      <c r="S499" s="1"/>
      <c r="T499" s="1"/>
    </row>
    <row r="500" spans="1:20" ht="33.75" customHeight="1">
      <c r="A500" s="1" t="s">
        <v>1555</v>
      </c>
      <c r="B500" s="1" t="s">
        <v>1196</v>
      </c>
      <c r="C500" s="4">
        <v>39855.9375</v>
      </c>
      <c r="D500" s="1" t="s">
        <v>1528</v>
      </c>
      <c r="E500" s="1"/>
      <c r="F500" s="2" t="s">
        <v>1556</v>
      </c>
      <c r="G500" s="1">
        <f ca="1">IFERROR(__xludf.DUMMYFUNCTION("COUNTA(SPLIT(F500,"" ""))"),64)</f>
        <v>64</v>
      </c>
      <c r="H500" s="1">
        <v>64</v>
      </c>
      <c r="I500" s="1"/>
      <c r="J500" s="1"/>
      <c r="K500" s="1"/>
      <c r="L500" s="1"/>
      <c r="M500" s="1"/>
      <c r="N500" s="1"/>
      <c r="O500" s="1"/>
      <c r="P500" s="1"/>
      <c r="Q500" s="1"/>
      <c r="R500" s="1"/>
      <c r="S500" s="1"/>
      <c r="T500" s="1"/>
    </row>
    <row r="501" spans="1:20" ht="33.75" customHeight="1">
      <c r="A501" s="1" t="s">
        <v>1557</v>
      </c>
      <c r="B501" s="1" t="s">
        <v>1196</v>
      </c>
      <c r="C501" s="4">
        <v>39855.947916666664</v>
      </c>
      <c r="D501" s="1" t="s">
        <v>54</v>
      </c>
      <c r="E501" s="1"/>
      <c r="F501" s="2" t="s">
        <v>1558</v>
      </c>
      <c r="G501" s="1">
        <f ca="1">IFERROR(__xludf.DUMMYFUNCTION("COUNTA(SPLIT(F501,"" ""))"),52)</f>
        <v>52</v>
      </c>
      <c r="H501" s="1">
        <v>52</v>
      </c>
      <c r="I501" s="1"/>
      <c r="J501" s="1"/>
      <c r="K501" s="1"/>
      <c r="L501" s="1"/>
      <c r="M501" s="1"/>
      <c r="N501" s="1"/>
      <c r="O501" s="1"/>
      <c r="P501" s="1"/>
      <c r="Q501" s="1"/>
      <c r="R501" s="1"/>
      <c r="S501" s="1"/>
      <c r="T501" s="1"/>
    </row>
    <row r="502" spans="1:20" ht="33.75" customHeight="1">
      <c r="A502" s="1" t="s">
        <v>1559</v>
      </c>
      <c r="B502" s="1" t="s">
        <v>1196</v>
      </c>
      <c r="C502" s="4">
        <v>39855.977083333331</v>
      </c>
      <c r="D502" s="1" t="s">
        <v>54</v>
      </c>
      <c r="E502" s="1"/>
      <c r="F502" s="2" t="s">
        <v>1560</v>
      </c>
      <c r="G502" s="1">
        <f ca="1">IFERROR(__xludf.DUMMYFUNCTION("COUNTA(SPLIT(F502,"" ""))"),64)</f>
        <v>64</v>
      </c>
      <c r="H502" s="1">
        <v>64</v>
      </c>
      <c r="I502" s="1"/>
      <c r="J502" s="1"/>
      <c r="K502" s="1"/>
      <c r="L502" s="1"/>
      <c r="M502" s="1"/>
      <c r="N502" s="1"/>
      <c r="O502" s="1"/>
      <c r="P502" s="1"/>
      <c r="Q502" s="1"/>
      <c r="R502" s="1"/>
      <c r="S502" s="1"/>
      <c r="T502" s="1"/>
    </row>
    <row r="503" spans="1:20" ht="33.75" hidden="1" customHeight="1">
      <c r="A503" s="1" t="s">
        <v>1561</v>
      </c>
      <c r="B503" s="1" t="s">
        <v>1196</v>
      </c>
      <c r="C503" s="4">
        <v>39855.995833333334</v>
      </c>
      <c r="D503" s="1" t="s">
        <v>320</v>
      </c>
      <c r="E503" s="1">
        <v>439</v>
      </c>
      <c r="F503" s="2" t="s">
        <v>1562</v>
      </c>
      <c r="G503" s="1">
        <f ca="1">IFERROR(__xludf.DUMMYFUNCTION("COUNTA(SPLIT(F503,"" ""))"),66)</f>
        <v>66</v>
      </c>
      <c r="H503" s="1">
        <v>66</v>
      </c>
      <c r="I503" s="1"/>
      <c r="J503" s="1"/>
      <c r="K503" s="1"/>
      <c r="L503" s="1"/>
      <c r="M503" s="1"/>
      <c r="N503" s="1"/>
      <c r="O503" s="1"/>
      <c r="P503" s="1"/>
      <c r="Q503" s="1"/>
      <c r="R503" s="1"/>
      <c r="S503" s="1"/>
      <c r="T503" s="1"/>
    </row>
    <row r="504" spans="1:20" ht="33.75" hidden="1" customHeight="1">
      <c r="A504" s="1" t="s">
        <v>1563</v>
      </c>
      <c r="B504" s="1" t="s">
        <v>1196</v>
      </c>
      <c r="C504" s="4">
        <v>39856.015972222223</v>
      </c>
      <c r="D504" s="1" t="s">
        <v>54</v>
      </c>
      <c r="E504" s="1" t="s">
        <v>1564</v>
      </c>
      <c r="F504" s="2" t="s">
        <v>1565</v>
      </c>
      <c r="G504" s="1">
        <f ca="1">IFERROR(__xludf.DUMMYFUNCTION("COUNTA(SPLIT(F504,"" ""))"),471)</f>
        <v>471</v>
      </c>
      <c r="H504" s="1">
        <v>471</v>
      </c>
      <c r="I504" s="1"/>
      <c r="J504" s="1"/>
      <c r="K504" s="1"/>
      <c r="L504" s="1"/>
      <c r="M504" s="1"/>
      <c r="N504" s="1"/>
      <c r="O504" s="1"/>
      <c r="P504" s="1"/>
      <c r="Q504" s="1"/>
      <c r="R504" s="1"/>
      <c r="S504" s="1"/>
      <c r="T504" s="1"/>
    </row>
    <row r="505" spans="1:20" ht="33.75" customHeight="1">
      <c r="A505" s="1" t="s">
        <v>1566</v>
      </c>
      <c r="B505" s="1" t="s">
        <v>1196</v>
      </c>
      <c r="C505" s="4">
        <v>39856.032638888886</v>
      </c>
      <c r="D505" s="1" t="s">
        <v>14</v>
      </c>
      <c r="E505" s="1"/>
      <c r="F505" s="2" t="s">
        <v>1568</v>
      </c>
      <c r="G505" s="1">
        <f ca="1">IFERROR(__xludf.DUMMYFUNCTION("COUNTA(SPLIT(F505,"" ""))"),286)</f>
        <v>286</v>
      </c>
      <c r="H505" s="1">
        <v>286</v>
      </c>
      <c r="I505" s="1"/>
      <c r="J505" s="1"/>
      <c r="K505" s="1"/>
      <c r="L505" s="1"/>
      <c r="M505" s="1"/>
      <c r="N505" s="1"/>
      <c r="O505" s="1"/>
      <c r="P505" s="1"/>
      <c r="Q505" s="1"/>
      <c r="R505" s="1"/>
      <c r="S505" s="1"/>
      <c r="T505" s="1"/>
    </row>
    <row r="506" spans="1:20" ht="33.75" hidden="1" customHeight="1">
      <c r="A506" s="1" t="s">
        <v>1569</v>
      </c>
      <c r="B506" s="1" t="s">
        <v>846</v>
      </c>
      <c r="C506" s="4">
        <v>39856.03402777778</v>
      </c>
      <c r="D506" s="1" t="s">
        <v>1089</v>
      </c>
      <c r="E506" s="1" t="s">
        <v>1570</v>
      </c>
      <c r="F506" s="2" t="s">
        <v>1571</v>
      </c>
      <c r="G506" s="1">
        <f ca="1">IFERROR(__xludf.DUMMYFUNCTION("COUNTA(SPLIT(F506,"" ""))"),124)</f>
        <v>124</v>
      </c>
      <c r="H506" s="1">
        <v>124</v>
      </c>
      <c r="I506" s="1"/>
      <c r="J506" s="1"/>
      <c r="K506" s="1"/>
      <c r="L506" s="1"/>
      <c r="M506" s="1"/>
      <c r="N506" s="1"/>
      <c r="O506" s="1"/>
      <c r="P506" s="1"/>
      <c r="Q506" s="1"/>
      <c r="R506" s="1"/>
      <c r="S506" s="1"/>
      <c r="T506" s="1"/>
    </row>
    <row r="507" spans="1:20" ht="33.75" hidden="1" customHeight="1">
      <c r="A507" s="1" t="s">
        <v>1572</v>
      </c>
      <c r="B507" s="1" t="s">
        <v>1196</v>
      </c>
      <c r="C507" s="4">
        <v>39856.047222222223</v>
      </c>
      <c r="D507" s="1" t="s">
        <v>14</v>
      </c>
      <c r="E507" s="1">
        <v>413</v>
      </c>
      <c r="F507" s="2" t="s">
        <v>1573</v>
      </c>
      <c r="G507" s="1">
        <f ca="1">IFERROR(__xludf.DUMMYFUNCTION("COUNTA(SPLIT(F507,"" ""))"),350)</f>
        <v>350</v>
      </c>
      <c r="H507" s="1">
        <v>350</v>
      </c>
      <c r="I507" s="1"/>
      <c r="J507" s="1"/>
      <c r="K507" s="1"/>
      <c r="L507" s="1"/>
      <c r="M507" s="1"/>
      <c r="N507" s="1"/>
      <c r="O507" s="1"/>
      <c r="P507" s="1"/>
      <c r="Q507" s="1"/>
      <c r="R507" s="1"/>
      <c r="S507" s="1"/>
      <c r="T507" s="1"/>
    </row>
    <row r="508" spans="1:20" ht="33.75" customHeight="1">
      <c r="A508" s="1" t="s">
        <v>1574</v>
      </c>
      <c r="B508" s="1" t="s">
        <v>1196</v>
      </c>
      <c r="C508" s="4">
        <v>39856.056250000001</v>
      </c>
      <c r="D508" s="1" t="s">
        <v>54</v>
      </c>
      <c r="E508" s="1"/>
      <c r="F508" s="2" t="s">
        <v>1576</v>
      </c>
      <c r="G508" s="1">
        <f ca="1">IFERROR(__xludf.DUMMYFUNCTION("COUNTA(SPLIT(F508,"" ""))"),194)</f>
        <v>194</v>
      </c>
      <c r="H508" s="1">
        <v>194</v>
      </c>
      <c r="I508" s="1"/>
      <c r="J508" s="1"/>
      <c r="K508" s="1"/>
      <c r="L508" s="1"/>
      <c r="M508" s="1"/>
      <c r="N508" s="1"/>
      <c r="O508" s="1"/>
      <c r="P508" s="1"/>
      <c r="Q508" s="1"/>
      <c r="R508" s="1"/>
      <c r="S508" s="1"/>
      <c r="T508" s="1"/>
    </row>
    <row r="509" spans="1:20" ht="33.75" hidden="1" customHeight="1">
      <c r="A509" s="1" t="s">
        <v>1577</v>
      </c>
      <c r="B509" s="1" t="s">
        <v>1196</v>
      </c>
      <c r="C509" s="4">
        <v>39856.059027777781</v>
      </c>
      <c r="D509" s="1" t="s">
        <v>14</v>
      </c>
      <c r="E509" s="1" t="s">
        <v>1578</v>
      </c>
      <c r="F509" s="2" t="s">
        <v>1579</v>
      </c>
      <c r="G509" s="1">
        <f ca="1">IFERROR(__xludf.DUMMYFUNCTION("COUNTA(SPLIT(F509,"" ""))"),76)</f>
        <v>76</v>
      </c>
      <c r="H509" s="1">
        <v>76</v>
      </c>
      <c r="I509" s="1"/>
      <c r="J509" s="1"/>
      <c r="K509" s="1"/>
      <c r="L509" s="1"/>
      <c r="M509" s="1"/>
      <c r="N509" s="1"/>
      <c r="O509" s="1"/>
      <c r="P509" s="1"/>
      <c r="Q509" s="1"/>
      <c r="R509" s="1"/>
      <c r="S509" s="1"/>
      <c r="T509" s="1"/>
    </row>
    <row r="510" spans="1:20" ht="33.75" hidden="1" customHeight="1">
      <c r="A510" s="1" t="s">
        <v>1580</v>
      </c>
      <c r="B510" s="1" t="s">
        <v>1196</v>
      </c>
      <c r="C510" s="4">
        <v>39856.070138888892</v>
      </c>
      <c r="D510" s="1" t="s">
        <v>14</v>
      </c>
      <c r="E510" s="1" t="s">
        <v>1572</v>
      </c>
      <c r="F510" s="2" t="s">
        <v>1581</v>
      </c>
      <c r="G510" s="1">
        <f ca="1">IFERROR(__xludf.DUMMYFUNCTION("COUNTA(SPLIT(F510,"" ""))"),31)</f>
        <v>31</v>
      </c>
      <c r="H510" s="1">
        <v>31</v>
      </c>
      <c r="I510" s="1"/>
      <c r="J510" s="1"/>
      <c r="K510" s="1"/>
      <c r="L510" s="1"/>
      <c r="M510" s="1"/>
      <c r="N510" s="1"/>
      <c r="O510" s="1"/>
      <c r="P510" s="1"/>
      <c r="Q510" s="1"/>
      <c r="R510" s="1"/>
      <c r="S510" s="1"/>
      <c r="T510" s="1"/>
    </row>
    <row r="511" spans="1:20" ht="33.75" hidden="1" customHeight="1">
      <c r="A511" s="1" t="s">
        <v>1582</v>
      </c>
      <c r="B511" s="1" t="s">
        <v>1196</v>
      </c>
      <c r="C511" s="4">
        <v>39856.07708333333</v>
      </c>
      <c r="D511" s="1" t="s">
        <v>320</v>
      </c>
      <c r="E511" s="1" t="s">
        <v>1583</v>
      </c>
      <c r="F511" s="2" t="s">
        <v>1585</v>
      </c>
      <c r="G511" s="1">
        <f ca="1">IFERROR(__xludf.DUMMYFUNCTION("COUNTA(SPLIT(F511,"" ""))"),277)</f>
        <v>277</v>
      </c>
      <c r="H511" s="1">
        <v>277</v>
      </c>
      <c r="I511" s="1"/>
      <c r="J511" s="1"/>
      <c r="K511" s="1"/>
      <c r="L511" s="1"/>
      <c r="M511" s="1"/>
      <c r="N511" s="1"/>
      <c r="O511" s="1"/>
      <c r="P511" s="1"/>
      <c r="Q511" s="1"/>
      <c r="R511" s="1"/>
      <c r="S511" s="1"/>
      <c r="T511" s="1"/>
    </row>
    <row r="512" spans="1:20" ht="33.75" hidden="1" customHeight="1">
      <c r="A512" s="1" t="s">
        <v>1586</v>
      </c>
      <c r="B512" s="1" t="s">
        <v>1196</v>
      </c>
      <c r="C512" s="4">
        <v>39856.077777777777</v>
      </c>
      <c r="D512" s="1" t="s">
        <v>320</v>
      </c>
      <c r="E512" s="1" t="s">
        <v>1582</v>
      </c>
      <c r="F512" s="2" t="s">
        <v>1588</v>
      </c>
      <c r="G512" s="1">
        <f ca="1">IFERROR(__xludf.DUMMYFUNCTION("COUNTA(SPLIT(F512,"" ""))"),168)</f>
        <v>168</v>
      </c>
      <c r="H512" s="1">
        <v>168</v>
      </c>
      <c r="I512" s="1"/>
      <c r="J512" s="1"/>
      <c r="K512" s="1"/>
      <c r="L512" s="1"/>
      <c r="M512" s="1"/>
      <c r="N512" s="1"/>
      <c r="O512" s="1"/>
      <c r="P512" s="1"/>
      <c r="Q512" s="1"/>
      <c r="R512" s="1"/>
      <c r="S512" s="1"/>
      <c r="T512" s="1"/>
    </row>
    <row r="513" spans="1:20" ht="33.75" customHeight="1">
      <c r="A513" s="1" t="s">
        <v>1589</v>
      </c>
      <c r="B513" s="1" t="s">
        <v>1519</v>
      </c>
      <c r="C513" s="4">
        <v>39856.090277777781</v>
      </c>
      <c r="D513" s="1" t="s">
        <v>14</v>
      </c>
      <c r="E513" s="1"/>
      <c r="F513" s="2" t="s">
        <v>1591</v>
      </c>
      <c r="G513" s="1">
        <f ca="1">IFERROR(__xludf.DUMMYFUNCTION("COUNTA(SPLIT(F513,"" ""))"),222)</f>
        <v>222</v>
      </c>
      <c r="H513" s="1">
        <v>222</v>
      </c>
      <c r="I513" s="1"/>
      <c r="J513" s="1"/>
      <c r="K513" s="1"/>
      <c r="L513" s="1"/>
      <c r="M513" s="1"/>
      <c r="N513" s="1"/>
      <c r="O513" s="1"/>
      <c r="P513" s="1"/>
      <c r="Q513" s="1"/>
      <c r="R513" s="1"/>
      <c r="S513" s="1"/>
      <c r="T513" s="1"/>
    </row>
    <row r="514" spans="1:20" ht="33.75" customHeight="1">
      <c r="A514" s="1" t="s">
        <v>12</v>
      </c>
      <c r="B514" s="1" t="s">
        <v>1519</v>
      </c>
      <c r="C514" s="4">
        <v>39856.09888888889</v>
      </c>
      <c r="D514" s="1" t="s">
        <v>175</v>
      </c>
      <c r="E514" s="1"/>
      <c r="F514" s="2" t="s">
        <v>1593</v>
      </c>
      <c r="G514" s="1">
        <f ca="1">IFERROR(__xludf.DUMMYFUNCTION("COUNTA(SPLIT(F514,"" ""))"),417)</f>
        <v>417</v>
      </c>
      <c r="H514" s="1">
        <v>417</v>
      </c>
      <c r="I514" s="1"/>
      <c r="J514" s="1"/>
      <c r="K514" s="1"/>
      <c r="L514" s="1"/>
      <c r="M514" s="1"/>
      <c r="N514" s="1"/>
      <c r="O514" s="1"/>
      <c r="P514" s="1"/>
      <c r="Q514" s="1"/>
      <c r="R514" s="1"/>
      <c r="S514" s="1"/>
      <c r="T514" s="1"/>
    </row>
    <row r="515" spans="1:20" ht="33.75" customHeight="1">
      <c r="A515" s="1" t="s">
        <v>1594</v>
      </c>
      <c r="B515" s="1" t="s">
        <v>1196</v>
      </c>
      <c r="C515" s="4">
        <v>39856.163888888892</v>
      </c>
      <c r="D515" s="1" t="s">
        <v>54</v>
      </c>
      <c r="E515" s="1"/>
      <c r="F515" s="2" t="s">
        <v>1595</v>
      </c>
      <c r="G515" s="1">
        <f ca="1">IFERROR(__xludf.DUMMYFUNCTION("COUNTA(SPLIT(F515,"" ""))"),57)</f>
        <v>57</v>
      </c>
      <c r="H515" s="1">
        <v>57</v>
      </c>
      <c r="I515" s="1"/>
      <c r="J515" s="1"/>
      <c r="K515" s="1"/>
      <c r="L515" s="1"/>
      <c r="M515" s="1"/>
      <c r="N515" s="1"/>
      <c r="O515" s="1"/>
      <c r="P515" s="1"/>
      <c r="Q515" s="1"/>
      <c r="R515" s="1"/>
      <c r="S515" s="1"/>
      <c r="T515" s="1"/>
    </row>
    <row r="516" spans="1:20" ht="33.75" customHeight="1">
      <c r="A516" s="1" t="s">
        <v>1596</v>
      </c>
      <c r="B516" s="1" t="s">
        <v>1519</v>
      </c>
      <c r="C516" s="4">
        <v>39856.188888888886</v>
      </c>
      <c r="D516" s="1" t="s">
        <v>1597</v>
      </c>
      <c r="E516" s="1"/>
      <c r="F516" s="2" t="s">
        <v>1598</v>
      </c>
      <c r="G516" s="1">
        <f ca="1">IFERROR(__xludf.DUMMYFUNCTION("COUNTA(SPLIT(F516,"" ""))"),10)</f>
        <v>10</v>
      </c>
      <c r="H516" s="1">
        <v>10</v>
      </c>
      <c r="I516" s="1"/>
      <c r="J516" s="1"/>
      <c r="K516" s="1"/>
      <c r="L516" s="1"/>
      <c r="M516" s="1"/>
      <c r="N516" s="1"/>
      <c r="O516" s="1"/>
      <c r="P516" s="1"/>
      <c r="Q516" s="1"/>
      <c r="R516" s="1"/>
      <c r="S516" s="1"/>
      <c r="T516" s="1"/>
    </row>
    <row r="517" spans="1:20" ht="33.75" hidden="1" customHeight="1">
      <c r="A517" s="1" t="s">
        <v>1599</v>
      </c>
      <c r="B517" s="1" t="s">
        <v>1196</v>
      </c>
      <c r="C517" s="4">
        <v>39856.226388888892</v>
      </c>
      <c r="D517" s="1" t="s">
        <v>320</v>
      </c>
      <c r="E517" s="1">
        <v>472</v>
      </c>
      <c r="F517" s="2" t="s">
        <v>1600</v>
      </c>
      <c r="G517" s="1">
        <f ca="1">IFERROR(__xludf.DUMMYFUNCTION("COUNTA(SPLIT(F517,"" ""))"),101)</f>
        <v>101</v>
      </c>
      <c r="H517" s="1">
        <v>101</v>
      </c>
      <c r="I517" s="1"/>
      <c r="J517" s="1"/>
      <c r="K517" s="1"/>
      <c r="L517" s="1"/>
      <c r="M517" s="1"/>
      <c r="N517" s="1"/>
      <c r="O517" s="1"/>
      <c r="P517" s="1"/>
      <c r="Q517" s="1"/>
      <c r="R517" s="1"/>
      <c r="S517" s="1"/>
      <c r="T517" s="1"/>
    </row>
    <row r="518" spans="1:20" ht="33.75" hidden="1" customHeight="1">
      <c r="A518" s="1" t="s">
        <v>1601</v>
      </c>
      <c r="B518" s="1" t="s">
        <v>1196</v>
      </c>
      <c r="C518" s="4">
        <v>39856.269444444442</v>
      </c>
      <c r="D518" s="1" t="s">
        <v>54</v>
      </c>
      <c r="E518" s="1" t="s">
        <v>1602</v>
      </c>
      <c r="F518" s="2" t="s">
        <v>1603</v>
      </c>
      <c r="G518" s="1">
        <f ca="1">IFERROR(__xludf.DUMMYFUNCTION("COUNTA(SPLIT(F518,"" ""))"),221)</f>
        <v>221</v>
      </c>
      <c r="H518" s="1">
        <v>221</v>
      </c>
      <c r="I518" s="1"/>
      <c r="J518" s="1"/>
      <c r="K518" s="1"/>
      <c r="L518" s="1"/>
      <c r="M518" s="1"/>
      <c r="N518" s="1"/>
      <c r="O518" s="1"/>
      <c r="P518" s="1"/>
      <c r="Q518" s="1"/>
      <c r="R518" s="1"/>
      <c r="S518" s="1"/>
      <c r="T518" s="1"/>
    </row>
    <row r="519" spans="1:20" ht="33.75" customHeight="1">
      <c r="A519" s="1" t="s">
        <v>1604</v>
      </c>
      <c r="B519" s="1" t="s">
        <v>1196</v>
      </c>
      <c r="C519" s="4">
        <v>39856.271527777775</v>
      </c>
      <c r="D519" s="1" t="s">
        <v>54</v>
      </c>
      <c r="E519" s="1"/>
      <c r="F519" s="2" t="s">
        <v>1607</v>
      </c>
      <c r="G519" s="1">
        <f ca="1">IFERROR(__xludf.DUMMYFUNCTION("COUNTA(SPLIT(F519,"" ""))"),72)</f>
        <v>72</v>
      </c>
      <c r="H519" s="1">
        <v>72</v>
      </c>
      <c r="I519" s="1"/>
      <c r="J519" s="1"/>
      <c r="K519" s="1"/>
      <c r="L519" s="1"/>
      <c r="M519" s="1"/>
      <c r="N519" s="1"/>
      <c r="O519" s="1"/>
      <c r="P519" s="1"/>
      <c r="Q519" s="1"/>
      <c r="R519" s="1"/>
      <c r="S519" s="1"/>
      <c r="T519" s="1"/>
    </row>
    <row r="520" spans="1:20" ht="33.75" hidden="1" customHeight="1">
      <c r="A520" s="1" t="s">
        <v>1608</v>
      </c>
      <c r="B520" s="1" t="s">
        <v>1196</v>
      </c>
      <c r="C520" s="4">
        <v>39856.293749999997</v>
      </c>
      <c r="D520" s="1" t="s">
        <v>1528</v>
      </c>
      <c r="E520" s="1" t="s">
        <v>1609</v>
      </c>
      <c r="F520" s="2" t="s">
        <v>1610</v>
      </c>
      <c r="G520" s="1">
        <f ca="1">IFERROR(__xludf.DUMMYFUNCTION("COUNTA(SPLIT(F520,"" ""))"),297)</f>
        <v>297</v>
      </c>
      <c r="H520" s="1">
        <v>297</v>
      </c>
      <c r="I520" s="1"/>
      <c r="J520" s="1"/>
      <c r="K520" s="1"/>
      <c r="L520" s="1"/>
      <c r="M520" s="1"/>
      <c r="N520" s="1"/>
      <c r="O520" s="1"/>
      <c r="P520" s="1"/>
      <c r="Q520" s="1"/>
      <c r="R520" s="1"/>
      <c r="S520" s="1"/>
      <c r="T520" s="1"/>
    </row>
    <row r="521" spans="1:20" ht="33.75" customHeight="1">
      <c r="A521" s="1" t="s">
        <v>1611</v>
      </c>
      <c r="B521" s="1" t="s">
        <v>846</v>
      </c>
      <c r="C521" s="4">
        <v>39856.313888888886</v>
      </c>
      <c r="D521" s="1" t="s">
        <v>84</v>
      </c>
      <c r="E521" s="1"/>
      <c r="F521" s="2" t="s">
        <v>1613</v>
      </c>
      <c r="G521" s="1">
        <f ca="1">IFERROR(__xludf.DUMMYFUNCTION("COUNTA(SPLIT(F521,"" ""))"),43)</f>
        <v>43</v>
      </c>
      <c r="H521" s="1">
        <v>43</v>
      </c>
      <c r="I521" s="1"/>
      <c r="J521" s="1"/>
      <c r="K521" s="1"/>
      <c r="L521" s="1"/>
      <c r="M521" s="1"/>
      <c r="N521" s="1"/>
      <c r="O521" s="1"/>
      <c r="P521" s="1"/>
      <c r="Q521" s="1"/>
      <c r="R521" s="1"/>
      <c r="S521" s="1"/>
      <c r="T521" s="1"/>
    </row>
    <row r="522" spans="1:20" ht="33.75" customHeight="1">
      <c r="A522" s="1" t="s">
        <v>1614</v>
      </c>
      <c r="B522" s="1" t="s">
        <v>846</v>
      </c>
      <c r="C522" s="4">
        <v>39856.32708333333</v>
      </c>
      <c r="D522" s="1" t="s">
        <v>84</v>
      </c>
      <c r="E522" s="1"/>
      <c r="F522" s="2" t="s">
        <v>1616</v>
      </c>
      <c r="G522" s="1">
        <f ca="1">IFERROR(__xludf.DUMMYFUNCTION("COUNTA(SPLIT(F522,"" ""))"),87)</f>
        <v>87</v>
      </c>
      <c r="H522" s="1">
        <v>87</v>
      </c>
      <c r="I522" s="1"/>
      <c r="J522" s="1"/>
      <c r="K522" s="1"/>
      <c r="L522" s="1"/>
      <c r="M522" s="1"/>
      <c r="N522" s="1"/>
      <c r="O522" s="1"/>
      <c r="P522" s="1"/>
      <c r="Q522" s="1"/>
      <c r="R522" s="1"/>
      <c r="S522" s="1"/>
      <c r="T522" s="1"/>
    </row>
    <row r="523" spans="1:20" ht="33.75" customHeight="1">
      <c r="A523" s="1" t="s">
        <v>1617</v>
      </c>
      <c r="B523" s="1" t="s">
        <v>1519</v>
      </c>
      <c r="C523" s="4">
        <v>39856.34652777778</v>
      </c>
      <c r="D523" s="1" t="s">
        <v>1618</v>
      </c>
      <c r="E523" s="1"/>
      <c r="F523" s="2" t="s">
        <v>1620</v>
      </c>
      <c r="G523" s="1">
        <f ca="1">IFERROR(__xludf.DUMMYFUNCTION("COUNTA(SPLIT(F523,"" ""))"),454)</f>
        <v>454</v>
      </c>
      <c r="H523" s="1">
        <v>454</v>
      </c>
      <c r="I523" s="1"/>
      <c r="J523" s="1"/>
      <c r="K523" s="1"/>
      <c r="L523" s="1"/>
      <c r="M523" s="1"/>
      <c r="N523" s="1"/>
      <c r="O523" s="1"/>
      <c r="P523" s="1"/>
      <c r="Q523" s="1"/>
      <c r="R523" s="1"/>
      <c r="S523" s="1"/>
      <c r="T523" s="1"/>
    </row>
    <row r="524" spans="1:20" ht="33.75" customHeight="1">
      <c r="A524" s="1" t="s">
        <v>1621</v>
      </c>
      <c r="B524" s="1" t="s">
        <v>1196</v>
      </c>
      <c r="C524" s="4">
        <v>39856.40902777778</v>
      </c>
      <c r="D524" s="1" t="s">
        <v>255</v>
      </c>
      <c r="E524" s="1"/>
      <c r="F524" s="2" t="s">
        <v>1623</v>
      </c>
      <c r="G524" s="1">
        <f ca="1">IFERROR(__xludf.DUMMYFUNCTION("COUNTA(SPLIT(F524,"" ""))"),297)</f>
        <v>297</v>
      </c>
      <c r="H524" s="1">
        <v>297</v>
      </c>
      <c r="I524" s="1"/>
      <c r="J524" s="1"/>
      <c r="K524" s="1"/>
      <c r="L524" s="1"/>
      <c r="M524" s="1"/>
      <c r="N524" s="1"/>
      <c r="O524" s="1"/>
      <c r="P524" s="1"/>
      <c r="Q524" s="1"/>
      <c r="R524" s="1"/>
      <c r="S524" s="1"/>
      <c r="T524" s="1"/>
    </row>
    <row r="525" spans="1:20" ht="33.75" hidden="1" customHeight="1">
      <c r="A525" s="1" t="s">
        <v>1624</v>
      </c>
      <c r="B525" s="1" t="s">
        <v>1196</v>
      </c>
      <c r="C525" s="4">
        <v>39856.418749999997</v>
      </c>
      <c r="D525" s="1" t="s">
        <v>54</v>
      </c>
      <c r="E525" s="1" t="s">
        <v>1608</v>
      </c>
      <c r="F525" s="2" t="s">
        <v>1625</v>
      </c>
      <c r="G525" s="1">
        <f ca="1">IFERROR(__xludf.DUMMYFUNCTION("COUNTA(SPLIT(F525,"" ""))"),131)</f>
        <v>131</v>
      </c>
      <c r="H525" s="1">
        <v>131</v>
      </c>
      <c r="I525" s="1"/>
      <c r="J525" s="1"/>
      <c r="K525" s="1"/>
      <c r="L525" s="1"/>
      <c r="M525" s="1"/>
      <c r="N525" s="1"/>
      <c r="O525" s="1"/>
      <c r="P525" s="1"/>
      <c r="Q525" s="1"/>
      <c r="R525" s="1"/>
      <c r="S525" s="1"/>
      <c r="T525" s="1"/>
    </row>
    <row r="526" spans="1:20" ht="33.75" customHeight="1">
      <c r="A526" s="1" t="s">
        <v>1626</v>
      </c>
      <c r="B526" s="1" t="s">
        <v>1196</v>
      </c>
      <c r="C526" s="4">
        <v>39856.418749999997</v>
      </c>
      <c r="D526" s="1" t="s">
        <v>255</v>
      </c>
      <c r="E526" s="1"/>
      <c r="F526" s="2" t="s">
        <v>1628</v>
      </c>
      <c r="G526" s="1">
        <f ca="1">IFERROR(__xludf.DUMMYFUNCTION("COUNTA(SPLIT(F526,"" ""))"),146)</f>
        <v>146</v>
      </c>
      <c r="H526" s="1">
        <v>146</v>
      </c>
      <c r="I526" s="1"/>
      <c r="J526" s="1"/>
      <c r="K526" s="1"/>
      <c r="L526" s="1"/>
      <c r="M526" s="1"/>
      <c r="N526" s="1"/>
      <c r="O526" s="1"/>
      <c r="P526" s="1"/>
      <c r="Q526" s="1"/>
      <c r="R526" s="1"/>
      <c r="S526" s="1"/>
      <c r="T526" s="1"/>
    </row>
    <row r="527" spans="1:20" ht="33.75" hidden="1" customHeight="1">
      <c r="A527" s="1" t="s">
        <v>1629</v>
      </c>
      <c r="B527" s="1" t="s">
        <v>1196</v>
      </c>
      <c r="C527" s="4">
        <v>39856.424305555556</v>
      </c>
      <c r="D527" s="1" t="s">
        <v>255</v>
      </c>
      <c r="E527" s="1" t="s">
        <v>1624</v>
      </c>
      <c r="F527" s="2" t="s">
        <v>1631</v>
      </c>
      <c r="G527" s="1">
        <f ca="1">IFERROR(__xludf.DUMMYFUNCTION("COUNTA(SPLIT(F527,"" ""))"),150)</f>
        <v>150</v>
      </c>
      <c r="H527" s="1">
        <v>150</v>
      </c>
      <c r="I527" s="1"/>
      <c r="J527" s="1"/>
      <c r="K527" s="1"/>
      <c r="L527" s="1"/>
      <c r="M527" s="1"/>
      <c r="N527" s="1"/>
      <c r="O527" s="1"/>
      <c r="P527" s="1"/>
      <c r="Q527" s="1"/>
      <c r="R527" s="1"/>
      <c r="S527" s="1"/>
      <c r="T527" s="1"/>
    </row>
    <row r="528" spans="1:20" ht="33.75" customHeight="1">
      <c r="A528" s="1" t="s">
        <v>1632</v>
      </c>
      <c r="B528" s="1" t="s">
        <v>846</v>
      </c>
      <c r="C528" s="4">
        <v>39856.448611111111</v>
      </c>
      <c r="D528" s="1" t="s">
        <v>474</v>
      </c>
      <c r="E528" s="1"/>
      <c r="F528" s="2" t="s">
        <v>1633</v>
      </c>
      <c r="G528" s="1">
        <f ca="1">IFERROR(__xludf.DUMMYFUNCTION("COUNTA(SPLIT(F528,"" ""))"),128)</f>
        <v>128</v>
      </c>
      <c r="H528" s="1">
        <v>128</v>
      </c>
      <c r="I528" s="1"/>
      <c r="J528" s="1"/>
      <c r="K528" s="1"/>
      <c r="L528" s="1"/>
      <c r="M528" s="1"/>
      <c r="N528" s="1"/>
      <c r="O528" s="1"/>
      <c r="P528" s="1"/>
      <c r="Q528" s="1"/>
      <c r="R528" s="1"/>
      <c r="S528" s="1"/>
      <c r="T528" s="1"/>
    </row>
    <row r="529" spans="1:20" ht="33.75" customHeight="1">
      <c r="A529" s="1" t="s">
        <v>1634</v>
      </c>
      <c r="B529" s="1" t="s">
        <v>680</v>
      </c>
      <c r="C529" s="4">
        <v>39856.454861111109</v>
      </c>
      <c r="D529" s="1" t="s">
        <v>830</v>
      </c>
      <c r="E529" s="1"/>
      <c r="F529" s="2" t="s">
        <v>1636</v>
      </c>
      <c r="G529" s="1">
        <f ca="1">IFERROR(__xludf.DUMMYFUNCTION("COUNTA(SPLIT(F529,"" ""))"),181)</f>
        <v>181</v>
      </c>
      <c r="H529" s="1">
        <v>181</v>
      </c>
      <c r="I529" s="1"/>
      <c r="J529" s="1"/>
      <c r="K529" s="1"/>
      <c r="L529" s="1"/>
      <c r="M529" s="1"/>
      <c r="N529" s="1"/>
      <c r="O529" s="1"/>
      <c r="P529" s="1"/>
      <c r="Q529" s="1"/>
      <c r="R529" s="1"/>
      <c r="S529" s="1"/>
      <c r="T529" s="1"/>
    </row>
    <row r="530" spans="1:20" ht="33.75" customHeight="1">
      <c r="A530" s="1" t="s">
        <v>1637</v>
      </c>
      <c r="B530" s="1" t="s">
        <v>846</v>
      </c>
      <c r="C530" s="4">
        <v>39856.480555555558</v>
      </c>
      <c r="D530" s="1" t="s">
        <v>474</v>
      </c>
      <c r="E530" s="1"/>
      <c r="F530" s="2" t="s">
        <v>1638</v>
      </c>
      <c r="G530" s="1">
        <f ca="1">IFERROR(__xludf.DUMMYFUNCTION("COUNTA(SPLIT(F530,"" ""))"),121)</f>
        <v>121</v>
      </c>
      <c r="H530" s="1">
        <v>121</v>
      </c>
      <c r="I530" s="1"/>
      <c r="J530" s="1"/>
      <c r="K530" s="1"/>
      <c r="L530" s="1"/>
      <c r="M530" s="1"/>
      <c r="N530" s="1"/>
      <c r="O530" s="1"/>
      <c r="P530" s="1"/>
      <c r="Q530" s="1"/>
      <c r="R530" s="1"/>
      <c r="S530" s="1"/>
      <c r="T530" s="1"/>
    </row>
    <row r="531" spans="1:20" ht="33.75" customHeight="1">
      <c r="A531" s="1" t="s">
        <v>1639</v>
      </c>
      <c r="B531" s="1" t="s">
        <v>1519</v>
      </c>
      <c r="C531" s="4">
        <v>39856.493750000001</v>
      </c>
      <c r="D531" s="1" t="s">
        <v>54</v>
      </c>
      <c r="E531" s="1"/>
      <c r="F531" s="2" t="s">
        <v>1641</v>
      </c>
      <c r="G531" s="1">
        <f ca="1">IFERROR(__xludf.DUMMYFUNCTION("COUNTA(SPLIT(F531,"" ""))"),340)</f>
        <v>340</v>
      </c>
      <c r="H531" s="1">
        <v>340</v>
      </c>
      <c r="I531" s="1"/>
      <c r="J531" s="1"/>
      <c r="K531" s="1"/>
      <c r="L531" s="1"/>
      <c r="M531" s="1"/>
      <c r="N531" s="1"/>
      <c r="O531" s="1"/>
      <c r="P531" s="1"/>
      <c r="Q531" s="1"/>
      <c r="R531" s="1"/>
      <c r="S531" s="1"/>
      <c r="T531" s="1"/>
    </row>
    <row r="532" spans="1:20" ht="33.75" customHeight="1">
      <c r="A532" s="1" t="s">
        <v>1642</v>
      </c>
      <c r="B532" s="1" t="s">
        <v>846</v>
      </c>
      <c r="C532" s="4">
        <v>39856.543749999997</v>
      </c>
      <c r="D532" s="1" t="s">
        <v>381</v>
      </c>
      <c r="E532" s="1"/>
      <c r="F532" s="2" t="s">
        <v>1643</v>
      </c>
      <c r="G532" s="1">
        <f ca="1">IFERROR(__xludf.DUMMYFUNCTION("COUNTA(SPLIT(F532,"" ""))"),103)</f>
        <v>103</v>
      </c>
      <c r="H532" s="1">
        <v>103</v>
      </c>
      <c r="I532" s="1"/>
      <c r="J532" s="1"/>
      <c r="K532" s="1"/>
      <c r="L532" s="1"/>
      <c r="M532" s="1"/>
      <c r="N532" s="1"/>
      <c r="O532" s="1"/>
      <c r="P532" s="1"/>
      <c r="Q532" s="1"/>
      <c r="R532" s="1"/>
      <c r="S532" s="1"/>
      <c r="T532" s="1"/>
    </row>
    <row r="533" spans="1:20" ht="33.75" customHeight="1">
      <c r="A533" s="1" t="s">
        <v>1644</v>
      </c>
      <c r="B533" s="1" t="s">
        <v>1519</v>
      </c>
      <c r="C533" s="4">
        <v>39856.550694444442</v>
      </c>
      <c r="D533" s="1" t="s">
        <v>54</v>
      </c>
      <c r="E533" s="1"/>
      <c r="F533" s="2" t="s">
        <v>1646</v>
      </c>
      <c r="G533" s="1">
        <f ca="1">IFERROR(__xludf.DUMMYFUNCTION("COUNTA(SPLIT(F533,"" ""))"),383)</f>
        <v>383</v>
      </c>
      <c r="H533" s="1">
        <v>383</v>
      </c>
      <c r="I533" s="1"/>
      <c r="J533" s="1"/>
      <c r="K533" s="1"/>
      <c r="L533" s="1"/>
      <c r="M533" s="1"/>
      <c r="N533" s="1"/>
      <c r="O533" s="1"/>
      <c r="P533" s="1"/>
      <c r="Q533" s="1"/>
      <c r="R533" s="1"/>
      <c r="S533" s="1"/>
      <c r="T533" s="1"/>
    </row>
    <row r="534" spans="1:20" ht="33.75" customHeight="1">
      <c r="A534" s="1" t="s">
        <v>1647</v>
      </c>
      <c r="B534" s="1" t="s">
        <v>1196</v>
      </c>
      <c r="C534" s="4">
        <v>39856.557638888888</v>
      </c>
      <c r="D534" s="1" t="s">
        <v>14</v>
      </c>
      <c r="E534" s="1"/>
      <c r="F534" s="2" t="s">
        <v>1649</v>
      </c>
      <c r="G534" s="1">
        <f ca="1">IFERROR(__xludf.DUMMYFUNCTION("COUNTA(SPLIT(F534,"" ""))"),512)</f>
        <v>512</v>
      </c>
      <c r="H534" s="1">
        <v>512</v>
      </c>
      <c r="I534" s="1"/>
      <c r="J534" s="1"/>
      <c r="K534" s="1"/>
      <c r="L534" s="1"/>
      <c r="M534" s="1"/>
      <c r="N534" s="1"/>
      <c r="O534" s="1"/>
      <c r="P534" s="1"/>
      <c r="Q534" s="1"/>
      <c r="R534" s="1"/>
      <c r="S534" s="1"/>
      <c r="T534" s="1"/>
    </row>
    <row r="535" spans="1:20" ht="33.75" hidden="1" customHeight="1">
      <c r="A535" s="1" t="s">
        <v>1650</v>
      </c>
      <c r="B535" s="1" t="s">
        <v>846</v>
      </c>
      <c r="C535" s="4">
        <v>39856.561805555553</v>
      </c>
      <c r="D535" s="1" t="s">
        <v>84</v>
      </c>
      <c r="E535" s="1" t="s">
        <v>1651</v>
      </c>
      <c r="F535" s="2" t="s">
        <v>1652</v>
      </c>
      <c r="G535" s="1">
        <f ca="1">IFERROR(__xludf.DUMMYFUNCTION("COUNTA(SPLIT(F535,"" ""))"),38)</f>
        <v>38</v>
      </c>
      <c r="H535" s="1">
        <v>38</v>
      </c>
      <c r="I535" s="1"/>
      <c r="J535" s="1"/>
      <c r="K535" s="1"/>
      <c r="L535" s="1"/>
      <c r="M535" s="1"/>
      <c r="N535" s="1"/>
      <c r="O535" s="1"/>
      <c r="P535" s="1"/>
      <c r="Q535" s="1"/>
      <c r="R535" s="1"/>
      <c r="S535" s="1"/>
      <c r="T535" s="1"/>
    </row>
    <row r="536" spans="1:20" ht="33.75" customHeight="1">
      <c r="A536" s="1" t="s">
        <v>1653</v>
      </c>
      <c r="B536" s="1" t="s">
        <v>846</v>
      </c>
      <c r="C536" s="4">
        <v>39856.5625</v>
      </c>
      <c r="D536" s="1" t="s">
        <v>54</v>
      </c>
      <c r="E536" s="1"/>
      <c r="F536" s="2" t="s">
        <v>1654</v>
      </c>
      <c r="G536" s="1">
        <f ca="1">IFERROR(__xludf.DUMMYFUNCTION("COUNTA(SPLIT(F536,"" ""))"),47)</f>
        <v>47</v>
      </c>
      <c r="H536" s="1">
        <v>47</v>
      </c>
      <c r="I536" s="1"/>
      <c r="J536" s="1"/>
      <c r="K536" s="1"/>
      <c r="L536" s="1"/>
      <c r="M536" s="1"/>
      <c r="N536" s="1"/>
      <c r="O536" s="1"/>
      <c r="P536" s="1"/>
      <c r="Q536" s="1"/>
      <c r="R536" s="1"/>
      <c r="S536" s="1"/>
      <c r="T536" s="1"/>
    </row>
    <row r="537" spans="1:20" ht="33.75" customHeight="1">
      <c r="A537" s="1" t="s">
        <v>1655</v>
      </c>
      <c r="B537" s="1" t="s">
        <v>1519</v>
      </c>
      <c r="C537" s="4">
        <v>39856.569444444445</v>
      </c>
      <c r="D537" s="1" t="s">
        <v>772</v>
      </c>
      <c r="E537" s="1"/>
      <c r="F537" s="2" t="s">
        <v>1657</v>
      </c>
      <c r="G537" s="1">
        <f ca="1">IFERROR(__xludf.DUMMYFUNCTION("COUNTA(SPLIT(F537,"" ""))"),29)</f>
        <v>29</v>
      </c>
      <c r="H537" s="1">
        <v>29</v>
      </c>
      <c r="I537" s="1"/>
      <c r="J537" s="1"/>
      <c r="K537" s="1"/>
      <c r="L537" s="1"/>
      <c r="M537" s="1"/>
      <c r="N537" s="1"/>
      <c r="O537" s="1"/>
      <c r="P537" s="1"/>
      <c r="Q537" s="1"/>
      <c r="R537" s="1"/>
      <c r="S537" s="1"/>
      <c r="T537" s="1"/>
    </row>
    <row r="538" spans="1:20" ht="33.75" hidden="1" customHeight="1">
      <c r="A538" s="1" t="s">
        <v>1658</v>
      </c>
      <c r="B538" s="1" t="s">
        <v>1196</v>
      </c>
      <c r="C538" s="4">
        <v>39856.57708333333</v>
      </c>
      <c r="D538" s="1" t="s">
        <v>14</v>
      </c>
      <c r="E538" s="1" t="s">
        <v>1659</v>
      </c>
      <c r="F538" s="2" t="s">
        <v>1661</v>
      </c>
      <c r="G538" s="1">
        <f ca="1">IFERROR(__xludf.DUMMYFUNCTION("COUNTA(SPLIT(F538,"" ""))"),356)</f>
        <v>356</v>
      </c>
      <c r="H538" s="1">
        <v>356</v>
      </c>
      <c r="I538" s="1"/>
      <c r="J538" s="1"/>
      <c r="K538" s="1"/>
      <c r="L538" s="1"/>
      <c r="M538" s="1"/>
      <c r="N538" s="1"/>
      <c r="O538" s="1"/>
      <c r="P538" s="1"/>
      <c r="Q538" s="1"/>
      <c r="R538" s="1"/>
      <c r="S538" s="1"/>
      <c r="T538" s="1"/>
    </row>
    <row r="539" spans="1:20" ht="33.75" hidden="1" customHeight="1">
      <c r="A539" s="1" t="s">
        <v>1662</v>
      </c>
      <c r="B539" s="1" t="s">
        <v>1519</v>
      </c>
      <c r="C539" s="4">
        <v>39856.580555555556</v>
      </c>
      <c r="D539" s="1" t="s">
        <v>54</v>
      </c>
      <c r="E539" s="1" t="s">
        <v>1663</v>
      </c>
      <c r="F539" s="2" t="s">
        <v>1665</v>
      </c>
      <c r="G539" s="1">
        <f ca="1">IFERROR(__xludf.DUMMYFUNCTION("COUNTA(SPLIT(F539,"" ""))"),204)</f>
        <v>204</v>
      </c>
      <c r="H539" s="1">
        <v>204</v>
      </c>
      <c r="I539" s="1"/>
      <c r="J539" s="1"/>
      <c r="K539" s="1"/>
      <c r="L539" s="1"/>
      <c r="M539" s="1"/>
      <c r="N539" s="1"/>
      <c r="O539" s="1"/>
      <c r="P539" s="1"/>
      <c r="Q539" s="1"/>
      <c r="R539" s="1"/>
      <c r="S539" s="1"/>
      <c r="T539" s="1"/>
    </row>
    <row r="540" spans="1:20" ht="33.75" customHeight="1">
      <c r="A540" s="1" t="s">
        <v>1666</v>
      </c>
      <c r="B540" s="1" t="s">
        <v>846</v>
      </c>
      <c r="C540" s="4">
        <v>39856.580555555556</v>
      </c>
      <c r="D540" s="1" t="s">
        <v>84</v>
      </c>
      <c r="E540" s="1"/>
      <c r="F540" s="2" t="s">
        <v>1668</v>
      </c>
      <c r="G540" s="1">
        <f ca="1">IFERROR(__xludf.DUMMYFUNCTION("COUNTA(SPLIT(F540,"" ""))"),83)</f>
        <v>83</v>
      </c>
      <c r="H540" s="1">
        <v>83</v>
      </c>
      <c r="I540" s="1"/>
      <c r="J540" s="1"/>
      <c r="K540" s="1"/>
      <c r="L540" s="1"/>
      <c r="M540" s="1"/>
      <c r="N540" s="1"/>
      <c r="O540" s="1"/>
      <c r="P540" s="1"/>
      <c r="Q540" s="1"/>
      <c r="R540" s="1"/>
      <c r="S540" s="1"/>
      <c r="T540" s="1"/>
    </row>
    <row r="541" spans="1:20" ht="33.75" hidden="1" customHeight="1">
      <c r="A541" s="1" t="s">
        <v>1669</v>
      </c>
      <c r="B541" s="1" t="s">
        <v>1519</v>
      </c>
      <c r="C541" s="4">
        <v>39856.587500000001</v>
      </c>
      <c r="D541" s="1" t="s">
        <v>54</v>
      </c>
      <c r="E541" s="1" t="s">
        <v>1670</v>
      </c>
      <c r="F541" s="2" t="s">
        <v>1673</v>
      </c>
      <c r="G541" s="1">
        <f ca="1">IFERROR(__xludf.DUMMYFUNCTION("COUNTA(SPLIT(F541,"" ""))"),86)</f>
        <v>86</v>
      </c>
      <c r="H541" s="1">
        <v>86</v>
      </c>
      <c r="I541" s="1"/>
      <c r="J541" s="1"/>
      <c r="K541" s="1"/>
      <c r="L541" s="1"/>
      <c r="M541" s="1"/>
      <c r="N541" s="1"/>
      <c r="O541" s="1"/>
      <c r="P541" s="1"/>
      <c r="Q541" s="1"/>
      <c r="R541" s="1"/>
      <c r="S541" s="1"/>
      <c r="T541" s="1"/>
    </row>
    <row r="542" spans="1:20" ht="33.75" customHeight="1">
      <c r="A542" s="1" t="s">
        <v>1674</v>
      </c>
      <c r="B542" s="1" t="s">
        <v>846</v>
      </c>
      <c r="C542" s="4">
        <v>39856.698611111111</v>
      </c>
      <c r="D542" s="1" t="s">
        <v>1089</v>
      </c>
      <c r="E542" s="1"/>
      <c r="F542" s="2" t="s">
        <v>1676</v>
      </c>
      <c r="G542" s="1">
        <f ca="1">IFERROR(__xludf.DUMMYFUNCTION("COUNTA(SPLIT(F542,"" ""))"),68)</f>
        <v>68</v>
      </c>
      <c r="H542" s="1">
        <v>68</v>
      </c>
      <c r="I542" s="1"/>
      <c r="J542" s="1"/>
      <c r="K542" s="1"/>
      <c r="L542" s="1"/>
      <c r="M542" s="1"/>
      <c r="N542" s="1"/>
      <c r="O542" s="1"/>
      <c r="P542" s="1"/>
      <c r="Q542" s="1"/>
      <c r="R542" s="1"/>
      <c r="S542" s="1"/>
      <c r="T542" s="1"/>
    </row>
    <row r="543" spans="1:20" ht="33.75" customHeight="1">
      <c r="A543" s="1" t="s">
        <v>1677</v>
      </c>
      <c r="B543" s="1" t="s">
        <v>1196</v>
      </c>
      <c r="C543" s="4">
        <v>39856.729861111111</v>
      </c>
      <c r="D543" s="1" t="s">
        <v>14</v>
      </c>
      <c r="E543" s="1"/>
      <c r="F543" s="2" t="s">
        <v>1679</v>
      </c>
      <c r="G543" s="1">
        <f ca="1">IFERROR(__xludf.DUMMYFUNCTION("COUNTA(SPLIT(F543,"" ""))"),154)</f>
        <v>154</v>
      </c>
      <c r="H543" s="1">
        <v>154</v>
      </c>
      <c r="I543" s="1"/>
      <c r="J543" s="1"/>
      <c r="K543" s="1"/>
      <c r="L543" s="1"/>
      <c r="M543" s="1"/>
      <c r="N543" s="1"/>
      <c r="O543" s="1"/>
      <c r="P543" s="1"/>
      <c r="Q543" s="1"/>
      <c r="R543" s="1"/>
      <c r="S543" s="1"/>
      <c r="T543" s="1"/>
    </row>
    <row r="544" spans="1:20" ht="33.75" hidden="1" customHeight="1">
      <c r="A544" s="1" t="s">
        <v>1680</v>
      </c>
      <c r="B544" s="1" t="s">
        <v>846</v>
      </c>
      <c r="C544" s="4">
        <v>39856.768750000003</v>
      </c>
      <c r="D544" s="1" t="s">
        <v>84</v>
      </c>
      <c r="E544" s="1" t="s">
        <v>1666</v>
      </c>
      <c r="F544" s="2" t="s">
        <v>1682</v>
      </c>
      <c r="G544" s="1">
        <f ca="1">IFERROR(__xludf.DUMMYFUNCTION("COUNTA(SPLIT(F544,"" ""))"),54)</f>
        <v>54</v>
      </c>
      <c r="H544" s="1">
        <v>54</v>
      </c>
      <c r="I544" s="1"/>
      <c r="J544" s="1"/>
      <c r="K544" s="1"/>
      <c r="L544" s="1"/>
      <c r="M544" s="1"/>
      <c r="N544" s="1"/>
      <c r="O544" s="1"/>
      <c r="P544" s="1"/>
      <c r="Q544" s="1"/>
      <c r="R544" s="1"/>
      <c r="S544" s="1"/>
      <c r="T544" s="1"/>
    </row>
    <row r="545" spans="1:20" ht="33.75" customHeight="1">
      <c r="A545" s="1" t="s">
        <v>1683</v>
      </c>
      <c r="B545" s="1" t="s">
        <v>1519</v>
      </c>
      <c r="C545" s="4">
        <v>39856.779861111114</v>
      </c>
      <c r="D545" s="1" t="s">
        <v>1618</v>
      </c>
      <c r="E545" s="1"/>
      <c r="F545" s="2" t="s">
        <v>1685</v>
      </c>
      <c r="G545" s="1">
        <f ca="1">IFERROR(__xludf.DUMMYFUNCTION("COUNTA(SPLIT(F545,"" ""))"),65)</f>
        <v>65</v>
      </c>
      <c r="H545" s="1">
        <v>65</v>
      </c>
      <c r="I545" s="1"/>
      <c r="J545" s="1"/>
      <c r="K545" s="1"/>
      <c r="L545" s="1"/>
      <c r="M545" s="1"/>
      <c r="N545" s="1"/>
      <c r="O545" s="1"/>
      <c r="P545" s="1"/>
      <c r="Q545" s="1"/>
      <c r="R545" s="1"/>
      <c r="S545" s="1"/>
      <c r="T545" s="1"/>
    </row>
    <row r="546" spans="1:20" ht="33.75" customHeight="1">
      <c r="A546" s="1" t="s">
        <v>1686</v>
      </c>
      <c r="B546" s="1" t="s">
        <v>846</v>
      </c>
      <c r="C546" s="4">
        <v>39856.836111111108</v>
      </c>
      <c r="D546" s="1" t="s">
        <v>1089</v>
      </c>
      <c r="E546" s="1"/>
      <c r="F546" s="2" t="s">
        <v>1687</v>
      </c>
      <c r="G546" s="1">
        <f ca="1">IFERROR(__xludf.DUMMYFUNCTION("COUNTA(SPLIT(F546,"" ""))"),28)</f>
        <v>28</v>
      </c>
      <c r="H546" s="1">
        <v>28</v>
      </c>
      <c r="I546" s="1"/>
      <c r="J546" s="1"/>
      <c r="K546" s="1"/>
      <c r="L546" s="1"/>
      <c r="M546" s="1"/>
      <c r="N546" s="1"/>
      <c r="O546" s="1"/>
      <c r="P546" s="1"/>
      <c r="Q546" s="1"/>
      <c r="R546" s="1"/>
      <c r="S546" s="1"/>
      <c r="T546" s="1"/>
    </row>
    <row r="547" spans="1:20" ht="33.75" hidden="1" customHeight="1">
      <c r="A547" s="1" t="s">
        <v>1688</v>
      </c>
      <c r="B547" s="1" t="s">
        <v>846</v>
      </c>
      <c r="C547" s="4">
        <v>39856.849305555559</v>
      </c>
      <c r="D547" s="1" t="s">
        <v>84</v>
      </c>
      <c r="E547" s="1" t="s">
        <v>1686</v>
      </c>
      <c r="F547" s="2" t="s">
        <v>1691</v>
      </c>
      <c r="G547" s="1">
        <f ca="1">IFERROR(__xludf.DUMMYFUNCTION("COUNTA(SPLIT(F547,"" ""))"),14)</f>
        <v>14</v>
      </c>
      <c r="H547" s="1">
        <v>14</v>
      </c>
      <c r="I547" s="1"/>
      <c r="J547" s="1"/>
      <c r="K547" s="1"/>
      <c r="L547" s="1"/>
      <c r="M547" s="1"/>
      <c r="N547" s="1"/>
      <c r="O547" s="1"/>
      <c r="P547" s="1"/>
      <c r="Q547" s="1"/>
      <c r="R547" s="1"/>
      <c r="S547" s="1"/>
      <c r="T547" s="1"/>
    </row>
    <row r="548" spans="1:20" ht="33.75" customHeight="1">
      <c r="A548" s="1" t="s">
        <v>1692</v>
      </c>
      <c r="B548" s="1" t="s">
        <v>846</v>
      </c>
      <c r="C548" s="4">
        <v>39856.863888888889</v>
      </c>
      <c r="D548" s="1" t="s">
        <v>54</v>
      </c>
      <c r="E548" s="1"/>
      <c r="F548" s="2" t="s">
        <v>1694</v>
      </c>
      <c r="G548" s="1">
        <f ca="1">IFERROR(__xludf.DUMMYFUNCTION("COUNTA(SPLIT(F548,"" ""))"),79)</f>
        <v>79</v>
      </c>
      <c r="H548" s="1">
        <v>79</v>
      </c>
      <c r="I548" s="1"/>
      <c r="J548" s="1"/>
      <c r="K548" s="1"/>
      <c r="L548" s="1"/>
      <c r="M548" s="1"/>
      <c r="N548" s="1"/>
      <c r="O548" s="1"/>
      <c r="P548" s="1"/>
      <c r="Q548" s="1"/>
      <c r="R548" s="1"/>
      <c r="S548" s="1"/>
      <c r="T548" s="1"/>
    </row>
    <row r="549" spans="1:20" ht="33.75" customHeight="1">
      <c r="A549" s="1" t="s">
        <v>1695</v>
      </c>
      <c r="B549" s="1" t="s">
        <v>1696</v>
      </c>
      <c r="C549" s="4">
        <v>39857.879166666666</v>
      </c>
      <c r="D549" s="1" t="s">
        <v>1528</v>
      </c>
      <c r="E549" s="1"/>
      <c r="F549" s="2" t="s">
        <v>1699</v>
      </c>
      <c r="G549" s="1">
        <f ca="1">IFERROR(__xludf.DUMMYFUNCTION("COUNTA(SPLIT(F549,"" ""))"),311)</f>
        <v>311</v>
      </c>
      <c r="H549" s="1">
        <v>311</v>
      </c>
      <c r="I549" s="1"/>
      <c r="J549" s="1"/>
      <c r="K549" s="1"/>
      <c r="L549" s="1"/>
      <c r="M549" s="1"/>
      <c r="N549" s="1"/>
      <c r="O549" s="1"/>
      <c r="P549" s="1"/>
      <c r="Q549" s="1"/>
      <c r="R549" s="1"/>
      <c r="S549" s="1"/>
      <c r="T549" s="1"/>
    </row>
    <row r="550" spans="1:20" ht="33.75" hidden="1" customHeight="1">
      <c r="A550" s="1" t="s">
        <v>1700</v>
      </c>
      <c r="B550" s="1" t="s">
        <v>1519</v>
      </c>
      <c r="C550" s="4">
        <v>39856.868750000001</v>
      </c>
      <c r="D550" s="1" t="s">
        <v>54</v>
      </c>
      <c r="E550" s="1" t="s">
        <v>1683</v>
      </c>
      <c r="F550" s="2" t="s">
        <v>1702</v>
      </c>
      <c r="G550" s="1">
        <f ca="1">IFERROR(__xludf.DUMMYFUNCTION("COUNTA(SPLIT(F550,"" ""))"),258)</f>
        <v>258</v>
      </c>
      <c r="H550" s="1">
        <v>258</v>
      </c>
      <c r="I550" s="1"/>
      <c r="J550" s="1"/>
      <c r="K550" s="1"/>
      <c r="L550" s="1"/>
      <c r="M550" s="1"/>
      <c r="N550" s="1"/>
      <c r="O550" s="1"/>
      <c r="P550" s="1"/>
      <c r="Q550" s="1"/>
      <c r="R550" s="1"/>
      <c r="S550" s="1"/>
      <c r="T550" s="1"/>
    </row>
    <row r="551" spans="1:20" ht="33.75" customHeight="1">
      <c r="A551" s="1" t="s">
        <v>1703</v>
      </c>
      <c r="B551" s="1" t="s">
        <v>846</v>
      </c>
      <c r="C551" s="4">
        <v>39856.869444444441</v>
      </c>
      <c r="D551" s="1" t="s">
        <v>1089</v>
      </c>
      <c r="E551" s="1"/>
      <c r="F551" s="2" t="s">
        <v>1704</v>
      </c>
      <c r="G551" s="1">
        <f ca="1">IFERROR(__xludf.DUMMYFUNCTION("COUNTA(SPLIT(F551,"" ""))"),23)</f>
        <v>23</v>
      </c>
      <c r="H551" s="1">
        <v>23</v>
      </c>
      <c r="I551" s="1"/>
      <c r="J551" s="1"/>
      <c r="K551" s="1"/>
      <c r="L551" s="1"/>
      <c r="M551" s="1"/>
      <c r="N551" s="1"/>
      <c r="O551" s="1"/>
      <c r="P551" s="1"/>
      <c r="Q551" s="1"/>
      <c r="R551" s="1"/>
      <c r="S551" s="1"/>
      <c r="T551" s="1"/>
    </row>
    <row r="552" spans="1:20" ht="33.75" hidden="1" customHeight="1">
      <c r="A552" s="1" t="s">
        <v>1705</v>
      </c>
      <c r="B552" s="1" t="s">
        <v>846</v>
      </c>
      <c r="C552" s="4">
        <v>39856.87777777778</v>
      </c>
      <c r="D552" s="1" t="s">
        <v>1089</v>
      </c>
      <c r="E552" s="1" t="s">
        <v>1706</v>
      </c>
      <c r="F552" s="2" t="s">
        <v>1707</v>
      </c>
      <c r="G552" s="1">
        <f ca="1">IFERROR(__xludf.DUMMYFUNCTION("COUNTA(SPLIT(F552,"" ""))"),51)</f>
        <v>51</v>
      </c>
      <c r="H552" s="1">
        <v>51</v>
      </c>
      <c r="I552" s="1"/>
      <c r="J552" s="1"/>
      <c r="K552" s="1"/>
      <c r="L552" s="1"/>
      <c r="M552" s="1"/>
      <c r="N552" s="1"/>
      <c r="O552" s="1"/>
      <c r="P552" s="1"/>
      <c r="Q552" s="1"/>
      <c r="R552" s="1"/>
      <c r="S552" s="1"/>
      <c r="T552" s="1"/>
    </row>
    <row r="553" spans="1:20" ht="33.75" customHeight="1">
      <c r="A553" s="1" t="s">
        <v>1708</v>
      </c>
      <c r="B553" s="1" t="s">
        <v>846</v>
      </c>
      <c r="C553" s="4">
        <v>39856.883333333331</v>
      </c>
      <c r="D553" s="1" t="s">
        <v>54</v>
      </c>
      <c r="E553" s="1"/>
      <c r="F553" s="2" t="s">
        <v>1710</v>
      </c>
      <c r="G553" s="1">
        <f ca="1">IFERROR(__xludf.DUMMYFUNCTION("COUNTA(SPLIT(F553,"" ""))"),37)</f>
        <v>37</v>
      </c>
      <c r="H553" s="1">
        <v>37</v>
      </c>
      <c r="I553" s="1"/>
      <c r="J553" s="1"/>
      <c r="K553" s="1"/>
      <c r="L553" s="1"/>
      <c r="M553" s="1"/>
      <c r="N553" s="1"/>
      <c r="O553" s="1"/>
      <c r="P553" s="1"/>
      <c r="Q553" s="1"/>
      <c r="R553" s="1"/>
      <c r="S553" s="1"/>
      <c r="T553" s="1"/>
    </row>
    <row r="554" spans="1:20" ht="33.75" customHeight="1">
      <c r="A554" s="1" t="s">
        <v>1711</v>
      </c>
      <c r="B554" s="1" t="s">
        <v>846</v>
      </c>
      <c r="C554" s="4">
        <v>39856.950694444444</v>
      </c>
      <c r="D554" s="1" t="s">
        <v>1089</v>
      </c>
      <c r="E554" s="1"/>
      <c r="F554" s="2" t="s">
        <v>1712</v>
      </c>
      <c r="G554" s="1">
        <f ca="1">IFERROR(__xludf.DUMMYFUNCTION("COUNTA(SPLIT(F554,"" ""))"),16)</f>
        <v>16</v>
      </c>
      <c r="H554" s="1">
        <v>16</v>
      </c>
      <c r="I554" s="1"/>
      <c r="J554" s="1"/>
      <c r="K554" s="1"/>
      <c r="L554" s="1"/>
      <c r="M554" s="1"/>
      <c r="N554" s="1"/>
      <c r="O554" s="1"/>
      <c r="P554" s="1"/>
      <c r="Q554" s="1"/>
      <c r="R554" s="1"/>
      <c r="S554" s="1"/>
      <c r="T554" s="1"/>
    </row>
    <row r="555" spans="1:20" ht="33.75" hidden="1" customHeight="1">
      <c r="A555" s="1" t="s">
        <v>1713</v>
      </c>
      <c r="B555" s="1" t="s">
        <v>846</v>
      </c>
      <c r="C555" s="4">
        <v>39856.978472222225</v>
      </c>
      <c r="D555" s="1" t="s">
        <v>1089</v>
      </c>
      <c r="E555" s="1" t="s">
        <v>1714</v>
      </c>
      <c r="F555" s="2" t="s">
        <v>1716</v>
      </c>
      <c r="G555" s="1">
        <f ca="1">IFERROR(__xludf.DUMMYFUNCTION("COUNTA(SPLIT(F555,"" ""))"),14)</f>
        <v>14</v>
      </c>
      <c r="H555" s="1">
        <v>14</v>
      </c>
      <c r="I555" s="1"/>
      <c r="J555" s="1"/>
      <c r="K555" s="1"/>
      <c r="L555" s="1"/>
      <c r="M555" s="1"/>
      <c r="N555" s="1"/>
      <c r="O555" s="1"/>
      <c r="P555" s="1"/>
      <c r="Q555" s="1"/>
      <c r="R555" s="1"/>
      <c r="S555" s="1"/>
      <c r="T555" s="1"/>
    </row>
    <row r="556" spans="1:20" ht="33.75" hidden="1" customHeight="1">
      <c r="A556" s="1" t="s">
        <v>1717</v>
      </c>
      <c r="B556" s="1" t="s">
        <v>1196</v>
      </c>
      <c r="C556" s="4">
        <v>39857.01666666667</v>
      </c>
      <c r="D556" s="1" t="s">
        <v>320</v>
      </c>
      <c r="E556" s="1" t="s">
        <v>1718</v>
      </c>
      <c r="F556" s="2" t="s">
        <v>1719</v>
      </c>
      <c r="G556" s="1">
        <f ca="1">IFERROR(__xludf.DUMMYFUNCTION("COUNTA(SPLIT(F556,"" ""))"),150)</f>
        <v>150</v>
      </c>
      <c r="H556" s="1">
        <v>150</v>
      </c>
      <c r="I556" s="1"/>
      <c r="J556" s="1"/>
      <c r="K556" s="1"/>
      <c r="L556" s="1"/>
      <c r="M556" s="1"/>
      <c r="N556" s="1"/>
      <c r="O556" s="1"/>
      <c r="P556" s="1"/>
      <c r="Q556" s="1"/>
      <c r="R556" s="1"/>
      <c r="S556" s="1"/>
      <c r="T556" s="1"/>
    </row>
    <row r="557" spans="1:20" ht="33.75" hidden="1" customHeight="1">
      <c r="A557" s="1" t="s">
        <v>1720</v>
      </c>
      <c r="B557" s="1" t="s">
        <v>1196</v>
      </c>
      <c r="C557" s="4">
        <v>39857.038194444445</v>
      </c>
      <c r="D557" s="1" t="s">
        <v>14</v>
      </c>
      <c r="E557" s="1" t="s">
        <v>1721</v>
      </c>
      <c r="F557" s="2" t="s">
        <v>1723</v>
      </c>
      <c r="G557" s="1">
        <f ca="1">IFERROR(__xludf.DUMMYFUNCTION("COUNTA(SPLIT(F557,"" ""))"),322)</f>
        <v>322</v>
      </c>
      <c r="H557" s="1">
        <v>322</v>
      </c>
      <c r="I557" s="1"/>
      <c r="J557" s="1"/>
      <c r="K557" s="1"/>
      <c r="L557" s="1"/>
      <c r="M557" s="1"/>
      <c r="N557" s="1"/>
      <c r="O557" s="1"/>
      <c r="P557" s="1"/>
      <c r="Q557" s="1"/>
      <c r="R557" s="1"/>
      <c r="S557" s="1"/>
      <c r="T557" s="1"/>
    </row>
    <row r="558" spans="1:20" ht="33.75" customHeight="1">
      <c r="A558" s="1" t="s">
        <v>1724</v>
      </c>
      <c r="B558" s="1" t="s">
        <v>1196</v>
      </c>
      <c r="C558" s="4">
        <v>39857.043749999997</v>
      </c>
      <c r="D558" s="1" t="s">
        <v>14</v>
      </c>
      <c r="E558" s="1"/>
      <c r="F558" s="2" t="s">
        <v>1727</v>
      </c>
      <c r="G558" s="1">
        <f ca="1">IFERROR(__xludf.DUMMYFUNCTION("COUNTA(SPLIT(F558,"" ""))"),231)</f>
        <v>231</v>
      </c>
      <c r="H558" s="1">
        <v>231</v>
      </c>
      <c r="I558" s="1"/>
      <c r="J558" s="1"/>
      <c r="K558" s="1"/>
      <c r="L558" s="1"/>
      <c r="M558" s="1"/>
      <c r="N558" s="1"/>
      <c r="O558" s="1"/>
      <c r="P558" s="1"/>
      <c r="Q558" s="1"/>
      <c r="R558" s="1"/>
      <c r="S558" s="1"/>
      <c r="T558" s="1"/>
    </row>
    <row r="559" spans="1:20" ht="33.75" hidden="1" customHeight="1">
      <c r="A559" s="1" t="s">
        <v>1728</v>
      </c>
      <c r="B559" s="1" t="s">
        <v>1196</v>
      </c>
      <c r="C559" s="4">
        <v>39857.065972222219</v>
      </c>
      <c r="D559" s="1" t="s">
        <v>14</v>
      </c>
      <c r="E559" s="1" t="s">
        <v>1724</v>
      </c>
      <c r="F559" s="2" t="s">
        <v>1729</v>
      </c>
      <c r="G559" s="1">
        <f ca="1">IFERROR(__xludf.DUMMYFUNCTION("COUNTA(SPLIT(F559,"" ""))"),23)</f>
        <v>23</v>
      </c>
      <c r="H559" s="1">
        <v>23</v>
      </c>
      <c r="I559" s="1"/>
      <c r="J559" s="1"/>
      <c r="K559" s="1"/>
      <c r="L559" s="1"/>
      <c r="M559" s="1"/>
      <c r="N559" s="1"/>
      <c r="O559" s="1"/>
      <c r="P559" s="1"/>
      <c r="Q559" s="1"/>
      <c r="R559" s="1"/>
      <c r="S559" s="1"/>
      <c r="T559" s="1"/>
    </row>
    <row r="560" spans="1:20" ht="33.75" customHeight="1">
      <c r="A560" s="1" t="s">
        <v>1730</v>
      </c>
      <c r="B560" s="1" t="s">
        <v>846</v>
      </c>
      <c r="C560" s="4">
        <v>39857.184027777781</v>
      </c>
      <c r="D560" s="1" t="s">
        <v>1089</v>
      </c>
      <c r="E560" s="1"/>
      <c r="F560" s="2" t="s">
        <v>1732</v>
      </c>
      <c r="G560" s="1">
        <f ca="1">IFERROR(__xludf.DUMMYFUNCTION("COUNTA(SPLIT(F560,"" ""))"),36)</f>
        <v>36</v>
      </c>
      <c r="H560" s="1">
        <v>36</v>
      </c>
      <c r="I560" s="1"/>
      <c r="J560" s="1"/>
      <c r="K560" s="1"/>
      <c r="L560" s="1"/>
      <c r="M560" s="1"/>
      <c r="N560" s="1"/>
      <c r="O560" s="1"/>
      <c r="P560" s="1"/>
      <c r="Q560" s="1"/>
      <c r="R560" s="1"/>
      <c r="S560" s="1"/>
      <c r="T560" s="1"/>
    </row>
    <row r="561" spans="1:20" ht="33.75" customHeight="1">
      <c r="A561" s="1" t="s">
        <v>12</v>
      </c>
      <c r="B561" s="1" t="s">
        <v>1696</v>
      </c>
      <c r="C561" s="4">
        <v>39857.310497685183</v>
      </c>
      <c r="D561" s="1" t="s">
        <v>14</v>
      </c>
      <c r="E561" s="1"/>
      <c r="F561" s="2" t="s">
        <v>1734</v>
      </c>
      <c r="G561" s="1">
        <f ca="1">IFERROR(__xludf.DUMMYFUNCTION("COUNTA(SPLIT(F561,"" ""))"),948)</f>
        <v>948</v>
      </c>
      <c r="H561" s="1">
        <v>948</v>
      </c>
      <c r="I561" s="1"/>
      <c r="J561" s="1"/>
      <c r="K561" s="1"/>
      <c r="L561" s="1"/>
      <c r="M561" s="1"/>
      <c r="N561" s="1"/>
      <c r="O561" s="1"/>
      <c r="P561" s="1"/>
      <c r="Q561" s="1"/>
      <c r="R561" s="1"/>
      <c r="S561" s="1"/>
      <c r="T561" s="1"/>
    </row>
    <row r="562" spans="1:20" ht="33.75" hidden="1" customHeight="1">
      <c r="A562" s="1" t="s">
        <v>1735</v>
      </c>
      <c r="B562" s="1" t="s">
        <v>846</v>
      </c>
      <c r="C562" s="4">
        <v>39857.318749999999</v>
      </c>
      <c r="D562" s="1" t="s">
        <v>54</v>
      </c>
      <c r="E562" s="1" t="s">
        <v>1713</v>
      </c>
      <c r="F562" s="2" t="s">
        <v>1736</v>
      </c>
      <c r="G562" s="1">
        <f ca="1">IFERROR(__xludf.DUMMYFUNCTION("COUNTA(SPLIT(F562,"" ""))"),163)</f>
        <v>163</v>
      </c>
      <c r="H562" s="1">
        <v>163</v>
      </c>
      <c r="I562" s="1"/>
      <c r="J562" s="1"/>
      <c r="K562" s="1"/>
      <c r="L562" s="1"/>
      <c r="M562" s="1"/>
      <c r="N562" s="1"/>
      <c r="O562" s="1"/>
      <c r="P562" s="1"/>
      <c r="Q562" s="1"/>
      <c r="R562" s="1"/>
      <c r="S562" s="1"/>
      <c r="T562" s="1"/>
    </row>
    <row r="563" spans="1:20" ht="33.75" hidden="1" customHeight="1">
      <c r="A563" s="1" t="s">
        <v>1737</v>
      </c>
      <c r="B563" s="1" t="s">
        <v>846</v>
      </c>
      <c r="C563" s="4">
        <v>39857.325694444444</v>
      </c>
      <c r="D563" s="1" t="s">
        <v>84</v>
      </c>
      <c r="E563" s="1" t="s">
        <v>1705</v>
      </c>
      <c r="F563" s="2" t="s">
        <v>1739</v>
      </c>
      <c r="G563" s="1">
        <f ca="1">IFERROR(__xludf.DUMMYFUNCTION("COUNTA(SPLIT(F563,"" ""))"),157)</f>
        <v>157</v>
      </c>
      <c r="H563" s="1">
        <v>157</v>
      </c>
      <c r="I563" s="1"/>
      <c r="J563" s="1"/>
      <c r="K563" s="1"/>
      <c r="L563" s="1"/>
      <c r="M563" s="1"/>
      <c r="N563" s="1"/>
      <c r="O563" s="1"/>
      <c r="P563" s="1"/>
      <c r="Q563" s="1"/>
      <c r="R563" s="1"/>
      <c r="S563" s="1"/>
      <c r="T563" s="1"/>
    </row>
    <row r="564" spans="1:20" ht="33.75" hidden="1" customHeight="1">
      <c r="A564" s="1" t="s">
        <v>1740</v>
      </c>
      <c r="B564" s="1" t="s">
        <v>846</v>
      </c>
      <c r="C564" s="4">
        <v>39857.366666666669</v>
      </c>
      <c r="D564" s="1" t="s">
        <v>474</v>
      </c>
      <c r="E564" s="1" t="s">
        <v>1741</v>
      </c>
      <c r="F564" s="2" t="s">
        <v>1742</v>
      </c>
      <c r="G564" s="1">
        <f ca="1">IFERROR(__xludf.DUMMYFUNCTION("COUNTA(SPLIT(F564,"" ""))"),41)</f>
        <v>41</v>
      </c>
      <c r="H564" s="1">
        <v>41</v>
      </c>
      <c r="I564" s="1"/>
      <c r="J564" s="1"/>
      <c r="K564" s="1"/>
      <c r="L564" s="1"/>
      <c r="M564" s="1"/>
      <c r="N564" s="1"/>
      <c r="O564" s="1"/>
      <c r="P564" s="1"/>
      <c r="Q564" s="1"/>
      <c r="R564" s="1"/>
      <c r="S564" s="1"/>
      <c r="T564" s="1"/>
    </row>
    <row r="565" spans="1:20" ht="33.75" customHeight="1">
      <c r="A565" s="1" t="s">
        <v>1743</v>
      </c>
      <c r="B565" s="1" t="s">
        <v>846</v>
      </c>
      <c r="C565" s="4">
        <v>39857.367361111108</v>
      </c>
      <c r="D565" s="1" t="s">
        <v>474</v>
      </c>
      <c r="E565" s="1"/>
      <c r="F565" s="2" t="s">
        <v>1745</v>
      </c>
      <c r="G565" s="1">
        <f ca="1">IFERROR(__xludf.DUMMYFUNCTION("COUNTA(SPLIT(F565,"" ""))"),13)</f>
        <v>13</v>
      </c>
      <c r="H565" s="1">
        <v>13</v>
      </c>
      <c r="I565" s="1"/>
      <c r="J565" s="1"/>
      <c r="K565" s="1"/>
      <c r="L565" s="1"/>
      <c r="M565" s="1"/>
      <c r="N565" s="1"/>
      <c r="O565" s="1"/>
      <c r="P565" s="1"/>
      <c r="Q565" s="1"/>
      <c r="R565" s="1"/>
      <c r="S565" s="1"/>
      <c r="T565" s="1"/>
    </row>
    <row r="566" spans="1:20" ht="33.75" customHeight="1">
      <c r="A566" s="1" t="s">
        <v>1746</v>
      </c>
      <c r="B566" s="1" t="s">
        <v>1196</v>
      </c>
      <c r="C566" s="4">
        <v>39857.46875</v>
      </c>
      <c r="D566" s="1" t="s">
        <v>255</v>
      </c>
      <c r="E566" s="1"/>
      <c r="F566" s="2" t="s">
        <v>1748</v>
      </c>
      <c r="G566" s="1">
        <f ca="1">IFERROR(__xludf.DUMMYFUNCTION("COUNTA(SPLIT(F566,"" ""))"),91)</f>
        <v>91</v>
      </c>
      <c r="H566" s="1">
        <v>91</v>
      </c>
      <c r="I566" s="1"/>
      <c r="J566" s="1"/>
      <c r="K566" s="1"/>
      <c r="L566" s="1"/>
      <c r="M566" s="1"/>
      <c r="N566" s="1"/>
      <c r="O566" s="1"/>
      <c r="P566" s="1"/>
      <c r="Q566" s="1"/>
      <c r="R566" s="1"/>
      <c r="S566" s="1"/>
      <c r="T566" s="1"/>
    </row>
    <row r="567" spans="1:20" ht="33.75" hidden="1" customHeight="1">
      <c r="A567" s="1" t="s">
        <v>1749</v>
      </c>
      <c r="B567" s="1" t="s">
        <v>1696</v>
      </c>
      <c r="C567" s="4">
        <v>39857.479166666664</v>
      </c>
      <c r="D567" s="1" t="s">
        <v>14</v>
      </c>
      <c r="E567" s="1">
        <v>490</v>
      </c>
      <c r="F567" s="2" t="s">
        <v>1751</v>
      </c>
      <c r="G567" s="1">
        <f ca="1">IFERROR(__xludf.DUMMYFUNCTION("COUNTA(SPLIT(F567,"" ""))"),507)</f>
        <v>507</v>
      </c>
      <c r="H567" s="1">
        <v>507</v>
      </c>
      <c r="I567" s="1"/>
      <c r="J567" s="1"/>
      <c r="K567" s="1"/>
      <c r="L567" s="1"/>
      <c r="M567" s="1"/>
      <c r="N567" s="1"/>
      <c r="O567" s="1"/>
      <c r="P567" s="1"/>
      <c r="Q567" s="1"/>
      <c r="R567" s="1"/>
      <c r="S567" s="1"/>
      <c r="T567" s="1"/>
    </row>
    <row r="568" spans="1:20" ht="33.75" customHeight="1">
      <c r="A568" s="1" t="s">
        <v>1752</v>
      </c>
      <c r="B568" s="1" t="s">
        <v>1696</v>
      </c>
      <c r="C568" s="4">
        <v>39857.491666666669</v>
      </c>
      <c r="D568" s="1" t="s">
        <v>14</v>
      </c>
      <c r="E568" s="1"/>
      <c r="F568" s="2" t="s">
        <v>1754</v>
      </c>
      <c r="G568" s="1">
        <f ca="1">IFERROR(__xludf.DUMMYFUNCTION("COUNTA(SPLIT(F568,"" ""))"),244)</f>
        <v>244</v>
      </c>
      <c r="H568" s="1">
        <v>244</v>
      </c>
      <c r="I568" s="1"/>
      <c r="J568" s="1"/>
      <c r="K568" s="1"/>
      <c r="L568" s="1"/>
      <c r="M568" s="1"/>
      <c r="N568" s="1"/>
      <c r="O568" s="1"/>
      <c r="P568" s="1"/>
      <c r="Q568" s="1"/>
      <c r="R568" s="1"/>
      <c r="S568" s="1"/>
      <c r="T568" s="1"/>
    </row>
    <row r="569" spans="1:20" ht="33.75" customHeight="1">
      <c r="A569" s="1" t="s">
        <v>1755</v>
      </c>
      <c r="B569" s="1" t="s">
        <v>1519</v>
      </c>
      <c r="C569" s="4">
        <v>39857.49722222222</v>
      </c>
      <c r="D569" s="1" t="s">
        <v>772</v>
      </c>
      <c r="E569" s="1"/>
      <c r="F569" s="2" t="s">
        <v>1757</v>
      </c>
      <c r="G569" s="1">
        <f ca="1">IFERROR(__xludf.DUMMYFUNCTION("COUNTA(SPLIT(F569,"" ""))"),20)</f>
        <v>20</v>
      </c>
      <c r="H569" s="1">
        <v>20</v>
      </c>
      <c r="I569" s="1"/>
      <c r="J569" s="1"/>
      <c r="K569" s="1"/>
      <c r="L569" s="1"/>
      <c r="M569" s="1"/>
      <c r="N569" s="1"/>
      <c r="O569" s="1"/>
      <c r="P569" s="1"/>
      <c r="Q569" s="1"/>
      <c r="R569" s="1"/>
      <c r="S569" s="1"/>
      <c r="T569" s="1"/>
    </row>
    <row r="570" spans="1:20" ht="33.75" customHeight="1">
      <c r="A570" s="1" t="s">
        <v>1758</v>
      </c>
      <c r="B570" s="1" t="s">
        <v>846</v>
      </c>
      <c r="C570" s="4">
        <v>39857.50277777778</v>
      </c>
      <c r="D570" s="1" t="s">
        <v>772</v>
      </c>
      <c r="E570" s="1"/>
      <c r="F570" s="2" t="s">
        <v>1759</v>
      </c>
      <c r="G570" s="1">
        <f ca="1">IFERROR(__xludf.DUMMYFUNCTION("COUNTA(SPLIT(F570,"" ""))"),47)</f>
        <v>47</v>
      </c>
      <c r="H570" s="1">
        <v>47</v>
      </c>
      <c r="I570" s="1"/>
      <c r="J570" s="1"/>
      <c r="K570" s="1"/>
      <c r="L570" s="1"/>
      <c r="M570" s="1"/>
      <c r="N570" s="1"/>
      <c r="O570" s="1"/>
      <c r="P570" s="1"/>
      <c r="Q570" s="1"/>
      <c r="R570" s="1"/>
      <c r="S570" s="1"/>
      <c r="T570" s="1"/>
    </row>
    <row r="571" spans="1:20" ht="33.75" customHeight="1">
      <c r="A571" s="1" t="s">
        <v>1760</v>
      </c>
      <c r="B571" s="1" t="s">
        <v>1696</v>
      </c>
      <c r="C571" s="4">
        <v>39857.525000000001</v>
      </c>
      <c r="D571" s="1" t="s">
        <v>14</v>
      </c>
      <c r="E571" s="1"/>
      <c r="F571" s="2" t="s">
        <v>1761</v>
      </c>
      <c r="G571" s="1">
        <f ca="1">IFERROR(__xludf.DUMMYFUNCTION("COUNTA(SPLIT(F571,"" ""))"),611)</f>
        <v>611</v>
      </c>
      <c r="H571" s="1">
        <v>611</v>
      </c>
      <c r="I571" s="1"/>
      <c r="J571" s="1"/>
      <c r="K571" s="1"/>
      <c r="L571" s="1"/>
      <c r="M571" s="1"/>
      <c r="N571" s="1"/>
      <c r="O571" s="1"/>
      <c r="P571" s="1"/>
      <c r="Q571" s="1"/>
      <c r="R571" s="1"/>
      <c r="S571" s="1"/>
      <c r="T571" s="1"/>
    </row>
    <row r="572" spans="1:20" ht="33.75" hidden="1" customHeight="1">
      <c r="A572" s="1" t="s">
        <v>1762</v>
      </c>
      <c r="B572" s="1" t="s">
        <v>1196</v>
      </c>
      <c r="C572" s="4">
        <v>39857.594444444447</v>
      </c>
      <c r="D572" s="1" t="s">
        <v>14</v>
      </c>
      <c r="E572" s="1" t="s">
        <v>1746</v>
      </c>
      <c r="F572" s="2" t="s">
        <v>1763</v>
      </c>
      <c r="G572" s="1">
        <f ca="1">IFERROR(__xludf.DUMMYFUNCTION("COUNTA(SPLIT(F572,"" ""))"),110)</f>
        <v>110</v>
      </c>
      <c r="H572" s="1">
        <v>110</v>
      </c>
      <c r="I572" s="1"/>
      <c r="J572" s="1"/>
      <c r="K572" s="1"/>
      <c r="L572" s="1"/>
      <c r="M572" s="1"/>
      <c r="N572" s="1"/>
      <c r="O572" s="1"/>
      <c r="P572" s="1"/>
      <c r="Q572" s="1"/>
      <c r="R572" s="1"/>
      <c r="S572" s="1"/>
      <c r="T572" s="1"/>
    </row>
    <row r="573" spans="1:20" ht="33.75" customHeight="1">
      <c r="A573" s="1" t="s">
        <v>1764</v>
      </c>
      <c r="B573" s="1" t="s">
        <v>1196</v>
      </c>
      <c r="C573" s="4">
        <v>39857.644444444442</v>
      </c>
      <c r="D573" s="1" t="s">
        <v>14</v>
      </c>
      <c r="E573" s="1"/>
      <c r="F573" s="2" t="s">
        <v>1766</v>
      </c>
      <c r="G573" s="1">
        <f ca="1">IFERROR(__xludf.DUMMYFUNCTION("COUNTA(SPLIT(F573,"" ""))"),115)</f>
        <v>115</v>
      </c>
      <c r="H573" s="1">
        <v>115</v>
      </c>
      <c r="I573" s="1"/>
      <c r="J573" s="1"/>
      <c r="K573" s="1"/>
      <c r="L573" s="1"/>
      <c r="M573" s="1"/>
      <c r="N573" s="1"/>
      <c r="O573" s="1"/>
      <c r="P573" s="1"/>
      <c r="Q573" s="1"/>
      <c r="R573" s="1"/>
      <c r="S573" s="1"/>
      <c r="T573" s="1"/>
    </row>
    <row r="574" spans="1:20" ht="33.75" customHeight="1">
      <c r="A574" s="1" t="s">
        <v>1767</v>
      </c>
      <c r="B574" s="1" t="s">
        <v>846</v>
      </c>
      <c r="C574" s="4">
        <v>39857.676388888889</v>
      </c>
      <c r="D574" s="1" t="s">
        <v>1768</v>
      </c>
      <c r="E574" s="1"/>
      <c r="F574" s="2" t="s">
        <v>1769</v>
      </c>
      <c r="G574" s="1">
        <f ca="1">IFERROR(__xludf.DUMMYFUNCTION("COUNTA(SPLIT(F574,"" ""))"),288)</f>
        <v>288</v>
      </c>
      <c r="H574" s="1">
        <v>288</v>
      </c>
      <c r="I574" s="1"/>
      <c r="J574" s="1"/>
      <c r="K574" s="1"/>
      <c r="L574" s="1"/>
      <c r="M574" s="1"/>
      <c r="N574" s="1"/>
      <c r="O574" s="1"/>
      <c r="P574" s="1"/>
      <c r="Q574" s="1"/>
      <c r="R574" s="1"/>
      <c r="S574" s="1"/>
      <c r="T574" s="1"/>
    </row>
    <row r="575" spans="1:20" ht="33.75" hidden="1" customHeight="1">
      <c r="A575" s="1" t="s">
        <v>1770</v>
      </c>
      <c r="B575" s="1" t="s">
        <v>846</v>
      </c>
      <c r="C575" s="4">
        <v>39857.713194444441</v>
      </c>
      <c r="D575" s="1" t="s">
        <v>54</v>
      </c>
      <c r="E575" s="1" t="s">
        <v>1767</v>
      </c>
      <c r="F575" s="2" t="s">
        <v>1772</v>
      </c>
      <c r="G575" s="1">
        <f ca="1">IFERROR(__xludf.DUMMYFUNCTION("COUNTA(SPLIT(F575,"" ""))"),155)</f>
        <v>155</v>
      </c>
      <c r="H575" s="1">
        <v>155</v>
      </c>
      <c r="I575" s="1"/>
      <c r="J575" s="1"/>
      <c r="K575" s="1"/>
      <c r="L575" s="1"/>
      <c r="M575" s="1"/>
      <c r="N575" s="1"/>
      <c r="O575" s="1"/>
      <c r="P575" s="1"/>
      <c r="Q575" s="1"/>
      <c r="R575" s="1"/>
      <c r="S575" s="1"/>
      <c r="T575" s="1"/>
    </row>
    <row r="576" spans="1:20" ht="33.75" customHeight="1">
      <c r="A576" s="1" t="s">
        <v>1773</v>
      </c>
      <c r="B576" s="1" t="s">
        <v>1696</v>
      </c>
      <c r="C576" s="4">
        <v>39857.724305555559</v>
      </c>
      <c r="D576" s="1" t="s">
        <v>14</v>
      </c>
      <c r="E576" s="1"/>
      <c r="F576" s="2" t="s">
        <v>1775</v>
      </c>
      <c r="G576" s="1">
        <f ca="1">IFERROR(__xludf.DUMMYFUNCTION("COUNTA(SPLIT(F576,"" ""))"),246)</f>
        <v>246</v>
      </c>
      <c r="H576" s="1">
        <v>246</v>
      </c>
      <c r="I576" s="1"/>
      <c r="J576" s="1"/>
      <c r="K576" s="1"/>
      <c r="L576" s="1"/>
      <c r="M576" s="1"/>
      <c r="N576" s="1"/>
      <c r="O576" s="1"/>
      <c r="P576" s="1"/>
      <c r="Q576" s="1"/>
      <c r="R576" s="1"/>
      <c r="S576" s="1"/>
      <c r="T576" s="1"/>
    </row>
    <row r="577" spans="1:20" ht="33.75" customHeight="1">
      <c r="A577" s="1" t="s">
        <v>1776</v>
      </c>
      <c r="B577" s="1" t="s">
        <v>1696</v>
      </c>
      <c r="C577" s="4">
        <v>39857.800694444442</v>
      </c>
      <c r="D577" s="1" t="s">
        <v>196</v>
      </c>
      <c r="E577" s="1"/>
      <c r="F577" s="2" t="s">
        <v>1778</v>
      </c>
      <c r="G577" s="1">
        <f ca="1">IFERROR(__xludf.DUMMYFUNCTION("COUNTA(SPLIT(F577,"" ""))"),148)</f>
        <v>148</v>
      </c>
      <c r="H577" s="1">
        <v>148</v>
      </c>
      <c r="I577" s="1"/>
      <c r="J577" s="1"/>
      <c r="K577" s="1"/>
      <c r="L577" s="1"/>
      <c r="M577" s="1"/>
      <c r="N577" s="1"/>
      <c r="O577" s="1"/>
      <c r="P577" s="1"/>
      <c r="Q577" s="1"/>
      <c r="R577" s="1"/>
      <c r="S577" s="1"/>
      <c r="T577" s="1"/>
    </row>
    <row r="578" spans="1:20" ht="33.75" customHeight="1">
      <c r="A578" s="1" t="s">
        <v>1779</v>
      </c>
      <c r="B578" s="1" t="s">
        <v>846</v>
      </c>
      <c r="C578" s="4">
        <v>39857.843055555553</v>
      </c>
      <c r="D578" s="1" t="s">
        <v>54</v>
      </c>
      <c r="E578" s="1"/>
      <c r="F578" s="2" t="s">
        <v>1781</v>
      </c>
      <c r="G578" s="1">
        <f ca="1">IFERROR(__xludf.DUMMYFUNCTION("COUNTA(SPLIT(F578,"" ""))"),24)</f>
        <v>24</v>
      </c>
      <c r="H578" s="1">
        <v>24</v>
      </c>
      <c r="I578" s="1"/>
      <c r="J578" s="1"/>
      <c r="K578" s="1"/>
      <c r="L578" s="1"/>
      <c r="M578" s="1"/>
      <c r="N578" s="1"/>
      <c r="O578" s="1"/>
      <c r="P578" s="1"/>
      <c r="Q578" s="1"/>
      <c r="R578" s="1"/>
      <c r="S578" s="1"/>
      <c r="T578" s="1"/>
    </row>
    <row r="579" spans="1:20" ht="33.75" customHeight="1">
      <c r="A579" s="1" t="s">
        <v>1782</v>
      </c>
      <c r="B579" s="1" t="s">
        <v>1519</v>
      </c>
      <c r="C579" s="4">
        <v>39857.87222222222</v>
      </c>
      <c r="D579" s="1" t="s">
        <v>54</v>
      </c>
      <c r="E579" s="1"/>
      <c r="F579" s="2" t="s">
        <v>1783</v>
      </c>
      <c r="G579" s="1">
        <f ca="1">IFERROR(__xludf.DUMMYFUNCTION("COUNTA(SPLIT(F579,"" ""))"),196)</f>
        <v>196</v>
      </c>
      <c r="H579" s="1">
        <v>196</v>
      </c>
      <c r="I579" s="1"/>
      <c r="J579" s="1"/>
      <c r="K579" s="1"/>
      <c r="L579" s="1"/>
      <c r="M579" s="1"/>
      <c r="N579" s="1"/>
      <c r="O579" s="1"/>
      <c r="P579" s="1"/>
      <c r="Q579" s="1"/>
      <c r="R579" s="1"/>
      <c r="S579" s="1"/>
      <c r="T579" s="1"/>
    </row>
    <row r="580" spans="1:20" ht="33.75" customHeight="1">
      <c r="A580" s="1" t="s">
        <v>1784</v>
      </c>
      <c r="B580" s="1" t="s">
        <v>1696</v>
      </c>
      <c r="C580" s="4">
        <v>39858.050694444442</v>
      </c>
      <c r="D580" s="1" t="s">
        <v>1528</v>
      </c>
      <c r="E580" s="1"/>
      <c r="F580" s="2" t="s">
        <v>1786</v>
      </c>
      <c r="G580" s="1">
        <f ca="1">IFERROR(__xludf.DUMMYFUNCTION("COUNTA(SPLIT(F580,"" ""))"),415)</f>
        <v>415</v>
      </c>
      <c r="H580" s="1">
        <v>415</v>
      </c>
      <c r="I580" s="1"/>
      <c r="J580" s="1"/>
      <c r="K580" s="1"/>
      <c r="L580" s="1"/>
      <c r="M580" s="1"/>
      <c r="N580" s="1"/>
      <c r="O580" s="1"/>
      <c r="P580" s="1"/>
      <c r="Q580" s="1"/>
      <c r="R580" s="1"/>
      <c r="S580" s="1"/>
      <c r="T580" s="1"/>
    </row>
    <row r="581" spans="1:20" ht="33.75" hidden="1" customHeight="1">
      <c r="A581" s="1" t="s">
        <v>1787</v>
      </c>
      <c r="B581" s="1" t="s">
        <v>1696</v>
      </c>
      <c r="C581" s="4">
        <v>39857.880555555559</v>
      </c>
      <c r="D581" s="1" t="s">
        <v>196</v>
      </c>
      <c r="E581" s="1" t="s">
        <v>1776</v>
      </c>
      <c r="F581" s="2" t="s">
        <v>1789</v>
      </c>
      <c r="G581" s="1">
        <f ca="1">IFERROR(__xludf.DUMMYFUNCTION("COUNTA(SPLIT(F581,"" ""))"),133)</f>
        <v>133</v>
      </c>
      <c r="H581" s="1">
        <v>133</v>
      </c>
      <c r="I581" s="1"/>
      <c r="J581" s="1"/>
      <c r="K581" s="1"/>
      <c r="L581" s="1"/>
      <c r="M581" s="1"/>
      <c r="N581" s="1"/>
      <c r="O581" s="1"/>
      <c r="P581" s="1"/>
      <c r="Q581" s="1"/>
      <c r="R581" s="1"/>
      <c r="S581" s="1"/>
      <c r="T581" s="1"/>
    </row>
    <row r="582" spans="1:20" ht="33.75" hidden="1" customHeight="1">
      <c r="A582" s="1" t="s">
        <v>1790</v>
      </c>
      <c r="B582" s="1" t="s">
        <v>1696</v>
      </c>
      <c r="C582" s="4">
        <v>39857.887499999997</v>
      </c>
      <c r="D582" s="1" t="s">
        <v>196</v>
      </c>
      <c r="E582" s="1" t="s">
        <v>1787</v>
      </c>
      <c r="F582" s="2" t="s">
        <v>1792</v>
      </c>
      <c r="G582" s="1">
        <f ca="1">IFERROR(__xludf.DUMMYFUNCTION("COUNTA(SPLIT(F582,"" ""))"),48)</f>
        <v>48</v>
      </c>
      <c r="H582" s="1">
        <v>48</v>
      </c>
      <c r="I582" s="1"/>
      <c r="J582" s="1"/>
      <c r="K582" s="1"/>
      <c r="L582" s="1"/>
      <c r="M582" s="1"/>
      <c r="N582" s="1"/>
      <c r="O582" s="1"/>
      <c r="P582" s="1"/>
      <c r="Q582" s="1"/>
      <c r="R582" s="1"/>
      <c r="S582" s="1"/>
      <c r="T582" s="1"/>
    </row>
    <row r="583" spans="1:20" ht="33.75" customHeight="1">
      <c r="A583" s="1" t="s">
        <v>1793</v>
      </c>
      <c r="B583" s="1" t="s">
        <v>1519</v>
      </c>
      <c r="C583" s="4">
        <v>39857.9375</v>
      </c>
      <c r="D583" s="1" t="s">
        <v>54</v>
      </c>
      <c r="E583" s="1"/>
      <c r="F583" s="2" t="s">
        <v>1795</v>
      </c>
      <c r="G583" s="1">
        <f ca="1">IFERROR(__xludf.DUMMYFUNCTION("COUNTA(SPLIT(F583,"" ""))"),91)</f>
        <v>91</v>
      </c>
      <c r="H583" s="1">
        <v>91</v>
      </c>
      <c r="I583" s="1"/>
      <c r="J583" s="1"/>
      <c r="K583" s="1"/>
      <c r="L583" s="1"/>
      <c r="M583" s="1"/>
      <c r="N583" s="1"/>
      <c r="O583" s="1"/>
      <c r="P583" s="1"/>
      <c r="Q583" s="1"/>
      <c r="R583" s="1"/>
      <c r="S583" s="1"/>
      <c r="T583" s="1"/>
    </row>
    <row r="584" spans="1:20" ht="33.75" hidden="1" customHeight="1">
      <c r="A584" s="1" t="s">
        <v>1796</v>
      </c>
      <c r="B584" s="1" t="s">
        <v>1196</v>
      </c>
      <c r="C584" s="4">
        <v>39857.955555555556</v>
      </c>
      <c r="D584" s="1" t="s">
        <v>314</v>
      </c>
      <c r="E584" s="1" t="s">
        <v>1764</v>
      </c>
      <c r="F584" s="2" t="s">
        <v>1798</v>
      </c>
      <c r="G584" s="1">
        <f ca="1">IFERROR(__xludf.DUMMYFUNCTION("COUNTA(SPLIT(F584,"" ""))"),127)</f>
        <v>127</v>
      </c>
      <c r="H584" s="1">
        <v>127</v>
      </c>
      <c r="I584" s="1"/>
      <c r="J584" s="1"/>
      <c r="K584" s="1"/>
      <c r="L584" s="1"/>
      <c r="M584" s="1"/>
      <c r="N584" s="1"/>
      <c r="O584" s="1"/>
      <c r="P584" s="1"/>
      <c r="Q584" s="1"/>
      <c r="R584" s="1"/>
      <c r="S584" s="1"/>
      <c r="T584" s="1"/>
    </row>
    <row r="585" spans="1:20" ht="33.75" hidden="1" customHeight="1">
      <c r="A585" s="1" t="s">
        <v>1799</v>
      </c>
      <c r="B585" s="1" t="s">
        <v>846</v>
      </c>
      <c r="C585" s="4">
        <v>39858.01666666667</v>
      </c>
      <c r="D585" s="1" t="s">
        <v>1089</v>
      </c>
      <c r="E585" s="1" t="s">
        <v>1800</v>
      </c>
      <c r="F585" s="2" t="s">
        <v>1801</v>
      </c>
      <c r="G585" s="1">
        <f ca="1">IFERROR(__xludf.DUMMYFUNCTION("COUNTA(SPLIT(F585,"" ""))"),149)</f>
        <v>149</v>
      </c>
      <c r="H585" s="1">
        <v>149</v>
      </c>
      <c r="I585" s="1"/>
      <c r="J585" s="1"/>
      <c r="K585" s="1"/>
      <c r="L585" s="1"/>
      <c r="M585" s="1"/>
      <c r="N585" s="1"/>
      <c r="O585" s="1"/>
      <c r="P585" s="1"/>
      <c r="Q585" s="1"/>
      <c r="R585" s="1"/>
      <c r="S585" s="1"/>
      <c r="T585" s="1"/>
    </row>
    <row r="586" spans="1:20" ht="33.75" customHeight="1">
      <c r="A586" s="1" t="s">
        <v>1802</v>
      </c>
      <c r="B586" s="1" t="s">
        <v>1196</v>
      </c>
      <c r="C586" s="4">
        <v>39858.040277777778</v>
      </c>
      <c r="D586" s="1" t="s">
        <v>14</v>
      </c>
      <c r="E586" s="1"/>
      <c r="F586" s="2" t="s">
        <v>1805</v>
      </c>
      <c r="G586" s="1">
        <f ca="1">IFERROR(__xludf.DUMMYFUNCTION("COUNTA(SPLIT(F586,"" ""))"),211)</f>
        <v>211</v>
      </c>
      <c r="H586" s="1">
        <v>211</v>
      </c>
      <c r="I586" s="1"/>
      <c r="J586" s="1"/>
      <c r="K586" s="1"/>
      <c r="L586" s="1"/>
      <c r="M586" s="1"/>
      <c r="N586" s="1"/>
      <c r="O586" s="1"/>
      <c r="P586" s="1"/>
      <c r="Q586" s="1"/>
      <c r="R586" s="1"/>
      <c r="S586" s="1"/>
      <c r="T586" s="1"/>
    </row>
    <row r="587" spans="1:20" ht="33.75" customHeight="1">
      <c r="A587" s="1" t="s">
        <v>1806</v>
      </c>
      <c r="B587" s="1" t="s">
        <v>1696</v>
      </c>
      <c r="C587" s="4">
        <v>39858.046527777777</v>
      </c>
      <c r="D587" s="1" t="s">
        <v>1807</v>
      </c>
      <c r="E587" s="1"/>
      <c r="F587" s="2" t="s">
        <v>1808</v>
      </c>
      <c r="G587" s="1">
        <f ca="1">IFERROR(__xludf.DUMMYFUNCTION("COUNTA(SPLIT(F587,"" ""))"),211)</f>
        <v>211</v>
      </c>
      <c r="H587" s="1">
        <v>211</v>
      </c>
      <c r="I587" s="1"/>
      <c r="J587" s="1"/>
      <c r="K587" s="1"/>
      <c r="L587" s="1"/>
      <c r="M587" s="1"/>
      <c r="N587" s="1"/>
      <c r="O587" s="1"/>
      <c r="P587" s="1"/>
      <c r="Q587" s="1"/>
      <c r="R587" s="1"/>
      <c r="S587" s="1"/>
      <c r="T587" s="1"/>
    </row>
    <row r="588" spans="1:20" ht="33.75" customHeight="1">
      <c r="A588" s="1" t="s">
        <v>1809</v>
      </c>
      <c r="B588" s="1" t="s">
        <v>1696</v>
      </c>
      <c r="C588" s="4">
        <v>39859.904861111114</v>
      </c>
      <c r="D588" s="1" t="s">
        <v>1528</v>
      </c>
      <c r="E588" s="1"/>
      <c r="F588" s="2" t="s">
        <v>1810</v>
      </c>
      <c r="G588" s="1">
        <f ca="1">IFERROR(__xludf.DUMMYFUNCTION("COUNTA(SPLIT(F588,"" ""))"),100)</f>
        <v>100</v>
      </c>
      <c r="H588" s="1">
        <v>100</v>
      </c>
      <c r="I588" s="1"/>
      <c r="J588" s="1"/>
      <c r="K588" s="1"/>
      <c r="L588" s="1"/>
      <c r="M588" s="1"/>
      <c r="N588" s="1"/>
      <c r="O588" s="1"/>
      <c r="P588" s="1"/>
      <c r="Q588" s="1"/>
      <c r="R588" s="1"/>
      <c r="S588" s="1"/>
      <c r="T588" s="1"/>
    </row>
    <row r="589" spans="1:20" ht="33.75" hidden="1" customHeight="1">
      <c r="A589" s="1" t="s">
        <v>1811</v>
      </c>
      <c r="B589" s="1" t="s">
        <v>1696</v>
      </c>
      <c r="C589" s="4">
        <v>39858.054861111108</v>
      </c>
      <c r="D589" s="1" t="s">
        <v>14</v>
      </c>
      <c r="E589" s="1" t="s">
        <v>1812</v>
      </c>
      <c r="F589" s="2" t="s">
        <v>1813</v>
      </c>
      <c r="G589" s="1">
        <f ca="1">IFERROR(__xludf.DUMMYFUNCTION("COUNTA(SPLIT(F589,"" ""))"),344)</f>
        <v>344</v>
      </c>
      <c r="H589" s="1">
        <v>344</v>
      </c>
      <c r="I589" s="1"/>
      <c r="J589" s="1"/>
      <c r="K589" s="1"/>
      <c r="L589" s="1"/>
      <c r="M589" s="1"/>
      <c r="N589" s="1"/>
      <c r="O589" s="1"/>
      <c r="P589" s="1"/>
      <c r="Q589" s="1"/>
      <c r="R589" s="1"/>
      <c r="S589" s="1"/>
      <c r="T589" s="1"/>
    </row>
    <row r="590" spans="1:20" ht="33.75" customHeight="1">
      <c r="A590" s="1" t="s">
        <v>12</v>
      </c>
      <c r="B590" s="1" t="s">
        <v>1814</v>
      </c>
      <c r="C590" s="4">
        <v>39858.175752314812</v>
      </c>
      <c r="D590" s="1" t="s">
        <v>175</v>
      </c>
      <c r="E590" s="1"/>
      <c r="F590" s="2" t="s">
        <v>1816</v>
      </c>
      <c r="G590" s="1">
        <f ca="1">IFERROR(__xludf.DUMMYFUNCTION("COUNTA(SPLIT(F590,"" ""))"),391)</f>
        <v>391</v>
      </c>
      <c r="H590" s="1">
        <v>391</v>
      </c>
      <c r="I590" s="1"/>
      <c r="J590" s="1"/>
      <c r="K590" s="1"/>
      <c r="L590" s="1"/>
      <c r="M590" s="1"/>
      <c r="N590" s="1"/>
      <c r="O590" s="1"/>
      <c r="P590" s="1"/>
      <c r="Q590" s="1"/>
      <c r="R590" s="1"/>
      <c r="S590" s="1"/>
      <c r="T590" s="1"/>
    </row>
    <row r="591" spans="1:20" ht="33.75" hidden="1" customHeight="1">
      <c r="A591" s="1" t="s">
        <v>1817</v>
      </c>
      <c r="B591" s="1" t="s">
        <v>1814</v>
      </c>
      <c r="C591" s="4">
        <v>39858.293055555558</v>
      </c>
      <c r="D591" s="1" t="s">
        <v>1768</v>
      </c>
      <c r="E591" s="1">
        <v>275</v>
      </c>
      <c r="F591" s="2" t="s">
        <v>1818</v>
      </c>
      <c r="G591" s="1">
        <f ca="1">IFERROR(__xludf.DUMMYFUNCTION("COUNTA(SPLIT(F591,"" ""))"),63)</f>
        <v>63</v>
      </c>
      <c r="H591" s="1">
        <v>63</v>
      </c>
      <c r="I591" s="1"/>
      <c r="J591" s="1"/>
      <c r="K591" s="1"/>
      <c r="L591" s="1"/>
      <c r="M591" s="1"/>
      <c r="N591" s="1"/>
      <c r="O591" s="1"/>
      <c r="P591" s="1"/>
      <c r="Q591" s="1"/>
      <c r="R591" s="1"/>
      <c r="S591" s="1"/>
      <c r="T591" s="1"/>
    </row>
    <row r="592" spans="1:20" ht="33.75" customHeight="1">
      <c r="A592" s="1" t="s">
        <v>1819</v>
      </c>
      <c r="B592" s="1" t="s">
        <v>1814</v>
      </c>
      <c r="C592" s="4">
        <v>39858.335416666669</v>
      </c>
      <c r="D592" s="1" t="s">
        <v>54</v>
      </c>
      <c r="E592" s="1"/>
      <c r="F592" s="2" t="s">
        <v>1821</v>
      </c>
      <c r="G592" s="1">
        <f ca="1">IFERROR(__xludf.DUMMYFUNCTION("COUNTA(SPLIT(F592,"" ""))"),81)</f>
        <v>81</v>
      </c>
      <c r="H592" s="1">
        <v>81</v>
      </c>
      <c r="I592" s="1"/>
      <c r="J592" s="1"/>
      <c r="K592" s="1"/>
      <c r="L592" s="1"/>
      <c r="M592" s="1"/>
      <c r="N592" s="1"/>
      <c r="O592" s="1"/>
      <c r="P592" s="1"/>
      <c r="Q592" s="1"/>
      <c r="R592" s="1"/>
      <c r="S592" s="1"/>
      <c r="T592" s="1"/>
    </row>
    <row r="593" spans="1:20" ht="33.75" customHeight="1">
      <c r="A593" s="1" t="s">
        <v>1822</v>
      </c>
      <c r="B593" s="1" t="s">
        <v>1196</v>
      </c>
      <c r="C593" s="4">
        <v>39858.347916666666</v>
      </c>
      <c r="D593" s="1" t="s">
        <v>255</v>
      </c>
      <c r="E593" s="1"/>
      <c r="F593" s="2" t="s">
        <v>1823</v>
      </c>
      <c r="G593" s="1">
        <f ca="1">IFERROR(__xludf.DUMMYFUNCTION("COUNTA(SPLIT(F593,"" ""))"),64)</f>
        <v>64</v>
      </c>
      <c r="H593" s="1">
        <v>64</v>
      </c>
      <c r="I593" s="1"/>
      <c r="J593" s="1"/>
      <c r="K593" s="1"/>
      <c r="L593" s="1"/>
      <c r="M593" s="1"/>
      <c r="N593" s="1"/>
      <c r="O593" s="1"/>
      <c r="P593" s="1"/>
      <c r="Q593" s="1"/>
      <c r="R593" s="1"/>
      <c r="S593" s="1"/>
      <c r="T593" s="1"/>
    </row>
    <row r="594" spans="1:20" ht="33.75" customHeight="1">
      <c r="A594" s="1" t="s">
        <v>1824</v>
      </c>
      <c r="B594" s="1" t="s">
        <v>1696</v>
      </c>
      <c r="C594" s="4">
        <v>39858.359027777777</v>
      </c>
      <c r="D594" s="1" t="s">
        <v>54</v>
      </c>
      <c r="E594" s="1"/>
      <c r="F594" s="2" t="s">
        <v>1826</v>
      </c>
      <c r="G594" s="1">
        <f ca="1">IFERROR(__xludf.DUMMYFUNCTION("COUNTA(SPLIT(F594,"" ""))"),349)</f>
        <v>349</v>
      </c>
      <c r="H594" s="1">
        <v>349</v>
      </c>
      <c r="I594" s="1"/>
      <c r="J594" s="1"/>
      <c r="K594" s="1"/>
      <c r="L594" s="1"/>
      <c r="M594" s="1"/>
      <c r="N594" s="1"/>
      <c r="O594" s="1"/>
      <c r="P594" s="1"/>
      <c r="Q594" s="1"/>
      <c r="R594" s="1"/>
      <c r="S594" s="1"/>
      <c r="T594" s="1"/>
    </row>
    <row r="595" spans="1:20" ht="33.75" hidden="1" customHeight="1">
      <c r="A595" s="1" t="s">
        <v>1827</v>
      </c>
      <c r="B595" s="1" t="s">
        <v>1196</v>
      </c>
      <c r="C595" s="4">
        <v>39858.361805555556</v>
      </c>
      <c r="D595" s="1" t="s">
        <v>54</v>
      </c>
      <c r="E595" s="1" t="s">
        <v>1822</v>
      </c>
      <c r="F595" s="2" t="s">
        <v>1828</v>
      </c>
      <c r="G595" s="1">
        <f ca="1">IFERROR(__xludf.DUMMYFUNCTION("COUNTA(SPLIT(F595,"" ""))"),61)</f>
        <v>61</v>
      </c>
      <c r="H595" s="1">
        <v>61</v>
      </c>
      <c r="I595" s="1"/>
      <c r="J595" s="1"/>
      <c r="K595" s="1"/>
      <c r="L595" s="1"/>
      <c r="M595" s="1"/>
      <c r="N595" s="1"/>
      <c r="O595" s="1"/>
      <c r="P595" s="1"/>
      <c r="Q595" s="1"/>
      <c r="R595" s="1"/>
      <c r="S595" s="1"/>
      <c r="T595" s="1"/>
    </row>
    <row r="596" spans="1:20" ht="33.75" customHeight="1">
      <c r="A596" s="1" t="s">
        <v>1829</v>
      </c>
      <c r="B596" s="1" t="s">
        <v>1519</v>
      </c>
      <c r="C596" s="4">
        <v>39858.383333333331</v>
      </c>
      <c r="D596" s="1" t="s">
        <v>320</v>
      </c>
      <c r="E596" s="1"/>
      <c r="F596" s="2" t="s">
        <v>1831</v>
      </c>
      <c r="G596" s="1">
        <f ca="1">IFERROR(__xludf.DUMMYFUNCTION("COUNTA(SPLIT(F596,"" ""))"),282)</f>
        <v>282</v>
      </c>
      <c r="H596" s="1">
        <v>282</v>
      </c>
      <c r="I596" s="1"/>
      <c r="J596" s="1"/>
      <c r="K596" s="1"/>
      <c r="L596" s="1"/>
      <c r="M596" s="1"/>
      <c r="N596" s="1"/>
      <c r="O596" s="1"/>
      <c r="P596" s="1"/>
      <c r="Q596" s="1"/>
      <c r="R596" s="1"/>
      <c r="S596" s="1"/>
      <c r="T596" s="1"/>
    </row>
    <row r="597" spans="1:20" ht="33.75" hidden="1" customHeight="1">
      <c r="A597" s="1" t="s">
        <v>1832</v>
      </c>
      <c r="B597" s="1" t="s">
        <v>1196</v>
      </c>
      <c r="C597" s="4">
        <v>39858.385416666664</v>
      </c>
      <c r="D597" s="1" t="s">
        <v>14</v>
      </c>
      <c r="E597" s="1" t="s">
        <v>1822</v>
      </c>
      <c r="F597" s="2" t="s">
        <v>1833</v>
      </c>
      <c r="G597" s="1">
        <f ca="1">IFERROR(__xludf.DUMMYFUNCTION("COUNTA(SPLIT(F597,"" ""))"),63)</f>
        <v>63</v>
      </c>
      <c r="H597" s="1">
        <v>63</v>
      </c>
      <c r="I597" s="1"/>
      <c r="J597" s="1"/>
      <c r="K597" s="1"/>
      <c r="L597" s="1"/>
      <c r="M597" s="1"/>
      <c r="N597" s="1"/>
      <c r="O597" s="1"/>
      <c r="P597" s="1"/>
      <c r="Q597" s="1"/>
      <c r="R597" s="1"/>
      <c r="S597" s="1"/>
      <c r="T597" s="1"/>
    </row>
    <row r="598" spans="1:20" ht="33.75" hidden="1" customHeight="1">
      <c r="A598" s="1" t="s">
        <v>1834</v>
      </c>
      <c r="B598" s="1" t="s">
        <v>1696</v>
      </c>
      <c r="C598" s="4">
        <v>39858.404166666667</v>
      </c>
      <c r="D598" s="1" t="s">
        <v>14</v>
      </c>
      <c r="E598" s="1" t="s">
        <v>1835</v>
      </c>
      <c r="F598" s="2" t="s">
        <v>1837</v>
      </c>
      <c r="G598" s="1">
        <f ca="1">IFERROR(__xludf.DUMMYFUNCTION("COUNTA(SPLIT(F598,"" ""))"),255)</f>
        <v>255</v>
      </c>
      <c r="H598" s="1">
        <v>255</v>
      </c>
      <c r="I598" s="1"/>
      <c r="J598" s="1"/>
      <c r="K598" s="1"/>
      <c r="L598" s="1"/>
      <c r="M598" s="1"/>
      <c r="N598" s="1"/>
      <c r="O598" s="1"/>
      <c r="P598" s="1"/>
      <c r="Q598" s="1"/>
      <c r="R598" s="1"/>
      <c r="S598" s="1"/>
      <c r="T598" s="1"/>
    </row>
    <row r="599" spans="1:20" ht="33.75" hidden="1" customHeight="1">
      <c r="A599" s="1" t="s">
        <v>1838</v>
      </c>
      <c r="B599" s="1" t="s">
        <v>1519</v>
      </c>
      <c r="C599" s="4">
        <v>39858.423611111109</v>
      </c>
      <c r="D599" s="1" t="s">
        <v>54</v>
      </c>
      <c r="E599" s="1" t="s">
        <v>1829</v>
      </c>
      <c r="F599" s="2" t="s">
        <v>1840</v>
      </c>
      <c r="G599" s="1">
        <f ca="1">IFERROR(__xludf.DUMMYFUNCTION("COUNTA(SPLIT(F599,"" ""))"),129)</f>
        <v>129</v>
      </c>
      <c r="H599" s="1">
        <v>129</v>
      </c>
      <c r="I599" s="1"/>
      <c r="J599" s="1"/>
      <c r="K599" s="1"/>
      <c r="L599" s="1"/>
      <c r="M599" s="1"/>
      <c r="N599" s="1"/>
      <c r="O599" s="1"/>
      <c r="P599" s="1"/>
      <c r="Q599" s="1"/>
      <c r="R599" s="1"/>
      <c r="S599" s="1"/>
      <c r="T599" s="1"/>
    </row>
    <row r="600" spans="1:20" ht="33.75" customHeight="1">
      <c r="A600" s="1" t="s">
        <v>1841</v>
      </c>
      <c r="B600" s="1" t="s">
        <v>1519</v>
      </c>
      <c r="C600" s="4">
        <v>39858.440972222219</v>
      </c>
      <c r="D600" s="1" t="s">
        <v>54</v>
      </c>
      <c r="E600" s="1"/>
      <c r="F600" s="2" t="s">
        <v>1843</v>
      </c>
      <c r="G600" s="1">
        <f ca="1">IFERROR(__xludf.DUMMYFUNCTION("COUNTA(SPLIT(F600,"" ""))"),394)</f>
        <v>394</v>
      </c>
      <c r="H600" s="1">
        <v>394</v>
      </c>
      <c r="I600" s="1"/>
      <c r="J600" s="1"/>
      <c r="K600" s="1"/>
      <c r="L600" s="1"/>
      <c r="M600" s="1"/>
      <c r="N600" s="1"/>
      <c r="O600" s="1"/>
      <c r="P600" s="1"/>
      <c r="Q600" s="1"/>
      <c r="R600" s="1"/>
      <c r="S600" s="1"/>
      <c r="T600" s="1"/>
    </row>
    <row r="601" spans="1:20" ht="33.75" customHeight="1">
      <c r="A601" s="1" t="s">
        <v>1844</v>
      </c>
      <c r="B601" s="1" t="s">
        <v>1519</v>
      </c>
      <c r="C601" s="4">
        <v>39858.49722222222</v>
      </c>
      <c r="D601" s="1" t="s">
        <v>54</v>
      </c>
      <c r="E601" s="1"/>
      <c r="F601" s="2" t="s">
        <v>1846</v>
      </c>
      <c r="G601" s="1">
        <f ca="1">IFERROR(__xludf.DUMMYFUNCTION("COUNTA(SPLIT(F601,"" ""))"),273)</f>
        <v>273</v>
      </c>
      <c r="H601" s="1">
        <v>273</v>
      </c>
      <c r="I601" s="1"/>
      <c r="J601" s="1"/>
      <c r="K601" s="1"/>
      <c r="L601" s="1"/>
      <c r="M601" s="1"/>
      <c r="N601" s="1"/>
      <c r="O601" s="1"/>
      <c r="P601" s="1"/>
      <c r="Q601" s="1"/>
      <c r="R601" s="1"/>
      <c r="S601" s="1"/>
      <c r="T601" s="1"/>
    </row>
    <row r="602" spans="1:20" ht="33.75" hidden="1" customHeight="1">
      <c r="A602" s="1" t="s">
        <v>1847</v>
      </c>
      <c r="B602" s="1" t="s">
        <v>1519</v>
      </c>
      <c r="C602" s="4">
        <v>39858.536805555559</v>
      </c>
      <c r="D602" s="1" t="s">
        <v>54</v>
      </c>
      <c r="E602" s="1" t="s">
        <v>1844</v>
      </c>
      <c r="F602" s="2" t="s">
        <v>1849</v>
      </c>
      <c r="G602" s="1">
        <f ca="1">IFERROR(__xludf.DUMMYFUNCTION("COUNTA(SPLIT(F602,"" ""))"),48)</f>
        <v>48</v>
      </c>
      <c r="H602" s="1">
        <v>48</v>
      </c>
      <c r="I602" s="1"/>
      <c r="J602" s="1"/>
      <c r="K602" s="1"/>
      <c r="L602" s="1"/>
      <c r="M602" s="1"/>
      <c r="N602" s="1"/>
      <c r="O602" s="1"/>
      <c r="P602" s="1"/>
      <c r="Q602" s="1"/>
      <c r="R602" s="1"/>
      <c r="S602" s="1"/>
      <c r="T602" s="1"/>
    </row>
    <row r="603" spans="1:20" ht="33.75" hidden="1" customHeight="1">
      <c r="A603" s="1" t="s">
        <v>1850</v>
      </c>
      <c r="B603" s="1" t="s">
        <v>1519</v>
      </c>
      <c r="C603" s="4">
        <v>39858.584027777775</v>
      </c>
      <c r="D603" s="1" t="s">
        <v>320</v>
      </c>
      <c r="E603" s="1" t="s">
        <v>1844</v>
      </c>
      <c r="F603" s="2" t="s">
        <v>1853</v>
      </c>
      <c r="G603" s="1">
        <f ca="1">IFERROR(__xludf.DUMMYFUNCTION("COUNTA(SPLIT(F603,"" ""))"),60)</f>
        <v>60</v>
      </c>
      <c r="H603" s="1">
        <v>60</v>
      </c>
      <c r="I603" s="1"/>
      <c r="J603" s="1"/>
      <c r="K603" s="1"/>
      <c r="L603" s="1"/>
      <c r="M603" s="1"/>
      <c r="N603" s="1"/>
      <c r="O603" s="1"/>
      <c r="P603" s="1"/>
      <c r="Q603" s="1"/>
      <c r="R603" s="1"/>
      <c r="S603" s="1"/>
      <c r="T603" s="1"/>
    </row>
    <row r="604" spans="1:20" ht="33.75" hidden="1" customHeight="1">
      <c r="A604" s="1" t="s">
        <v>1854</v>
      </c>
      <c r="B604" s="1" t="s">
        <v>1519</v>
      </c>
      <c r="C604" s="4">
        <v>39858.61041666667</v>
      </c>
      <c r="D604" s="1" t="s">
        <v>54</v>
      </c>
      <c r="E604" s="1" t="s">
        <v>1850</v>
      </c>
      <c r="F604" s="2" t="s">
        <v>1856</v>
      </c>
      <c r="G604" s="1">
        <f ca="1">IFERROR(__xludf.DUMMYFUNCTION("COUNTA(SPLIT(F604,"" ""))"),227)</f>
        <v>227</v>
      </c>
      <c r="H604" s="1">
        <v>227</v>
      </c>
      <c r="I604" s="1"/>
      <c r="J604" s="1"/>
      <c r="K604" s="1"/>
      <c r="L604" s="1"/>
      <c r="M604" s="1"/>
      <c r="N604" s="1"/>
      <c r="O604" s="1"/>
      <c r="P604" s="1"/>
      <c r="Q604" s="1"/>
      <c r="R604" s="1"/>
      <c r="S604" s="1"/>
      <c r="T604" s="1"/>
    </row>
    <row r="605" spans="1:20" ht="33.75" hidden="1" customHeight="1">
      <c r="A605" s="1" t="s">
        <v>1857</v>
      </c>
      <c r="B605" s="1" t="s">
        <v>1696</v>
      </c>
      <c r="C605" s="4">
        <v>39858.71875</v>
      </c>
      <c r="D605" s="1" t="s">
        <v>320</v>
      </c>
      <c r="E605" s="1" t="s">
        <v>1824</v>
      </c>
      <c r="F605" s="2" t="s">
        <v>1858</v>
      </c>
      <c r="G605" s="1">
        <f ca="1">IFERROR(__xludf.DUMMYFUNCTION("COUNTA(SPLIT(F605,"" ""))"),57)</f>
        <v>57</v>
      </c>
      <c r="H605" s="1">
        <v>57</v>
      </c>
      <c r="I605" s="1"/>
      <c r="J605" s="1"/>
      <c r="K605" s="1"/>
      <c r="L605" s="1"/>
      <c r="M605" s="1"/>
      <c r="N605" s="1"/>
      <c r="O605" s="1"/>
      <c r="P605" s="1"/>
      <c r="Q605" s="1"/>
      <c r="R605" s="1"/>
      <c r="S605" s="1"/>
      <c r="T605" s="1"/>
    </row>
    <row r="606" spans="1:20" ht="33.75" hidden="1" customHeight="1">
      <c r="A606" s="1" t="s">
        <v>1859</v>
      </c>
      <c r="B606" s="1" t="s">
        <v>1519</v>
      </c>
      <c r="C606" s="4">
        <v>39858.836805555555</v>
      </c>
      <c r="D606" s="1" t="s">
        <v>320</v>
      </c>
      <c r="E606" s="1" t="s">
        <v>1854</v>
      </c>
      <c r="F606" s="2" t="s">
        <v>1862</v>
      </c>
      <c r="G606" s="1">
        <f ca="1">IFERROR(__xludf.DUMMYFUNCTION("COUNTA(SPLIT(F606,"" ""))"),49)</f>
        <v>49</v>
      </c>
      <c r="H606" s="1">
        <v>49</v>
      </c>
      <c r="I606" s="1"/>
      <c r="J606" s="1"/>
      <c r="K606" s="1"/>
      <c r="L606" s="1"/>
      <c r="M606" s="1"/>
      <c r="N606" s="1"/>
      <c r="O606" s="1"/>
      <c r="P606" s="1"/>
      <c r="Q606" s="1"/>
      <c r="R606" s="1"/>
      <c r="S606" s="1"/>
      <c r="T606" s="1"/>
    </row>
    <row r="607" spans="1:20" ht="33.75" hidden="1" customHeight="1">
      <c r="A607" s="1" t="s">
        <v>1863</v>
      </c>
      <c r="B607" s="1" t="s">
        <v>1196</v>
      </c>
      <c r="C607" s="4">
        <v>39858.845138888886</v>
      </c>
      <c r="D607" s="1" t="s">
        <v>255</v>
      </c>
      <c r="E607" s="1" t="s">
        <v>1864</v>
      </c>
      <c r="F607" s="2" t="s">
        <v>1866</v>
      </c>
      <c r="G607" s="1">
        <f ca="1">IFERROR(__xludf.DUMMYFUNCTION("COUNTA(SPLIT(F607,"" ""))"),128)</f>
        <v>128</v>
      </c>
      <c r="H607" s="1">
        <v>128</v>
      </c>
      <c r="I607" s="1"/>
      <c r="J607" s="1"/>
      <c r="K607" s="1"/>
      <c r="L607" s="1"/>
      <c r="M607" s="1"/>
      <c r="N607" s="1"/>
      <c r="O607" s="1"/>
      <c r="P607" s="1"/>
      <c r="Q607" s="1"/>
      <c r="R607" s="1"/>
      <c r="S607" s="1"/>
      <c r="T607" s="1"/>
    </row>
    <row r="608" spans="1:20" ht="33.75" hidden="1" customHeight="1">
      <c r="A608" s="1" t="s">
        <v>1867</v>
      </c>
      <c r="B608" s="1" t="s">
        <v>1696</v>
      </c>
      <c r="C608" s="4">
        <v>39858.914583333331</v>
      </c>
      <c r="D608" s="1" t="s">
        <v>54</v>
      </c>
      <c r="E608" s="1" t="s">
        <v>1857</v>
      </c>
      <c r="F608" s="2" t="s">
        <v>1868</v>
      </c>
      <c r="G608" s="1">
        <f ca="1">IFERROR(__xludf.DUMMYFUNCTION("COUNTA(SPLIT(F608,"" ""))"),51)</f>
        <v>51</v>
      </c>
      <c r="H608" s="1">
        <v>51</v>
      </c>
      <c r="I608" s="1"/>
      <c r="J608" s="1"/>
      <c r="K608" s="1"/>
      <c r="L608" s="1"/>
      <c r="M608" s="1"/>
      <c r="N608" s="1"/>
      <c r="O608" s="1"/>
      <c r="P608" s="1"/>
      <c r="Q608" s="1"/>
      <c r="R608" s="1"/>
      <c r="S608" s="1"/>
      <c r="T608" s="1"/>
    </row>
    <row r="609" spans="1:20" ht="33.75" customHeight="1">
      <c r="A609" s="1" t="s">
        <v>1869</v>
      </c>
      <c r="B609" s="1" t="s">
        <v>1814</v>
      </c>
      <c r="C609" s="4">
        <v>39858.918055555558</v>
      </c>
      <c r="D609" s="1" t="s">
        <v>1089</v>
      </c>
      <c r="E609" s="1"/>
      <c r="F609" s="2" t="s">
        <v>1871</v>
      </c>
      <c r="G609" s="1">
        <f ca="1">IFERROR(__xludf.DUMMYFUNCTION("COUNTA(SPLIT(F609,"" ""))"),37)</f>
        <v>37</v>
      </c>
      <c r="H609" s="1">
        <v>37</v>
      </c>
      <c r="I609" s="1"/>
      <c r="J609" s="1"/>
      <c r="K609" s="1"/>
      <c r="L609" s="1"/>
      <c r="M609" s="1"/>
      <c r="N609" s="1"/>
      <c r="O609" s="1"/>
      <c r="P609" s="1"/>
      <c r="Q609" s="1"/>
      <c r="R609" s="1"/>
      <c r="S609" s="1"/>
      <c r="T609" s="1"/>
    </row>
    <row r="610" spans="1:20" ht="33.75" hidden="1" customHeight="1">
      <c r="A610" s="1" t="s">
        <v>1872</v>
      </c>
      <c r="B610" s="1" t="s">
        <v>1814</v>
      </c>
      <c r="C610" s="4">
        <v>39858.938194444447</v>
      </c>
      <c r="D610" s="1" t="s">
        <v>1089</v>
      </c>
      <c r="E610" s="1" t="s">
        <v>1869</v>
      </c>
      <c r="F610" s="2" t="s">
        <v>1874</v>
      </c>
      <c r="G610" s="1">
        <f ca="1">IFERROR(__xludf.DUMMYFUNCTION("COUNTA(SPLIT(F610,"" ""))"),56)</f>
        <v>56</v>
      </c>
      <c r="H610" s="1">
        <v>56</v>
      </c>
      <c r="I610" s="1"/>
      <c r="J610" s="1"/>
      <c r="K610" s="1"/>
      <c r="L610" s="1"/>
      <c r="M610" s="1"/>
      <c r="N610" s="1"/>
      <c r="O610" s="1"/>
      <c r="P610" s="1"/>
      <c r="Q610" s="1"/>
      <c r="R610" s="1"/>
      <c r="S610" s="1"/>
      <c r="T610" s="1"/>
    </row>
    <row r="611" spans="1:20" ht="33.75" hidden="1" customHeight="1">
      <c r="A611" s="1" t="s">
        <v>1875</v>
      </c>
      <c r="B611" s="1" t="s">
        <v>1814</v>
      </c>
      <c r="C611" s="4">
        <v>39858.949305555558</v>
      </c>
      <c r="D611" s="1" t="s">
        <v>54</v>
      </c>
      <c r="E611" s="1" t="s">
        <v>1872</v>
      </c>
      <c r="F611" s="2" t="s">
        <v>1876</v>
      </c>
      <c r="G611" s="1">
        <f ca="1">IFERROR(__xludf.DUMMYFUNCTION("COUNTA(SPLIT(F611,"" ""))"),46)</f>
        <v>46</v>
      </c>
      <c r="H611" s="1">
        <v>46</v>
      </c>
      <c r="I611" s="1"/>
      <c r="J611" s="1"/>
      <c r="K611" s="1"/>
      <c r="L611" s="1"/>
      <c r="M611" s="1"/>
      <c r="N611" s="1"/>
      <c r="O611" s="1"/>
      <c r="P611" s="1"/>
      <c r="Q611" s="1"/>
      <c r="R611" s="1"/>
      <c r="S611" s="1"/>
      <c r="T611" s="1"/>
    </row>
    <row r="612" spans="1:20" ht="33.75" hidden="1" customHeight="1">
      <c r="A612" s="1" t="s">
        <v>1877</v>
      </c>
      <c r="B612" s="1" t="s">
        <v>1519</v>
      </c>
      <c r="C612" s="4">
        <v>39858.959722222222</v>
      </c>
      <c r="D612" s="1" t="s">
        <v>54</v>
      </c>
      <c r="E612" s="1" t="s">
        <v>1859</v>
      </c>
      <c r="F612" s="2" t="s">
        <v>1879</v>
      </c>
      <c r="G612" s="1">
        <f ca="1">IFERROR(__xludf.DUMMYFUNCTION("COUNTA(SPLIT(F612,"" ""))"),308)</f>
        <v>308</v>
      </c>
      <c r="H612" s="1">
        <v>308</v>
      </c>
      <c r="I612" s="1"/>
      <c r="J612" s="1"/>
      <c r="K612" s="1"/>
      <c r="L612" s="1"/>
      <c r="M612" s="1"/>
      <c r="N612" s="1"/>
      <c r="O612" s="1"/>
      <c r="P612" s="1"/>
      <c r="Q612" s="1"/>
      <c r="R612" s="1"/>
      <c r="S612" s="1"/>
      <c r="T612" s="1"/>
    </row>
    <row r="613" spans="1:20" ht="33.75" hidden="1" customHeight="1">
      <c r="A613" s="1" t="s">
        <v>1880</v>
      </c>
      <c r="B613" s="1" t="s">
        <v>1814</v>
      </c>
      <c r="C613" s="4">
        <v>39859.005555555559</v>
      </c>
      <c r="D613" s="1" t="s">
        <v>1089</v>
      </c>
      <c r="E613" s="1" t="s">
        <v>1875</v>
      </c>
      <c r="F613" s="2" t="s">
        <v>1882</v>
      </c>
      <c r="G613" s="1">
        <f ca="1">IFERROR(__xludf.DUMMYFUNCTION("COUNTA(SPLIT(F613,"" ""))"),55)</f>
        <v>55</v>
      </c>
      <c r="H613" s="1">
        <v>55</v>
      </c>
      <c r="I613" s="1"/>
      <c r="J613" s="1"/>
      <c r="K613" s="1"/>
      <c r="L613" s="1"/>
      <c r="M613" s="1"/>
      <c r="N613" s="1"/>
      <c r="O613" s="1"/>
      <c r="P613" s="1"/>
      <c r="Q613" s="1"/>
      <c r="R613" s="1"/>
      <c r="S613" s="1"/>
      <c r="T613" s="1"/>
    </row>
    <row r="614" spans="1:20" ht="33.75" customHeight="1">
      <c r="A614" s="1" t="s">
        <v>1883</v>
      </c>
      <c r="B614" s="1" t="s">
        <v>1196</v>
      </c>
      <c r="C614" s="4">
        <v>39859.195138888892</v>
      </c>
      <c r="D614" s="1" t="s">
        <v>54</v>
      </c>
      <c r="E614" s="1"/>
      <c r="F614" s="2" t="s">
        <v>1885</v>
      </c>
      <c r="G614" s="1">
        <f ca="1">IFERROR(__xludf.DUMMYFUNCTION("COUNTA(SPLIT(F614,"" ""))"),129)</f>
        <v>129</v>
      </c>
      <c r="H614" s="1">
        <v>129</v>
      </c>
      <c r="I614" s="1"/>
      <c r="J614" s="1"/>
      <c r="K614" s="1"/>
      <c r="L614" s="1"/>
      <c r="M614" s="1"/>
      <c r="N614" s="1"/>
      <c r="O614" s="1"/>
      <c r="P614" s="1"/>
      <c r="Q614" s="1"/>
      <c r="R614" s="1"/>
      <c r="S614" s="1"/>
      <c r="T614" s="1"/>
    </row>
    <row r="615" spans="1:20" ht="33.75" customHeight="1">
      <c r="A615" s="1" t="s">
        <v>1886</v>
      </c>
      <c r="B615" s="1" t="s">
        <v>1814</v>
      </c>
      <c r="C615" s="4">
        <v>39859.322222222225</v>
      </c>
      <c r="D615" s="1" t="s">
        <v>1887</v>
      </c>
      <c r="E615" s="1"/>
      <c r="F615" s="2" t="s">
        <v>1889</v>
      </c>
      <c r="G615" s="1">
        <f ca="1">IFERROR(__xludf.DUMMYFUNCTION("COUNTA(SPLIT(F615,"" ""))"),84)</f>
        <v>84</v>
      </c>
      <c r="H615" s="1">
        <v>84</v>
      </c>
      <c r="I615" s="1"/>
      <c r="J615" s="1"/>
      <c r="K615" s="1"/>
      <c r="L615" s="1"/>
      <c r="M615" s="1"/>
      <c r="N615" s="1"/>
      <c r="O615" s="1"/>
      <c r="P615" s="1"/>
      <c r="Q615" s="1"/>
      <c r="R615" s="1"/>
      <c r="S615" s="1"/>
      <c r="T615" s="1"/>
    </row>
    <row r="616" spans="1:20" ht="33.75" hidden="1" customHeight="1">
      <c r="A616" s="1" t="s">
        <v>1890</v>
      </c>
      <c r="B616" s="1" t="s">
        <v>1696</v>
      </c>
      <c r="C616" s="4">
        <v>39859.337500000001</v>
      </c>
      <c r="D616" s="1" t="s">
        <v>54</v>
      </c>
      <c r="E616" s="1">
        <v>130</v>
      </c>
      <c r="F616" s="2" t="s">
        <v>1893</v>
      </c>
      <c r="G616" s="1">
        <f ca="1">IFERROR(__xludf.DUMMYFUNCTION("COUNTA(SPLIT(F616,"" ""))"),160)</f>
        <v>160</v>
      </c>
      <c r="H616" s="1">
        <v>160</v>
      </c>
      <c r="I616" s="1"/>
      <c r="J616" s="1"/>
      <c r="K616" s="1"/>
      <c r="L616" s="1"/>
      <c r="M616" s="1"/>
      <c r="N616" s="1"/>
      <c r="O616" s="1"/>
      <c r="P616" s="1"/>
      <c r="Q616" s="1"/>
      <c r="R616" s="1"/>
      <c r="S616" s="1"/>
      <c r="T616" s="1"/>
    </row>
    <row r="617" spans="1:20" ht="33.75" hidden="1" customHeight="1">
      <c r="A617" s="1" t="s">
        <v>1894</v>
      </c>
      <c r="B617" s="1" t="s">
        <v>1814</v>
      </c>
      <c r="C617" s="4">
        <v>39859.378472222219</v>
      </c>
      <c r="D617" s="1" t="s">
        <v>54</v>
      </c>
      <c r="E617" s="1" t="s">
        <v>1886</v>
      </c>
      <c r="F617" s="2" t="s">
        <v>1896</v>
      </c>
      <c r="G617" s="1">
        <f ca="1">IFERROR(__xludf.DUMMYFUNCTION("COUNTA(SPLIT(F617,"" ""))"),98)</f>
        <v>98</v>
      </c>
      <c r="H617" s="1">
        <v>98</v>
      </c>
      <c r="I617" s="1"/>
      <c r="J617" s="1"/>
      <c r="K617" s="1"/>
      <c r="L617" s="1"/>
      <c r="M617" s="1"/>
      <c r="N617" s="1"/>
      <c r="O617" s="1"/>
      <c r="P617" s="1"/>
      <c r="Q617" s="1"/>
      <c r="R617" s="1"/>
      <c r="S617" s="1"/>
      <c r="T617" s="1"/>
    </row>
    <row r="618" spans="1:20" ht="33.75" customHeight="1">
      <c r="A618" s="1" t="s">
        <v>1897</v>
      </c>
      <c r="B618" s="1" t="s">
        <v>1196</v>
      </c>
      <c r="C618" s="4">
        <v>39859.394444444442</v>
      </c>
      <c r="D618" s="1" t="s">
        <v>255</v>
      </c>
      <c r="E618" s="1"/>
      <c r="F618" s="2" t="s">
        <v>1899</v>
      </c>
      <c r="G618" s="1">
        <f ca="1">IFERROR(__xludf.DUMMYFUNCTION("COUNTA(SPLIT(F618,"" ""))"),460)</f>
        <v>460</v>
      </c>
      <c r="H618" s="1">
        <v>460</v>
      </c>
      <c r="I618" s="1"/>
      <c r="J618" s="1"/>
      <c r="K618" s="1"/>
      <c r="L618" s="1"/>
      <c r="M618" s="1"/>
      <c r="N618" s="1"/>
      <c r="O618" s="1"/>
      <c r="P618" s="1"/>
      <c r="Q618" s="1"/>
      <c r="R618" s="1"/>
      <c r="S618" s="1"/>
      <c r="T618" s="1"/>
    </row>
    <row r="619" spans="1:20" ht="33.75" customHeight="1">
      <c r="A619" s="1" t="s">
        <v>1900</v>
      </c>
      <c r="B619" s="1" t="s">
        <v>1196</v>
      </c>
      <c r="C619" s="4">
        <v>39859.414583333331</v>
      </c>
      <c r="D619" s="1" t="s">
        <v>255</v>
      </c>
      <c r="E619" s="1"/>
      <c r="F619" s="2" t="s">
        <v>1901</v>
      </c>
      <c r="G619" s="1">
        <f ca="1">IFERROR(__xludf.DUMMYFUNCTION("COUNTA(SPLIT(F619,"" ""))"),46)</f>
        <v>46</v>
      </c>
      <c r="H619" s="1">
        <v>46</v>
      </c>
      <c r="I619" s="1"/>
      <c r="J619" s="1"/>
      <c r="K619" s="1"/>
      <c r="L619" s="1"/>
      <c r="M619" s="1"/>
      <c r="N619" s="1"/>
      <c r="O619" s="1"/>
      <c r="P619" s="1"/>
      <c r="Q619" s="1"/>
      <c r="R619" s="1"/>
      <c r="S619" s="1"/>
      <c r="T619" s="1"/>
    </row>
    <row r="620" spans="1:20" ht="33.75" customHeight="1">
      <c r="A620" s="1" t="s">
        <v>1902</v>
      </c>
      <c r="B620" s="1" t="s">
        <v>1814</v>
      </c>
      <c r="C620" s="4">
        <v>39859.470833333333</v>
      </c>
      <c r="D620" s="1" t="s">
        <v>772</v>
      </c>
      <c r="E620" s="1"/>
      <c r="F620" s="2" t="s">
        <v>1903</v>
      </c>
      <c r="G620" s="1">
        <f ca="1">IFERROR(__xludf.DUMMYFUNCTION("COUNTA(SPLIT(F620,"" ""))"),61)</f>
        <v>61</v>
      </c>
      <c r="H620" s="1">
        <v>61</v>
      </c>
      <c r="I620" s="1"/>
      <c r="J620" s="1"/>
      <c r="K620" s="1"/>
      <c r="L620" s="1"/>
      <c r="M620" s="1"/>
      <c r="N620" s="1"/>
      <c r="O620" s="1"/>
      <c r="P620" s="1"/>
      <c r="Q620" s="1"/>
      <c r="R620" s="1"/>
      <c r="S620" s="1"/>
      <c r="T620" s="1"/>
    </row>
    <row r="621" spans="1:20" ht="33.75" customHeight="1">
      <c r="A621" s="1" t="s">
        <v>1904</v>
      </c>
      <c r="B621" s="1" t="s">
        <v>1814</v>
      </c>
      <c r="C621" s="4">
        <v>39859.491666666669</v>
      </c>
      <c r="D621" s="1" t="s">
        <v>772</v>
      </c>
      <c r="E621" s="1"/>
      <c r="F621" s="2" t="s">
        <v>1905</v>
      </c>
      <c r="G621" s="1">
        <f ca="1">IFERROR(__xludf.DUMMYFUNCTION("COUNTA(SPLIT(F621,"" ""))"),27)</f>
        <v>27</v>
      </c>
      <c r="H621" s="1">
        <v>27</v>
      </c>
      <c r="I621" s="1"/>
      <c r="J621" s="1"/>
      <c r="K621" s="1"/>
      <c r="L621" s="1"/>
      <c r="M621" s="1"/>
      <c r="N621" s="1"/>
      <c r="O621" s="1"/>
      <c r="P621" s="1"/>
      <c r="Q621" s="1"/>
      <c r="R621" s="1"/>
      <c r="S621" s="1"/>
      <c r="T621" s="1"/>
    </row>
    <row r="622" spans="1:20" ht="33.75" customHeight="1">
      <c r="A622" s="1" t="s">
        <v>1906</v>
      </c>
      <c r="B622" s="1" t="s">
        <v>1814</v>
      </c>
      <c r="C622" s="4">
        <v>39859.574999999997</v>
      </c>
      <c r="D622" s="1" t="s">
        <v>54</v>
      </c>
      <c r="E622" s="1"/>
      <c r="F622" s="2" t="s">
        <v>1907</v>
      </c>
      <c r="G622" s="1">
        <f ca="1">IFERROR(__xludf.DUMMYFUNCTION("COUNTA(SPLIT(F622,"" ""))"),111)</f>
        <v>111</v>
      </c>
      <c r="H622" s="1">
        <v>111</v>
      </c>
      <c r="I622" s="1"/>
      <c r="J622" s="1"/>
      <c r="K622" s="1"/>
      <c r="L622" s="1"/>
      <c r="M622" s="1"/>
      <c r="N622" s="1"/>
      <c r="O622" s="1"/>
      <c r="P622" s="1"/>
      <c r="Q622" s="1"/>
      <c r="R622" s="1"/>
      <c r="S622" s="1"/>
      <c r="T622" s="1"/>
    </row>
    <row r="623" spans="1:20" ht="33.75" customHeight="1">
      <c r="A623" s="1" t="s">
        <v>1908</v>
      </c>
      <c r="B623" s="1" t="s">
        <v>1814</v>
      </c>
      <c r="C623" s="4">
        <v>39859.586111111108</v>
      </c>
      <c r="D623" s="1" t="s">
        <v>1887</v>
      </c>
      <c r="E623" s="1"/>
      <c r="F623" s="2" t="s">
        <v>1910</v>
      </c>
      <c r="G623" s="1">
        <f ca="1">IFERROR(__xludf.DUMMYFUNCTION("COUNTA(SPLIT(F623,"" ""))"),175)</f>
        <v>175</v>
      </c>
      <c r="H623" s="1">
        <v>175</v>
      </c>
      <c r="I623" s="1"/>
      <c r="J623" s="1"/>
      <c r="K623" s="1"/>
      <c r="L623" s="1"/>
      <c r="M623" s="1"/>
      <c r="N623" s="1"/>
      <c r="O623" s="1"/>
      <c r="P623" s="1"/>
      <c r="Q623" s="1"/>
      <c r="R623" s="1"/>
      <c r="S623" s="1"/>
      <c r="T623" s="1"/>
    </row>
    <row r="624" spans="1:20" ht="33.75" hidden="1" customHeight="1">
      <c r="A624" s="1" t="s">
        <v>1911</v>
      </c>
      <c r="B624" s="1" t="s">
        <v>1814</v>
      </c>
      <c r="C624" s="4">
        <v>39859.613194444442</v>
      </c>
      <c r="D624" s="1" t="s">
        <v>54</v>
      </c>
      <c r="E624" s="1" t="s">
        <v>1902</v>
      </c>
      <c r="F624" s="2" t="s">
        <v>1912</v>
      </c>
      <c r="G624" s="1">
        <f ca="1">IFERROR(__xludf.DUMMYFUNCTION("COUNTA(SPLIT(F624,"" ""))"),95)</f>
        <v>95</v>
      </c>
      <c r="H624" s="1">
        <v>95</v>
      </c>
      <c r="I624" s="1"/>
      <c r="J624" s="1"/>
      <c r="K624" s="1"/>
      <c r="L624" s="1"/>
      <c r="M624" s="1"/>
      <c r="N624" s="1"/>
      <c r="O624" s="1"/>
      <c r="P624" s="1"/>
      <c r="Q624" s="1"/>
      <c r="R624" s="1"/>
      <c r="S624" s="1"/>
      <c r="T624" s="1"/>
    </row>
    <row r="625" spans="1:20" ht="33.75" hidden="1" customHeight="1">
      <c r="A625" s="1" t="s">
        <v>1913</v>
      </c>
      <c r="B625" s="1" t="s">
        <v>1696</v>
      </c>
      <c r="C625" s="4">
        <v>39859.661805555559</v>
      </c>
      <c r="D625" s="1" t="s">
        <v>14</v>
      </c>
      <c r="E625" s="1" t="s">
        <v>1890</v>
      </c>
      <c r="F625" s="2" t="s">
        <v>1914</v>
      </c>
      <c r="G625" s="1">
        <f ca="1">IFERROR(__xludf.DUMMYFUNCTION("COUNTA(SPLIT(F625,"" ""))"),283)</f>
        <v>283</v>
      </c>
      <c r="H625" s="1">
        <v>283</v>
      </c>
      <c r="I625" s="1"/>
      <c r="J625" s="1"/>
      <c r="K625" s="1"/>
      <c r="L625" s="1"/>
      <c r="M625" s="1"/>
      <c r="N625" s="1"/>
      <c r="O625" s="1"/>
      <c r="P625" s="1"/>
      <c r="Q625" s="1"/>
      <c r="R625" s="1"/>
      <c r="S625" s="1"/>
      <c r="T625" s="1"/>
    </row>
    <row r="626" spans="1:20" ht="33.75" customHeight="1">
      <c r="A626" s="1" t="s">
        <v>1915</v>
      </c>
      <c r="B626" s="1" t="s">
        <v>1519</v>
      </c>
      <c r="C626" s="4">
        <v>39859.679861111108</v>
      </c>
      <c r="D626" s="1" t="s">
        <v>54</v>
      </c>
      <c r="E626" s="1"/>
      <c r="F626" s="2" t="s">
        <v>1917</v>
      </c>
      <c r="G626" s="1">
        <f ca="1">IFERROR(__xludf.DUMMYFUNCTION("COUNTA(SPLIT(F626,"" ""))"),414)</f>
        <v>414</v>
      </c>
      <c r="H626" s="1">
        <v>414</v>
      </c>
      <c r="I626" s="1"/>
      <c r="J626" s="1"/>
      <c r="K626" s="1"/>
      <c r="L626" s="1"/>
      <c r="M626" s="1"/>
      <c r="N626" s="1"/>
      <c r="O626" s="1"/>
      <c r="P626" s="1"/>
      <c r="Q626" s="1"/>
      <c r="R626" s="1"/>
      <c r="S626" s="1"/>
      <c r="T626" s="1"/>
    </row>
    <row r="627" spans="1:20" ht="33.75" hidden="1" customHeight="1">
      <c r="A627" s="1" t="s">
        <v>1918</v>
      </c>
      <c r="B627" s="1" t="s">
        <v>1814</v>
      </c>
      <c r="C627" s="4">
        <v>39859.699999999997</v>
      </c>
      <c r="D627" s="1" t="s">
        <v>1089</v>
      </c>
      <c r="E627" s="1" t="s">
        <v>1919</v>
      </c>
      <c r="F627" s="2" t="s">
        <v>1920</v>
      </c>
      <c r="G627" s="1">
        <f ca="1">IFERROR(__xludf.DUMMYFUNCTION("COUNTA(SPLIT(F627,"" ""))"),82)</f>
        <v>82</v>
      </c>
      <c r="H627" s="1">
        <v>82</v>
      </c>
      <c r="I627" s="1"/>
      <c r="J627" s="1"/>
      <c r="K627" s="1"/>
      <c r="L627" s="1"/>
      <c r="M627" s="1"/>
      <c r="N627" s="1"/>
      <c r="O627" s="1"/>
      <c r="P627" s="1"/>
      <c r="Q627" s="1"/>
      <c r="R627" s="1"/>
      <c r="S627" s="1"/>
      <c r="T627" s="1"/>
    </row>
    <row r="628" spans="1:20" ht="33.75" hidden="1" customHeight="1">
      <c r="A628" s="1" t="s">
        <v>1921</v>
      </c>
      <c r="B628" s="1" t="s">
        <v>1696</v>
      </c>
      <c r="C628" s="4">
        <v>39859.727777777778</v>
      </c>
      <c r="D628" s="1" t="s">
        <v>14</v>
      </c>
      <c r="E628" s="1" t="s">
        <v>1913</v>
      </c>
      <c r="F628" s="2" t="s">
        <v>1923</v>
      </c>
      <c r="G628" s="1">
        <f ca="1">IFERROR(__xludf.DUMMYFUNCTION("COUNTA(SPLIT(F628,"" ""))"),12)</f>
        <v>12</v>
      </c>
      <c r="H628" s="1">
        <v>12</v>
      </c>
      <c r="I628" s="1"/>
      <c r="J628" s="1"/>
      <c r="K628" s="1"/>
      <c r="L628" s="1"/>
      <c r="M628" s="1"/>
      <c r="N628" s="1"/>
      <c r="O628" s="1"/>
      <c r="P628" s="1"/>
      <c r="Q628" s="1"/>
      <c r="R628" s="1"/>
      <c r="S628" s="1"/>
      <c r="T628" s="1"/>
    </row>
    <row r="629" spans="1:20" ht="33.75" customHeight="1">
      <c r="A629" s="1" t="s">
        <v>1924</v>
      </c>
      <c r="B629" s="1" t="s">
        <v>1814</v>
      </c>
      <c r="C629" s="4">
        <v>39859.728472222225</v>
      </c>
      <c r="D629" s="1" t="s">
        <v>196</v>
      </c>
      <c r="E629" s="1"/>
      <c r="F629" s="2" t="s">
        <v>1926</v>
      </c>
      <c r="G629" s="1">
        <f ca="1">IFERROR(__xludf.DUMMYFUNCTION("COUNTA(SPLIT(F629,"" ""))"),161)</f>
        <v>161</v>
      </c>
      <c r="H629" s="1">
        <v>161</v>
      </c>
      <c r="I629" s="1"/>
      <c r="J629" s="1"/>
      <c r="K629" s="1"/>
      <c r="L629" s="1"/>
      <c r="M629" s="1"/>
      <c r="N629" s="1"/>
      <c r="O629" s="1"/>
      <c r="P629" s="1"/>
      <c r="Q629" s="1"/>
      <c r="R629" s="1"/>
      <c r="S629" s="1"/>
      <c r="T629" s="1"/>
    </row>
    <row r="630" spans="1:20" ht="33.75" hidden="1" customHeight="1">
      <c r="A630" s="1" t="s">
        <v>1927</v>
      </c>
      <c r="B630" s="1" t="s">
        <v>1814</v>
      </c>
      <c r="C630" s="4">
        <v>39859.738194444442</v>
      </c>
      <c r="D630" s="1" t="s">
        <v>54</v>
      </c>
      <c r="E630" s="1" t="s">
        <v>1924</v>
      </c>
      <c r="F630" s="2" t="s">
        <v>1928</v>
      </c>
      <c r="G630" s="1">
        <f ca="1">IFERROR(__xludf.DUMMYFUNCTION("COUNTA(SPLIT(F630,"" ""))"),61)</f>
        <v>61</v>
      </c>
      <c r="H630" s="1">
        <v>61</v>
      </c>
      <c r="I630" s="1"/>
      <c r="J630" s="1"/>
      <c r="K630" s="1"/>
      <c r="L630" s="1"/>
      <c r="M630" s="1"/>
      <c r="N630" s="1"/>
      <c r="O630" s="1"/>
      <c r="P630" s="1"/>
      <c r="Q630" s="1"/>
      <c r="R630" s="1"/>
      <c r="S630" s="1"/>
      <c r="T630" s="1"/>
    </row>
    <row r="631" spans="1:20" ht="33.75" customHeight="1">
      <c r="A631" s="1" t="s">
        <v>1929</v>
      </c>
      <c r="B631" s="1" t="s">
        <v>1814</v>
      </c>
      <c r="C631" s="4">
        <v>39859.742361111108</v>
      </c>
      <c r="D631" s="1" t="s">
        <v>54</v>
      </c>
      <c r="E631" s="1"/>
      <c r="F631" s="2" t="s">
        <v>1931</v>
      </c>
      <c r="G631" s="1">
        <f ca="1">IFERROR(__xludf.DUMMYFUNCTION("COUNTA(SPLIT(F631,"" ""))"),148)</f>
        <v>148</v>
      </c>
      <c r="H631" s="1">
        <v>148</v>
      </c>
      <c r="I631" s="1"/>
      <c r="J631" s="1"/>
      <c r="K631" s="1"/>
      <c r="L631" s="1"/>
      <c r="M631" s="1"/>
      <c r="N631" s="1"/>
      <c r="O631" s="1"/>
      <c r="P631" s="1"/>
      <c r="Q631" s="1"/>
      <c r="R631" s="1"/>
      <c r="S631" s="1"/>
      <c r="T631" s="1"/>
    </row>
    <row r="632" spans="1:20" ht="33.75" hidden="1" customHeight="1">
      <c r="A632" s="1" t="s">
        <v>1932</v>
      </c>
      <c r="B632" s="1" t="s">
        <v>1814</v>
      </c>
      <c r="C632" s="4">
        <v>39859.75</v>
      </c>
      <c r="D632" s="1" t="s">
        <v>196</v>
      </c>
      <c r="E632" s="1" t="s">
        <v>1927</v>
      </c>
      <c r="F632" s="2" t="s">
        <v>1933</v>
      </c>
      <c r="G632" s="1">
        <f ca="1">IFERROR(__xludf.DUMMYFUNCTION("COUNTA(SPLIT(F632,"" ""))"),77)</f>
        <v>77</v>
      </c>
      <c r="H632" s="1">
        <v>77</v>
      </c>
      <c r="I632" s="1"/>
      <c r="J632" s="1"/>
      <c r="K632" s="1"/>
      <c r="L632" s="1"/>
      <c r="M632" s="1"/>
      <c r="N632" s="1"/>
      <c r="O632" s="1"/>
      <c r="P632" s="1"/>
      <c r="Q632" s="1"/>
      <c r="R632" s="1"/>
      <c r="S632" s="1"/>
      <c r="T632" s="1"/>
    </row>
    <row r="633" spans="1:20" ht="33.75" customHeight="1">
      <c r="A633" s="1" t="s">
        <v>1934</v>
      </c>
      <c r="B633" s="1" t="s">
        <v>1696</v>
      </c>
      <c r="C633" s="4">
        <v>39859.770138888889</v>
      </c>
      <c r="D633" s="1" t="s">
        <v>54</v>
      </c>
      <c r="E633" s="1"/>
      <c r="F633" s="2" t="s">
        <v>1936</v>
      </c>
      <c r="G633" s="1">
        <f ca="1">IFERROR(__xludf.DUMMYFUNCTION("COUNTA(SPLIT(F633,"" ""))"),47)</f>
        <v>47</v>
      </c>
      <c r="H633" s="1">
        <v>47</v>
      </c>
      <c r="I633" s="1"/>
      <c r="J633" s="1"/>
      <c r="K633" s="1"/>
      <c r="L633" s="1"/>
      <c r="M633" s="1"/>
      <c r="N633" s="1"/>
      <c r="O633" s="1"/>
      <c r="P633" s="1"/>
      <c r="Q633" s="1"/>
      <c r="R633" s="1"/>
      <c r="S633" s="1"/>
      <c r="T633" s="1"/>
    </row>
    <row r="634" spans="1:20" ht="33.75" customHeight="1">
      <c r="A634" s="1" t="s">
        <v>1937</v>
      </c>
      <c r="B634" s="1" t="s">
        <v>1814</v>
      </c>
      <c r="C634" s="4">
        <v>39859.772916666669</v>
      </c>
      <c r="D634" s="1" t="s">
        <v>196</v>
      </c>
      <c r="E634" s="1"/>
      <c r="F634" s="2" t="s">
        <v>1938</v>
      </c>
      <c r="G634" s="1">
        <f ca="1">IFERROR(__xludf.DUMMYFUNCTION("COUNTA(SPLIT(F634,"" ""))"),64)</f>
        <v>64</v>
      </c>
      <c r="H634" s="1">
        <v>64</v>
      </c>
      <c r="I634" s="1"/>
      <c r="J634" s="1"/>
      <c r="K634" s="1"/>
      <c r="L634" s="1"/>
      <c r="M634" s="1"/>
      <c r="N634" s="1"/>
      <c r="O634" s="1"/>
      <c r="P634" s="1"/>
      <c r="Q634" s="1"/>
      <c r="R634" s="1"/>
      <c r="S634" s="1"/>
      <c r="T634" s="1"/>
    </row>
    <row r="635" spans="1:20" ht="33.75" hidden="1" customHeight="1">
      <c r="A635" s="1" t="s">
        <v>1939</v>
      </c>
      <c r="B635" s="1" t="s">
        <v>1696</v>
      </c>
      <c r="C635" s="4">
        <v>39860.027777777781</v>
      </c>
      <c r="D635" s="1" t="s">
        <v>1528</v>
      </c>
      <c r="E635" s="1" t="s">
        <v>1940</v>
      </c>
      <c r="F635" s="2" t="s">
        <v>1941</v>
      </c>
      <c r="G635" s="1">
        <f ca="1">IFERROR(__xludf.DUMMYFUNCTION("COUNTA(SPLIT(F635,"" ""))"),149)</f>
        <v>149</v>
      </c>
      <c r="H635" s="1">
        <v>149</v>
      </c>
      <c r="I635" s="1"/>
      <c r="J635" s="1"/>
      <c r="K635" s="1"/>
      <c r="L635" s="1"/>
      <c r="M635" s="1"/>
      <c r="N635" s="1"/>
      <c r="O635" s="1"/>
      <c r="P635" s="1"/>
      <c r="Q635" s="1"/>
      <c r="R635" s="1"/>
      <c r="S635" s="1"/>
      <c r="T635" s="1"/>
    </row>
    <row r="636" spans="1:20" ht="33.75" hidden="1" customHeight="1">
      <c r="A636" s="1" t="s">
        <v>1940</v>
      </c>
      <c r="B636" s="1" t="s">
        <v>1696</v>
      </c>
      <c r="C636" s="4">
        <v>39859.957638888889</v>
      </c>
      <c r="D636" s="1" t="s">
        <v>54</v>
      </c>
      <c r="E636" s="1" t="s">
        <v>1809</v>
      </c>
      <c r="F636" s="2" t="s">
        <v>1942</v>
      </c>
      <c r="G636" s="1">
        <f ca="1">IFERROR(__xludf.DUMMYFUNCTION("COUNTA(SPLIT(F636,"" ""))"),72)</f>
        <v>72</v>
      </c>
      <c r="H636" s="1">
        <v>72</v>
      </c>
      <c r="I636" s="1"/>
      <c r="J636" s="1"/>
      <c r="K636" s="1"/>
      <c r="L636" s="1"/>
      <c r="M636" s="1"/>
      <c r="N636" s="1"/>
      <c r="O636" s="1"/>
      <c r="P636" s="1"/>
      <c r="Q636" s="1"/>
      <c r="R636" s="1"/>
      <c r="S636" s="1"/>
      <c r="T636" s="1"/>
    </row>
    <row r="637" spans="1:20" ht="33.75" customHeight="1">
      <c r="A637" s="1" t="s">
        <v>1943</v>
      </c>
      <c r="B637" s="1" t="s">
        <v>1696</v>
      </c>
      <c r="C637" s="4">
        <v>39860.944444444445</v>
      </c>
      <c r="D637" s="1" t="s">
        <v>1528</v>
      </c>
      <c r="E637" s="1"/>
      <c r="F637" s="2" t="s">
        <v>1945</v>
      </c>
      <c r="G637" s="1">
        <f ca="1">IFERROR(__xludf.DUMMYFUNCTION("COUNTA(SPLIT(F637,"" ""))"),440)</f>
        <v>440</v>
      </c>
      <c r="H637" s="1">
        <v>440</v>
      </c>
      <c r="I637" s="1"/>
      <c r="J637" s="1"/>
      <c r="K637" s="1"/>
      <c r="L637" s="1"/>
      <c r="M637" s="1"/>
      <c r="N637" s="1"/>
      <c r="O637" s="1"/>
      <c r="P637" s="1"/>
      <c r="Q637" s="1"/>
      <c r="R637" s="1"/>
      <c r="S637" s="1"/>
      <c r="T637" s="1"/>
    </row>
    <row r="638" spans="1:20" ht="33.75" hidden="1" customHeight="1">
      <c r="A638" s="1" t="s">
        <v>1946</v>
      </c>
      <c r="B638" s="1" t="s">
        <v>1696</v>
      </c>
      <c r="C638" s="4">
        <v>39860.076388888891</v>
      </c>
      <c r="D638" s="1" t="s">
        <v>54</v>
      </c>
      <c r="E638" s="1" t="s">
        <v>1939</v>
      </c>
      <c r="F638" s="2" t="s">
        <v>1947</v>
      </c>
      <c r="G638" s="1">
        <f ca="1">IFERROR(__xludf.DUMMYFUNCTION("COUNTA(SPLIT(F638,"" ""))"),48)</f>
        <v>48</v>
      </c>
      <c r="H638" s="1">
        <v>48</v>
      </c>
      <c r="I638" s="1"/>
      <c r="J638" s="1"/>
      <c r="K638" s="1"/>
      <c r="L638" s="1"/>
      <c r="M638" s="1"/>
      <c r="N638" s="1"/>
      <c r="O638" s="1"/>
      <c r="P638" s="1"/>
      <c r="Q638" s="1"/>
      <c r="R638" s="1"/>
      <c r="S638" s="1"/>
      <c r="T638" s="1"/>
    </row>
    <row r="639" spans="1:20" ht="33.75" customHeight="1">
      <c r="A639" s="1" t="s">
        <v>1948</v>
      </c>
      <c r="B639" s="1" t="s">
        <v>1814</v>
      </c>
      <c r="C639" s="4">
        <v>39860.166666666664</v>
      </c>
      <c r="D639" s="1" t="s">
        <v>1089</v>
      </c>
      <c r="E639" s="1"/>
      <c r="F639" s="2" t="s">
        <v>1949</v>
      </c>
      <c r="G639" s="1">
        <f ca="1">IFERROR(__xludf.DUMMYFUNCTION("COUNTA(SPLIT(F639,"" ""))"),42)</f>
        <v>42</v>
      </c>
      <c r="H639" s="1">
        <v>42</v>
      </c>
      <c r="I639" s="1"/>
      <c r="J639" s="1"/>
      <c r="K639" s="1"/>
      <c r="L639" s="1"/>
      <c r="M639" s="1"/>
      <c r="N639" s="1"/>
      <c r="O639" s="1"/>
      <c r="P639" s="1"/>
      <c r="Q639" s="1"/>
      <c r="R639" s="1"/>
      <c r="S639" s="1"/>
      <c r="T639" s="1"/>
    </row>
    <row r="640" spans="1:20" ht="33.75" customHeight="1">
      <c r="A640" s="1" t="s">
        <v>1950</v>
      </c>
      <c r="B640" s="1" t="s">
        <v>1696</v>
      </c>
      <c r="C640" s="4">
        <v>39860.232638888891</v>
      </c>
      <c r="D640" s="1" t="s">
        <v>320</v>
      </c>
      <c r="E640" s="1"/>
      <c r="F640" s="2" t="s">
        <v>1951</v>
      </c>
      <c r="G640" s="1">
        <f ca="1">IFERROR(__xludf.DUMMYFUNCTION("COUNTA(SPLIT(F640,"" ""))"),146)</f>
        <v>146</v>
      </c>
      <c r="H640" s="1">
        <v>146</v>
      </c>
      <c r="I640" s="1"/>
      <c r="J640" s="1"/>
      <c r="K640" s="1"/>
      <c r="L640" s="1"/>
      <c r="M640" s="1"/>
      <c r="N640" s="1"/>
      <c r="O640" s="1"/>
      <c r="P640" s="1"/>
      <c r="Q640" s="1"/>
      <c r="R640" s="1"/>
      <c r="S640" s="1"/>
      <c r="T640" s="1"/>
    </row>
    <row r="641" spans="1:20" ht="33.75" customHeight="1">
      <c r="A641" s="1" t="s">
        <v>1952</v>
      </c>
      <c r="B641" s="1" t="s">
        <v>1814</v>
      </c>
      <c r="C641" s="4">
        <v>39860.241666666669</v>
      </c>
      <c r="D641" s="1" t="s">
        <v>84</v>
      </c>
      <c r="E641" s="1"/>
      <c r="F641" s="2" t="s">
        <v>1954</v>
      </c>
      <c r="G641" s="1">
        <f ca="1">IFERROR(__xludf.DUMMYFUNCTION("COUNTA(SPLIT(F641,"" ""))"),80)</f>
        <v>80</v>
      </c>
      <c r="H641" s="1">
        <v>80</v>
      </c>
      <c r="I641" s="1"/>
      <c r="J641" s="1"/>
      <c r="K641" s="1"/>
      <c r="L641" s="1"/>
      <c r="M641" s="1"/>
      <c r="N641" s="1"/>
      <c r="O641" s="1"/>
      <c r="P641" s="1"/>
      <c r="Q641" s="1"/>
      <c r="R641" s="1"/>
      <c r="S641" s="1"/>
      <c r="T641" s="1"/>
    </row>
    <row r="642" spans="1:20" ht="33.75" hidden="1" customHeight="1">
      <c r="A642" s="1" t="s">
        <v>1955</v>
      </c>
      <c r="B642" s="1" t="s">
        <v>1696</v>
      </c>
      <c r="C642" s="4">
        <v>39860.334027777775</v>
      </c>
      <c r="D642" s="1" t="s">
        <v>255</v>
      </c>
      <c r="E642" s="1">
        <v>477</v>
      </c>
      <c r="F642" s="2" t="s">
        <v>1956</v>
      </c>
      <c r="G642" s="1">
        <f ca="1">IFERROR(__xludf.DUMMYFUNCTION("COUNTA(SPLIT(F642,"" ""))"),12)</f>
        <v>12</v>
      </c>
      <c r="H642" s="1">
        <v>12</v>
      </c>
      <c r="I642" s="1"/>
      <c r="J642" s="1"/>
      <c r="K642" s="1"/>
      <c r="L642" s="1"/>
      <c r="M642" s="1"/>
      <c r="N642" s="1"/>
      <c r="O642" s="1"/>
      <c r="P642" s="1"/>
      <c r="Q642" s="1"/>
      <c r="R642" s="1"/>
      <c r="S642" s="1"/>
      <c r="T642" s="1"/>
    </row>
    <row r="643" spans="1:20" ht="33.75" hidden="1" customHeight="1">
      <c r="A643" s="1" t="s">
        <v>1957</v>
      </c>
      <c r="B643" s="1" t="s">
        <v>1696</v>
      </c>
      <c r="C643" s="4">
        <v>39860.359722222223</v>
      </c>
      <c r="D643" s="1" t="s">
        <v>54</v>
      </c>
      <c r="E643" s="1" t="s">
        <v>1809</v>
      </c>
      <c r="F643" s="2" t="s">
        <v>1958</v>
      </c>
      <c r="G643" s="1">
        <f ca="1">IFERROR(__xludf.DUMMYFUNCTION("COUNTA(SPLIT(F643,"" ""))"),227)</f>
        <v>227</v>
      </c>
      <c r="H643" s="1">
        <v>227</v>
      </c>
      <c r="I643" s="1"/>
      <c r="J643" s="1"/>
      <c r="K643" s="1"/>
      <c r="L643" s="1"/>
      <c r="M643" s="1"/>
      <c r="N643" s="1"/>
      <c r="O643" s="1"/>
      <c r="P643" s="1"/>
      <c r="Q643" s="1"/>
      <c r="R643" s="1"/>
      <c r="S643" s="1"/>
      <c r="T643" s="1"/>
    </row>
    <row r="644" spans="1:20" ht="33.75" customHeight="1">
      <c r="A644" s="1" t="s">
        <v>1959</v>
      </c>
      <c r="B644" s="1" t="s">
        <v>1696</v>
      </c>
      <c r="C644" s="4">
        <v>39860.374305555553</v>
      </c>
      <c r="D644" s="1" t="s">
        <v>54</v>
      </c>
      <c r="E644" s="1"/>
      <c r="F644" s="2" t="s">
        <v>1961</v>
      </c>
      <c r="G644" s="1">
        <f ca="1">IFERROR(__xludf.DUMMYFUNCTION("COUNTA(SPLIT(F644,"" ""))"),19)</f>
        <v>19</v>
      </c>
      <c r="H644" s="1">
        <v>19</v>
      </c>
      <c r="I644" s="1"/>
      <c r="J644" s="1"/>
      <c r="K644" s="1"/>
      <c r="L644" s="1"/>
      <c r="M644" s="1"/>
      <c r="N644" s="1"/>
      <c r="O644" s="1"/>
      <c r="P644" s="1"/>
      <c r="Q644" s="1"/>
      <c r="R644" s="1"/>
      <c r="S644" s="1"/>
      <c r="T644" s="1"/>
    </row>
    <row r="645" spans="1:20" ht="33.75" hidden="1" customHeight="1">
      <c r="A645" s="1" t="s">
        <v>1962</v>
      </c>
      <c r="B645" s="1" t="s">
        <v>1814</v>
      </c>
      <c r="C645" s="4">
        <v>39860.377083333333</v>
      </c>
      <c r="D645" s="1" t="s">
        <v>196</v>
      </c>
      <c r="E645" s="1" t="s">
        <v>1948</v>
      </c>
      <c r="F645" s="2" t="s">
        <v>1963</v>
      </c>
      <c r="G645" s="1">
        <f ca="1">IFERROR(__xludf.DUMMYFUNCTION("COUNTA(SPLIT(F645,"" ""))"),72)</f>
        <v>72</v>
      </c>
      <c r="H645" s="1">
        <v>72</v>
      </c>
      <c r="I645" s="1"/>
      <c r="J645" s="1"/>
      <c r="K645" s="1"/>
      <c r="L645" s="1"/>
      <c r="M645" s="1"/>
      <c r="N645" s="1"/>
      <c r="O645" s="1"/>
      <c r="P645" s="1"/>
      <c r="Q645" s="1"/>
      <c r="R645" s="1"/>
      <c r="S645" s="1"/>
      <c r="T645" s="1"/>
    </row>
    <row r="646" spans="1:20" ht="33.75" hidden="1" customHeight="1">
      <c r="A646" s="1" t="s">
        <v>1964</v>
      </c>
      <c r="B646" s="1" t="s">
        <v>1814</v>
      </c>
      <c r="C646" s="4">
        <v>39860.381249999999</v>
      </c>
      <c r="D646" s="1" t="s">
        <v>196</v>
      </c>
      <c r="E646" s="1" t="s">
        <v>1948</v>
      </c>
      <c r="F646" s="2" t="s">
        <v>1966</v>
      </c>
      <c r="G646" s="1">
        <f ca="1">IFERROR(__xludf.DUMMYFUNCTION("COUNTA(SPLIT(F646,"" ""))"),33)</f>
        <v>33</v>
      </c>
      <c r="H646" s="1">
        <v>33</v>
      </c>
      <c r="I646" s="1"/>
      <c r="J646" s="1"/>
      <c r="K646" s="1"/>
      <c r="L646" s="1"/>
      <c r="M646" s="1"/>
      <c r="N646" s="1"/>
      <c r="O646" s="1"/>
      <c r="P646" s="1"/>
      <c r="Q646" s="1"/>
      <c r="R646" s="1"/>
      <c r="S646" s="1"/>
      <c r="T646" s="1"/>
    </row>
    <row r="647" spans="1:20" ht="33.75" customHeight="1">
      <c r="A647" s="1" t="s">
        <v>1967</v>
      </c>
      <c r="B647" s="1" t="s">
        <v>1814</v>
      </c>
      <c r="C647" s="4">
        <v>39860.397916666669</v>
      </c>
      <c r="D647" s="1" t="s">
        <v>196</v>
      </c>
      <c r="E647" s="1"/>
      <c r="F647" s="2" t="s">
        <v>1968</v>
      </c>
      <c r="G647" s="1">
        <f ca="1">IFERROR(__xludf.DUMMYFUNCTION("COUNTA(SPLIT(F647,"" ""))"),56)</f>
        <v>56</v>
      </c>
      <c r="H647" s="1">
        <v>56</v>
      </c>
      <c r="I647" s="1"/>
      <c r="J647" s="1"/>
      <c r="K647" s="1"/>
      <c r="L647" s="1"/>
      <c r="M647" s="1"/>
      <c r="N647" s="1"/>
      <c r="O647" s="1"/>
      <c r="P647" s="1"/>
      <c r="Q647" s="1"/>
      <c r="R647" s="1"/>
      <c r="S647" s="1"/>
      <c r="T647" s="1"/>
    </row>
    <row r="648" spans="1:20" ht="33.75" customHeight="1">
      <c r="A648" s="1" t="s">
        <v>1969</v>
      </c>
      <c r="B648" s="1" t="s">
        <v>1814</v>
      </c>
      <c r="C648" s="4">
        <v>39860.40625</v>
      </c>
      <c r="D648" s="1" t="s">
        <v>1887</v>
      </c>
      <c r="E648" s="1"/>
      <c r="F648" s="2" t="s">
        <v>1970</v>
      </c>
      <c r="G648" s="1">
        <f ca="1">IFERROR(__xludf.DUMMYFUNCTION("COUNTA(SPLIT(F648,"" ""))"),144)</f>
        <v>144</v>
      </c>
      <c r="H648" s="1">
        <v>144</v>
      </c>
      <c r="I648" s="1"/>
      <c r="J648" s="1"/>
      <c r="K648" s="1"/>
      <c r="L648" s="1"/>
      <c r="M648" s="1"/>
      <c r="N648" s="1"/>
      <c r="O648" s="1"/>
      <c r="P648" s="1"/>
      <c r="Q648" s="1"/>
      <c r="R648" s="1"/>
      <c r="S648" s="1"/>
      <c r="T648" s="1"/>
    </row>
    <row r="649" spans="1:20" ht="33.75" customHeight="1">
      <c r="A649" s="1" t="s">
        <v>1971</v>
      </c>
      <c r="B649" s="1" t="s">
        <v>1814</v>
      </c>
      <c r="C649" s="4">
        <v>39860.411111111112</v>
      </c>
      <c r="D649" s="1" t="s">
        <v>1887</v>
      </c>
      <c r="E649" s="1"/>
      <c r="F649" s="2" t="s">
        <v>1973</v>
      </c>
      <c r="G649" s="1">
        <f ca="1">IFERROR(__xludf.DUMMYFUNCTION("COUNTA(SPLIT(F649,"" ""))"),113)</f>
        <v>113</v>
      </c>
      <c r="H649" s="1">
        <v>113</v>
      </c>
      <c r="I649" s="1"/>
      <c r="J649" s="1"/>
      <c r="K649" s="1"/>
      <c r="L649" s="1"/>
      <c r="M649" s="1"/>
      <c r="N649" s="1"/>
      <c r="O649" s="1"/>
      <c r="P649" s="1"/>
      <c r="Q649" s="1"/>
      <c r="R649" s="1"/>
      <c r="S649" s="1"/>
      <c r="T649" s="1"/>
    </row>
    <row r="650" spans="1:20" ht="33.75" customHeight="1">
      <c r="A650" s="1" t="s">
        <v>1974</v>
      </c>
      <c r="B650" s="1" t="s">
        <v>1814</v>
      </c>
      <c r="C650" s="4">
        <v>39860.444444444445</v>
      </c>
      <c r="D650" s="1" t="s">
        <v>54</v>
      </c>
      <c r="E650" s="1"/>
      <c r="F650" s="2" t="s">
        <v>1976</v>
      </c>
      <c r="G650" s="1">
        <f ca="1">IFERROR(__xludf.DUMMYFUNCTION("COUNTA(SPLIT(F650,"" ""))"),72)</f>
        <v>72</v>
      </c>
      <c r="H650" s="1">
        <v>72</v>
      </c>
      <c r="I650" s="1"/>
      <c r="J650" s="1"/>
      <c r="K650" s="1"/>
      <c r="L650" s="1"/>
      <c r="M650" s="1"/>
      <c r="N650" s="1"/>
      <c r="O650" s="1"/>
      <c r="P650" s="1"/>
      <c r="Q650" s="1"/>
      <c r="R650" s="1"/>
      <c r="S650" s="1"/>
      <c r="T650" s="1"/>
    </row>
    <row r="651" spans="1:20" ht="33.75" hidden="1" customHeight="1">
      <c r="A651" s="1" t="s">
        <v>1977</v>
      </c>
      <c r="B651" s="1" t="s">
        <v>1814</v>
      </c>
      <c r="C651" s="4">
        <v>39860.540277777778</v>
      </c>
      <c r="D651" s="1" t="s">
        <v>474</v>
      </c>
      <c r="E651" s="1" t="s">
        <v>1978</v>
      </c>
      <c r="F651" s="2" t="s">
        <v>1980</v>
      </c>
      <c r="G651" s="1">
        <f ca="1">IFERROR(__xludf.DUMMYFUNCTION("COUNTA(SPLIT(F651,"" ""))"),29)</f>
        <v>29</v>
      </c>
      <c r="H651" s="1">
        <v>29</v>
      </c>
      <c r="I651" s="1"/>
      <c r="J651" s="1"/>
      <c r="K651" s="1"/>
      <c r="L651" s="1"/>
      <c r="M651" s="1"/>
      <c r="N651" s="1"/>
      <c r="O651" s="1"/>
      <c r="P651" s="1"/>
      <c r="Q651" s="1"/>
      <c r="R651" s="1"/>
      <c r="S651" s="1"/>
      <c r="T651" s="1"/>
    </row>
    <row r="652" spans="1:20" ht="33.75" customHeight="1">
      <c r="A652" s="1" t="s">
        <v>1981</v>
      </c>
      <c r="B652" s="1" t="s">
        <v>1519</v>
      </c>
      <c r="C652" s="4">
        <v>39860.541666666664</v>
      </c>
      <c r="D652" s="1" t="s">
        <v>320</v>
      </c>
      <c r="E652" s="1"/>
      <c r="F652" s="2" t="s">
        <v>1983</v>
      </c>
      <c r="G652" s="1">
        <f ca="1">IFERROR(__xludf.DUMMYFUNCTION("COUNTA(SPLIT(F652,"" ""))"),53)</f>
        <v>53</v>
      </c>
      <c r="H652" s="1">
        <v>53</v>
      </c>
      <c r="I652" s="1"/>
      <c r="J652" s="1"/>
      <c r="K652" s="1"/>
      <c r="L652" s="1"/>
      <c r="M652" s="1"/>
      <c r="N652" s="1"/>
      <c r="O652" s="1"/>
      <c r="P652" s="1"/>
      <c r="Q652" s="1"/>
      <c r="R652" s="1"/>
      <c r="S652" s="1"/>
      <c r="T652" s="1"/>
    </row>
    <row r="653" spans="1:20" ht="33.75" customHeight="1">
      <c r="A653" s="1" t="s">
        <v>1984</v>
      </c>
      <c r="B653" s="1" t="s">
        <v>1814</v>
      </c>
      <c r="C653" s="4">
        <v>39860.587500000001</v>
      </c>
      <c r="D653" s="1" t="s">
        <v>84</v>
      </c>
      <c r="E653" s="1"/>
      <c r="F653" s="2" t="s">
        <v>1987</v>
      </c>
      <c r="G653" s="1">
        <f ca="1">IFERROR(__xludf.DUMMYFUNCTION("COUNTA(SPLIT(F653,"" ""))"),127)</f>
        <v>127</v>
      </c>
      <c r="H653" s="1">
        <v>127</v>
      </c>
      <c r="I653" s="1"/>
      <c r="J653" s="1"/>
      <c r="K653" s="1"/>
      <c r="L653" s="1"/>
      <c r="M653" s="1"/>
      <c r="N653" s="1"/>
      <c r="O653" s="1"/>
      <c r="P653" s="1"/>
      <c r="Q653" s="1"/>
      <c r="R653" s="1"/>
      <c r="S653" s="1"/>
      <c r="T653" s="1"/>
    </row>
    <row r="654" spans="1:20" ht="33.75" customHeight="1">
      <c r="A654" s="1" t="s">
        <v>1988</v>
      </c>
      <c r="B654" s="1" t="s">
        <v>1696</v>
      </c>
      <c r="C654" s="4">
        <v>39860.598611111112</v>
      </c>
      <c r="D654" s="1" t="s">
        <v>314</v>
      </c>
      <c r="E654" s="1"/>
      <c r="F654" s="2" t="s">
        <v>1989</v>
      </c>
      <c r="G654" s="1">
        <f ca="1">IFERROR(__xludf.DUMMYFUNCTION("COUNTA(SPLIT(F654,"" ""))"),274)</f>
        <v>274</v>
      </c>
      <c r="H654" s="1">
        <v>274</v>
      </c>
      <c r="I654" s="1"/>
      <c r="J654" s="1"/>
      <c r="K654" s="1"/>
      <c r="L654" s="1"/>
      <c r="M654" s="1"/>
      <c r="N654" s="1"/>
      <c r="O654" s="1"/>
      <c r="P654" s="1"/>
      <c r="Q654" s="1"/>
      <c r="R654" s="1"/>
      <c r="S654" s="1"/>
      <c r="T654" s="1"/>
    </row>
    <row r="655" spans="1:20" ht="33.75" customHeight="1">
      <c r="A655" s="1" t="s">
        <v>1990</v>
      </c>
      <c r="B655" s="1" t="s">
        <v>1519</v>
      </c>
      <c r="C655" s="4">
        <v>39860.624305555553</v>
      </c>
      <c r="D655" s="1" t="s">
        <v>54</v>
      </c>
      <c r="E655" s="1"/>
      <c r="F655" s="2" t="s">
        <v>1992</v>
      </c>
      <c r="G655" s="1">
        <f ca="1">IFERROR(__xludf.DUMMYFUNCTION("COUNTA(SPLIT(F655,"" ""))"),436)</f>
        <v>436</v>
      </c>
      <c r="H655" s="1">
        <v>436</v>
      </c>
      <c r="I655" s="1"/>
      <c r="J655" s="1"/>
      <c r="K655" s="1"/>
      <c r="L655" s="1"/>
      <c r="M655" s="1"/>
      <c r="N655" s="1"/>
      <c r="O655" s="1"/>
      <c r="P655" s="1"/>
      <c r="Q655" s="1"/>
      <c r="R655" s="1"/>
      <c r="S655" s="1"/>
      <c r="T655" s="1"/>
    </row>
    <row r="656" spans="1:20" ht="33.75" hidden="1" customHeight="1">
      <c r="A656" s="1" t="s">
        <v>1993</v>
      </c>
      <c r="B656" s="1" t="s">
        <v>1696</v>
      </c>
      <c r="C656" s="4">
        <v>39860.637499999997</v>
      </c>
      <c r="D656" s="1" t="s">
        <v>320</v>
      </c>
      <c r="E656" s="1" t="s">
        <v>1957</v>
      </c>
      <c r="F656" s="2" t="s">
        <v>1994</v>
      </c>
      <c r="G656" s="1">
        <f ca="1">IFERROR(__xludf.DUMMYFUNCTION("COUNTA(SPLIT(F656,"" ""))"),37)</f>
        <v>37</v>
      </c>
      <c r="H656" s="1">
        <v>37</v>
      </c>
      <c r="I656" s="1"/>
      <c r="J656" s="1"/>
      <c r="K656" s="1"/>
      <c r="L656" s="1"/>
      <c r="M656" s="1"/>
      <c r="N656" s="1"/>
      <c r="O656" s="1"/>
      <c r="P656" s="1"/>
      <c r="Q656" s="1"/>
      <c r="R656" s="1"/>
      <c r="S656" s="1"/>
      <c r="T656" s="1"/>
    </row>
    <row r="657" spans="1:20" ht="33.75" hidden="1" customHeight="1">
      <c r="A657" s="1" t="s">
        <v>1995</v>
      </c>
      <c r="B657" s="1" t="s">
        <v>1519</v>
      </c>
      <c r="C657" s="4">
        <v>39860.63958333333</v>
      </c>
      <c r="D657" s="1" t="s">
        <v>54</v>
      </c>
      <c r="E657" s="1" t="s">
        <v>1990</v>
      </c>
      <c r="F657" s="2" t="s">
        <v>1997</v>
      </c>
      <c r="G657" s="1">
        <f ca="1">IFERROR(__xludf.DUMMYFUNCTION("COUNTA(SPLIT(F657,"" ""))"),479)</f>
        <v>479</v>
      </c>
      <c r="H657" s="1">
        <v>479</v>
      </c>
      <c r="I657" s="1"/>
      <c r="J657" s="1"/>
      <c r="K657" s="1"/>
      <c r="L657" s="1"/>
      <c r="M657" s="1"/>
      <c r="N657" s="1"/>
      <c r="O657" s="1"/>
      <c r="P657" s="1"/>
      <c r="Q657" s="1"/>
      <c r="R657" s="1"/>
      <c r="S657" s="1"/>
      <c r="T657" s="1"/>
    </row>
    <row r="658" spans="1:20" ht="33.75" hidden="1" customHeight="1">
      <c r="A658" s="1" t="s">
        <v>1998</v>
      </c>
      <c r="B658" s="1" t="s">
        <v>1696</v>
      </c>
      <c r="C658" s="4">
        <v>39860.661111111112</v>
      </c>
      <c r="D658" s="1" t="s">
        <v>320</v>
      </c>
      <c r="E658" s="1" t="s">
        <v>1955</v>
      </c>
      <c r="F658" s="2" t="s">
        <v>1999</v>
      </c>
      <c r="G658" s="1">
        <f ca="1">IFERROR(__xludf.DUMMYFUNCTION("COUNTA(SPLIT(F658,"" ""))"),196)</f>
        <v>196</v>
      </c>
      <c r="H658" s="1">
        <v>196</v>
      </c>
      <c r="I658" s="1"/>
      <c r="J658" s="1"/>
      <c r="K658" s="1"/>
      <c r="L658" s="1"/>
      <c r="M658" s="1"/>
      <c r="N658" s="1"/>
      <c r="O658" s="1"/>
      <c r="P658" s="1"/>
      <c r="Q658" s="1"/>
      <c r="R658" s="1"/>
      <c r="S658" s="1"/>
      <c r="T658" s="1"/>
    </row>
    <row r="659" spans="1:20" ht="33.75" hidden="1" customHeight="1">
      <c r="A659" s="1" t="s">
        <v>2000</v>
      </c>
      <c r="B659" s="1" t="s">
        <v>1696</v>
      </c>
      <c r="C659" s="4">
        <v>39860.661805555559</v>
      </c>
      <c r="D659" s="1" t="s">
        <v>320</v>
      </c>
      <c r="E659" s="1" t="s">
        <v>1998</v>
      </c>
      <c r="F659" s="2" t="s">
        <v>2003</v>
      </c>
      <c r="G659" s="1">
        <f ca="1">IFERROR(__xludf.DUMMYFUNCTION("COUNTA(SPLIT(F659,"" ""))"),303)</f>
        <v>303</v>
      </c>
      <c r="H659" s="1">
        <v>303</v>
      </c>
      <c r="I659" s="1"/>
      <c r="J659" s="1"/>
      <c r="K659" s="1"/>
      <c r="L659" s="1"/>
      <c r="M659" s="1"/>
      <c r="N659" s="1"/>
      <c r="O659" s="1"/>
      <c r="P659" s="1"/>
      <c r="Q659" s="1"/>
      <c r="R659" s="1"/>
      <c r="S659" s="1"/>
      <c r="T659" s="1"/>
    </row>
    <row r="660" spans="1:20" ht="33.75" hidden="1" customHeight="1">
      <c r="A660" s="1" t="s">
        <v>2004</v>
      </c>
      <c r="B660" s="1" t="s">
        <v>1696</v>
      </c>
      <c r="C660" s="4">
        <v>39860.715277777781</v>
      </c>
      <c r="D660" s="1" t="s">
        <v>320</v>
      </c>
      <c r="E660" s="1" t="s">
        <v>1993</v>
      </c>
      <c r="F660" s="2" t="s">
        <v>2005</v>
      </c>
      <c r="G660" s="1">
        <f ca="1">IFERROR(__xludf.DUMMYFUNCTION("COUNTA(SPLIT(F660,"" ""))"),210)</f>
        <v>210</v>
      </c>
      <c r="H660" s="1">
        <v>210</v>
      </c>
      <c r="I660" s="1"/>
      <c r="J660" s="1"/>
      <c r="K660" s="1"/>
      <c r="L660" s="1"/>
      <c r="M660" s="1"/>
      <c r="N660" s="1"/>
      <c r="O660" s="1"/>
      <c r="P660" s="1"/>
      <c r="Q660" s="1"/>
      <c r="R660" s="1"/>
      <c r="S660" s="1"/>
      <c r="T660" s="1"/>
    </row>
    <row r="661" spans="1:20" ht="33.75" hidden="1" customHeight="1">
      <c r="A661" s="1" t="s">
        <v>2006</v>
      </c>
      <c r="B661" s="1" t="s">
        <v>1696</v>
      </c>
      <c r="C661" s="4">
        <v>39860.715277777781</v>
      </c>
      <c r="D661" s="1" t="s">
        <v>320</v>
      </c>
      <c r="E661" s="1" t="s">
        <v>1993</v>
      </c>
      <c r="F661" s="2" t="s">
        <v>2008</v>
      </c>
      <c r="G661" s="1">
        <f ca="1">IFERROR(__xludf.DUMMYFUNCTION("COUNTA(SPLIT(F661,"" ""))"),161)</f>
        <v>161</v>
      </c>
      <c r="H661" s="1">
        <v>161</v>
      </c>
      <c r="I661" s="1"/>
      <c r="J661" s="1"/>
      <c r="K661" s="1"/>
      <c r="L661" s="1"/>
      <c r="M661" s="1"/>
      <c r="N661" s="1"/>
      <c r="O661" s="1"/>
      <c r="P661" s="1"/>
      <c r="Q661" s="1"/>
      <c r="R661" s="1"/>
      <c r="S661" s="1"/>
      <c r="T661" s="1"/>
    </row>
    <row r="662" spans="1:20" ht="33.75" customHeight="1">
      <c r="A662" s="1" t="s">
        <v>2009</v>
      </c>
      <c r="B662" s="1" t="s">
        <v>1814</v>
      </c>
      <c r="C662" s="4">
        <v>39860.775694444441</v>
      </c>
      <c r="D662" s="1" t="s">
        <v>2010</v>
      </c>
      <c r="E662" s="1"/>
      <c r="F662" s="2" t="s">
        <v>2012</v>
      </c>
      <c r="G662" s="1">
        <f ca="1">IFERROR(__xludf.DUMMYFUNCTION("COUNTA(SPLIT(F662,"" ""))"),296)</f>
        <v>296</v>
      </c>
      <c r="H662" s="1">
        <v>296</v>
      </c>
      <c r="I662" s="1"/>
      <c r="J662" s="1"/>
      <c r="K662" s="1"/>
      <c r="L662" s="1"/>
      <c r="M662" s="1"/>
      <c r="N662" s="1"/>
      <c r="O662" s="1"/>
      <c r="P662" s="1"/>
      <c r="Q662" s="1"/>
      <c r="R662" s="1"/>
      <c r="S662" s="1"/>
      <c r="T662" s="1"/>
    </row>
    <row r="663" spans="1:20" ht="33.75" hidden="1" customHeight="1">
      <c r="A663" s="1" t="s">
        <v>2013</v>
      </c>
      <c r="B663" s="1" t="s">
        <v>1814</v>
      </c>
      <c r="C663" s="4">
        <v>39860.777777777781</v>
      </c>
      <c r="D663" s="1" t="s">
        <v>1089</v>
      </c>
      <c r="E663" s="1" t="s">
        <v>2014</v>
      </c>
      <c r="F663" s="2" t="s">
        <v>2016</v>
      </c>
      <c r="G663" s="1">
        <f ca="1">IFERROR(__xludf.DUMMYFUNCTION("COUNTA(SPLIT(F663,"" ""))"),141)</f>
        <v>141</v>
      </c>
      <c r="H663" s="1">
        <v>141</v>
      </c>
      <c r="I663" s="1"/>
      <c r="J663" s="1"/>
      <c r="K663" s="1"/>
      <c r="L663" s="1"/>
      <c r="M663" s="1"/>
      <c r="N663" s="1"/>
      <c r="O663" s="1"/>
      <c r="P663" s="1"/>
      <c r="Q663" s="1"/>
      <c r="R663" s="1"/>
      <c r="S663" s="1"/>
      <c r="T663" s="1"/>
    </row>
    <row r="664" spans="1:20" ht="33.75" customHeight="1">
      <c r="A664" s="1" t="s">
        <v>2017</v>
      </c>
      <c r="B664" s="1" t="s">
        <v>1814</v>
      </c>
      <c r="C664" s="4">
        <v>39860.789583333331</v>
      </c>
      <c r="D664" s="1" t="s">
        <v>54</v>
      </c>
      <c r="E664" s="1"/>
      <c r="F664" s="2" t="s">
        <v>2020</v>
      </c>
      <c r="G664" s="1">
        <f ca="1">IFERROR(__xludf.DUMMYFUNCTION("COUNTA(SPLIT(F664,"" ""))"),177)</f>
        <v>177</v>
      </c>
      <c r="H664" s="1">
        <v>177</v>
      </c>
      <c r="I664" s="1"/>
      <c r="J664" s="1"/>
      <c r="K664" s="1"/>
      <c r="L664" s="1"/>
      <c r="M664" s="1"/>
      <c r="N664" s="1"/>
      <c r="O664" s="1"/>
      <c r="P664" s="1"/>
      <c r="Q664" s="1"/>
      <c r="R664" s="1"/>
      <c r="S664" s="1"/>
      <c r="T664" s="1"/>
    </row>
    <row r="665" spans="1:20" ht="33.75" hidden="1" customHeight="1">
      <c r="A665" s="1" t="s">
        <v>2021</v>
      </c>
      <c r="B665" s="1" t="s">
        <v>1814</v>
      </c>
      <c r="C665" s="4">
        <v>39860.793749999997</v>
      </c>
      <c r="D665" s="1" t="s">
        <v>2010</v>
      </c>
      <c r="E665" s="1" t="s">
        <v>2022</v>
      </c>
      <c r="F665" s="2" t="s">
        <v>2023</v>
      </c>
      <c r="G665" s="1">
        <f ca="1">IFERROR(__xludf.DUMMYFUNCTION("COUNTA(SPLIT(F665,"" ""))"),102)</f>
        <v>102</v>
      </c>
      <c r="H665" s="1">
        <v>102</v>
      </c>
      <c r="I665" s="1"/>
      <c r="J665" s="1"/>
      <c r="K665" s="1"/>
      <c r="L665" s="1"/>
      <c r="M665" s="1"/>
      <c r="N665" s="1"/>
      <c r="O665" s="1"/>
      <c r="P665" s="1"/>
      <c r="Q665" s="1"/>
      <c r="R665" s="1"/>
      <c r="S665" s="1"/>
      <c r="T665" s="1"/>
    </row>
    <row r="666" spans="1:20" ht="33.75" customHeight="1">
      <c r="A666" s="1" t="s">
        <v>2024</v>
      </c>
      <c r="B666" s="1" t="s">
        <v>1814</v>
      </c>
      <c r="C666" s="4">
        <v>39860.912499999999</v>
      </c>
      <c r="D666" s="1" t="s">
        <v>1089</v>
      </c>
      <c r="E666" s="1"/>
      <c r="F666" s="2" t="s">
        <v>2025</v>
      </c>
      <c r="G666" s="1">
        <f ca="1">IFERROR(__xludf.DUMMYFUNCTION("COUNTA(SPLIT(F666,"" ""))"),58)</f>
        <v>58</v>
      </c>
      <c r="H666" s="1">
        <v>58</v>
      </c>
      <c r="I666" s="1"/>
      <c r="J666" s="1"/>
      <c r="K666" s="1"/>
      <c r="L666" s="1"/>
      <c r="M666" s="1"/>
      <c r="N666" s="1"/>
      <c r="O666" s="1"/>
      <c r="P666" s="1"/>
      <c r="Q666" s="1"/>
      <c r="R666" s="1"/>
      <c r="S666" s="1"/>
      <c r="T666" s="1"/>
    </row>
    <row r="667" spans="1:20" ht="33.75" customHeight="1">
      <c r="A667" s="1" t="s">
        <v>2026</v>
      </c>
      <c r="B667" s="1" t="s">
        <v>1696</v>
      </c>
      <c r="C667" s="4">
        <v>39860.914583333331</v>
      </c>
      <c r="D667" s="1" t="s">
        <v>255</v>
      </c>
      <c r="E667" s="1"/>
      <c r="F667" s="2" t="s">
        <v>2028</v>
      </c>
      <c r="G667" s="1">
        <f ca="1">IFERROR(__xludf.DUMMYFUNCTION("COUNTA(SPLIT(F667,"" ""))"),97)</f>
        <v>97</v>
      </c>
      <c r="H667" s="1">
        <v>97</v>
      </c>
      <c r="I667" s="1"/>
      <c r="J667" s="1"/>
      <c r="K667" s="1"/>
      <c r="L667" s="1"/>
      <c r="M667" s="1"/>
      <c r="N667" s="1"/>
      <c r="O667" s="1"/>
      <c r="P667" s="1"/>
      <c r="Q667" s="1"/>
      <c r="R667" s="1"/>
      <c r="S667" s="1"/>
      <c r="T667" s="1"/>
    </row>
    <row r="668" spans="1:20" ht="33.75" customHeight="1">
      <c r="A668" s="1" t="s">
        <v>2029</v>
      </c>
      <c r="B668" s="1" t="s">
        <v>1696</v>
      </c>
      <c r="C668" s="4">
        <v>39860.965277777781</v>
      </c>
      <c r="D668" s="1" t="s">
        <v>1528</v>
      </c>
      <c r="E668" s="1"/>
      <c r="F668" s="2" t="s">
        <v>2031</v>
      </c>
      <c r="G668" s="1">
        <f ca="1">IFERROR(__xludf.DUMMYFUNCTION("COUNTA(SPLIT(F668,"" ""))"),34)</f>
        <v>34</v>
      </c>
      <c r="H668" s="1">
        <v>34</v>
      </c>
      <c r="I668" s="1"/>
      <c r="J668" s="1"/>
      <c r="K668" s="1"/>
      <c r="L668" s="1"/>
      <c r="M668" s="1"/>
      <c r="N668" s="1"/>
      <c r="O668" s="1"/>
      <c r="P668" s="1"/>
      <c r="Q668" s="1"/>
      <c r="R668" s="1"/>
      <c r="S668" s="1"/>
      <c r="T668" s="1"/>
    </row>
    <row r="669" spans="1:20" ht="33.75" customHeight="1">
      <c r="A669" s="1" t="s">
        <v>2032</v>
      </c>
      <c r="B669" s="1" t="s">
        <v>1814</v>
      </c>
      <c r="C669" s="4">
        <v>39860.946527777778</v>
      </c>
      <c r="D669" s="1" t="s">
        <v>1089</v>
      </c>
      <c r="E669" s="1"/>
      <c r="F669" s="2" t="s">
        <v>2033</v>
      </c>
      <c r="G669" s="1">
        <f ca="1">IFERROR(__xludf.DUMMYFUNCTION("COUNTA(SPLIT(F669,"" ""))"),21)</f>
        <v>21</v>
      </c>
      <c r="H669" s="1">
        <v>21</v>
      </c>
      <c r="I669" s="1"/>
      <c r="J669" s="1"/>
      <c r="K669" s="1"/>
      <c r="L669" s="1"/>
      <c r="M669" s="1"/>
      <c r="N669" s="1"/>
      <c r="O669" s="1"/>
      <c r="P669" s="1"/>
      <c r="Q669" s="1"/>
      <c r="R669" s="1"/>
      <c r="S669" s="1"/>
      <c r="T669" s="1"/>
    </row>
    <row r="670" spans="1:20" ht="33.75" customHeight="1">
      <c r="A670" s="1" t="s">
        <v>2034</v>
      </c>
      <c r="B670" s="1" t="s">
        <v>1696</v>
      </c>
      <c r="C670" s="4">
        <v>39861.888888888891</v>
      </c>
      <c r="D670" s="1" t="s">
        <v>1528</v>
      </c>
      <c r="E670" s="1"/>
      <c r="F670" s="2" t="s">
        <v>2036</v>
      </c>
      <c r="G670" s="1">
        <f ca="1">IFERROR(__xludf.DUMMYFUNCTION("COUNTA(SPLIT(F670,"" ""))"),86)</f>
        <v>86</v>
      </c>
      <c r="H670" s="1">
        <v>86</v>
      </c>
      <c r="I670" s="1"/>
      <c r="J670" s="1"/>
      <c r="K670" s="1"/>
      <c r="L670" s="1"/>
      <c r="M670" s="1"/>
      <c r="N670" s="1"/>
      <c r="O670" s="1"/>
      <c r="P670" s="1"/>
      <c r="Q670" s="1"/>
      <c r="R670" s="1"/>
      <c r="S670" s="1"/>
      <c r="T670" s="1"/>
    </row>
    <row r="671" spans="1:20" ht="33.75" hidden="1" customHeight="1">
      <c r="A671" s="1" t="s">
        <v>2037</v>
      </c>
      <c r="B671" s="1" t="s">
        <v>1696</v>
      </c>
      <c r="C671" s="4">
        <v>39861.005555555559</v>
      </c>
      <c r="D671" s="1" t="s">
        <v>196</v>
      </c>
      <c r="E671" s="1">
        <v>341</v>
      </c>
      <c r="F671" s="2" t="s">
        <v>2039</v>
      </c>
      <c r="G671" s="1">
        <f ca="1">IFERROR(__xludf.DUMMYFUNCTION("COUNTA(SPLIT(F671,"" ""))"),112)</f>
        <v>112</v>
      </c>
      <c r="H671" s="1">
        <v>112</v>
      </c>
      <c r="I671" s="1"/>
      <c r="J671" s="1"/>
      <c r="K671" s="1"/>
      <c r="L671" s="1"/>
      <c r="M671" s="1"/>
      <c r="N671" s="1"/>
      <c r="O671" s="1"/>
      <c r="P671" s="1"/>
      <c r="Q671" s="1"/>
      <c r="R671" s="1"/>
      <c r="S671" s="1"/>
      <c r="T671" s="1"/>
    </row>
    <row r="672" spans="1:20" ht="33.75" hidden="1" customHeight="1">
      <c r="A672" s="1" t="s">
        <v>2040</v>
      </c>
      <c r="B672" s="1" t="s">
        <v>1696</v>
      </c>
      <c r="C672" s="4">
        <v>39861.02847222222</v>
      </c>
      <c r="D672" s="1" t="s">
        <v>196</v>
      </c>
      <c r="E672" s="1" t="s">
        <v>2037</v>
      </c>
      <c r="F672" s="2" t="s">
        <v>2043</v>
      </c>
      <c r="G672" s="1">
        <f ca="1">IFERROR(__xludf.DUMMYFUNCTION("COUNTA(SPLIT(F672,"" ""))"),39)</f>
        <v>39</v>
      </c>
      <c r="H672" s="1">
        <v>39</v>
      </c>
      <c r="I672" s="1"/>
      <c r="J672" s="1"/>
      <c r="K672" s="1"/>
      <c r="L672" s="1"/>
      <c r="M672" s="1"/>
      <c r="N672" s="1"/>
      <c r="O672" s="1"/>
      <c r="P672" s="1"/>
      <c r="Q672" s="1"/>
      <c r="R672" s="1"/>
      <c r="S672" s="1"/>
      <c r="T672" s="1"/>
    </row>
    <row r="673" spans="1:20" ht="33.75" hidden="1" customHeight="1">
      <c r="A673" s="1" t="s">
        <v>2044</v>
      </c>
      <c r="B673" s="1" t="s">
        <v>1814</v>
      </c>
      <c r="C673" s="4">
        <v>39861.345833333333</v>
      </c>
      <c r="D673" s="1" t="s">
        <v>196</v>
      </c>
      <c r="E673" s="1" t="s">
        <v>2032</v>
      </c>
      <c r="F673" s="2" t="s">
        <v>2045</v>
      </c>
      <c r="G673" s="1">
        <f ca="1">IFERROR(__xludf.DUMMYFUNCTION("COUNTA(SPLIT(F673,"" ""))"),78)</f>
        <v>78</v>
      </c>
      <c r="H673" s="1">
        <v>78</v>
      </c>
      <c r="I673" s="1"/>
      <c r="J673" s="1"/>
      <c r="K673" s="1"/>
      <c r="L673" s="1"/>
      <c r="M673" s="1"/>
      <c r="N673" s="1"/>
      <c r="O673" s="1"/>
      <c r="P673" s="1"/>
      <c r="Q673" s="1"/>
      <c r="R673" s="1"/>
      <c r="S673" s="1"/>
      <c r="T673" s="1"/>
    </row>
    <row r="674" spans="1:20" ht="33.75" hidden="1" customHeight="1">
      <c r="A674" s="1" t="s">
        <v>2046</v>
      </c>
      <c r="B674" s="1" t="s">
        <v>1814</v>
      </c>
      <c r="C674" s="4">
        <v>39861.646527777775</v>
      </c>
      <c r="D674" s="1" t="s">
        <v>1241</v>
      </c>
      <c r="E674" s="1">
        <v>229</v>
      </c>
      <c r="F674" s="2" t="s">
        <v>2047</v>
      </c>
      <c r="G674" s="1">
        <f ca="1">IFERROR(__xludf.DUMMYFUNCTION("COUNTA(SPLIT(F674,"" ""))"),313)</f>
        <v>313</v>
      </c>
      <c r="H674" s="1">
        <v>313</v>
      </c>
      <c r="I674" s="1"/>
      <c r="J674" s="1"/>
      <c r="K674" s="1"/>
      <c r="L674" s="1"/>
      <c r="M674" s="1"/>
      <c r="N674" s="1"/>
      <c r="O674" s="1"/>
      <c r="P674" s="1"/>
      <c r="Q674" s="1"/>
      <c r="R674" s="1"/>
      <c r="S674" s="1"/>
      <c r="T674" s="1"/>
    </row>
    <row r="675" spans="1:20" ht="33.75" hidden="1" customHeight="1">
      <c r="A675" s="1" t="s">
        <v>2048</v>
      </c>
      <c r="B675" s="1" t="s">
        <v>1814</v>
      </c>
      <c r="C675" s="4">
        <v>39861.762499999997</v>
      </c>
      <c r="D675" s="1" t="s">
        <v>1089</v>
      </c>
      <c r="E675" s="1" t="s">
        <v>2046</v>
      </c>
      <c r="F675" s="2" t="s">
        <v>2050</v>
      </c>
      <c r="G675" s="1">
        <f ca="1">IFERROR(__xludf.DUMMYFUNCTION("COUNTA(SPLIT(F675,"" ""))"),64)</f>
        <v>64</v>
      </c>
      <c r="H675" s="1">
        <v>64</v>
      </c>
      <c r="I675" s="1"/>
      <c r="J675" s="1"/>
      <c r="K675" s="1"/>
      <c r="L675" s="1"/>
      <c r="M675" s="1"/>
      <c r="N675" s="1"/>
      <c r="O675" s="1"/>
      <c r="P675" s="1"/>
      <c r="Q675" s="1"/>
      <c r="R675" s="1"/>
      <c r="S675" s="1"/>
      <c r="T675" s="1"/>
    </row>
    <row r="676" spans="1:20" ht="33.75" hidden="1" customHeight="1">
      <c r="A676" s="1" t="s">
        <v>2051</v>
      </c>
      <c r="B676" s="1" t="s">
        <v>1696</v>
      </c>
      <c r="C676" s="4">
        <v>39861.768750000003</v>
      </c>
      <c r="D676" s="1" t="s">
        <v>54</v>
      </c>
      <c r="E676" s="1" t="s">
        <v>2040</v>
      </c>
      <c r="F676" s="2" t="s">
        <v>2053</v>
      </c>
      <c r="G676" s="1">
        <f ca="1">IFERROR(__xludf.DUMMYFUNCTION("COUNTA(SPLIT(F676,"" ""))"),411)</f>
        <v>411</v>
      </c>
      <c r="H676" s="1">
        <v>411</v>
      </c>
      <c r="I676" s="1"/>
      <c r="J676" s="1"/>
      <c r="K676" s="1"/>
      <c r="L676" s="1"/>
      <c r="M676" s="1"/>
      <c r="N676" s="1"/>
      <c r="O676" s="1"/>
      <c r="P676" s="1"/>
      <c r="Q676" s="1"/>
      <c r="R676" s="1"/>
      <c r="S676" s="1"/>
      <c r="T676" s="1"/>
    </row>
    <row r="677" spans="1:20" ht="33.75" customHeight="1">
      <c r="A677" s="1" t="s">
        <v>2054</v>
      </c>
      <c r="B677" s="1" t="s">
        <v>1696</v>
      </c>
      <c r="C677" s="4">
        <v>39861.836111111108</v>
      </c>
      <c r="D677" s="1" t="s">
        <v>255</v>
      </c>
      <c r="E677" s="1"/>
      <c r="F677" s="2" t="s">
        <v>2055</v>
      </c>
      <c r="G677" s="1">
        <f ca="1">IFERROR(__xludf.DUMMYFUNCTION("COUNTA(SPLIT(F677,"" ""))"),92)</f>
        <v>92</v>
      </c>
      <c r="H677" s="1">
        <v>92</v>
      </c>
      <c r="I677" s="1"/>
      <c r="J677" s="1"/>
      <c r="K677" s="1"/>
      <c r="L677" s="1"/>
      <c r="M677" s="1"/>
      <c r="N677" s="1"/>
      <c r="O677" s="1"/>
      <c r="P677" s="1"/>
      <c r="Q677" s="1"/>
      <c r="R677" s="1"/>
      <c r="S677" s="1"/>
      <c r="T677" s="1"/>
    </row>
    <row r="678" spans="1:20" ht="33.75" hidden="1" customHeight="1">
      <c r="A678" s="1" t="s">
        <v>2056</v>
      </c>
      <c r="B678" s="1" t="s">
        <v>1696</v>
      </c>
      <c r="C678" s="4">
        <v>39861.837500000001</v>
      </c>
      <c r="D678" s="1" t="s">
        <v>320</v>
      </c>
      <c r="E678" s="1" t="s">
        <v>2057</v>
      </c>
      <c r="F678" s="2" t="s">
        <v>2058</v>
      </c>
      <c r="G678" s="1">
        <f ca="1">IFERROR(__xludf.DUMMYFUNCTION("COUNTA(SPLIT(F678,"" ""))"),72)</f>
        <v>72</v>
      </c>
      <c r="H678" s="1">
        <v>72</v>
      </c>
      <c r="I678" s="1"/>
      <c r="J678" s="1"/>
      <c r="K678" s="1"/>
      <c r="L678" s="1"/>
      <c r="M678" s="1"/>
      <c r="N678" s="1"/>
      <c r="O678" s="1"/>
      <c r="P678" s="1"/>
      <c r="Q678" s="1"/>
      <c r="R678" s="1"/>
      <c r="S678" s="1"/>
      <c r="T678" s="1"/>
    </row>
    <row r="679" spans="1:20" ht="33.75" hidden="1" customHeight="1">
      <c r="A679" s="1" t="s">
        <v>2059</v>
      </c>
      <c r="B679" s="1" t="s">
        <v>1696</v>
      </c>
      <c r="C679" s="4">
        <v>39861.847222222219</v>
      </c>
      <c r="D679" s="1" t="s">
        <v>255</v>
      </c>
      <c r="E679" s="1" t="s">
        <v>2000</v>
      </c>
      <c r="F679" s="2" t="s">
        <v>2061</v>
      </c>
      <c r="G679" s="1">
        <f ca="1">IFERROR(__xludf.DUMMYFUNCTION("COUNTA(SPLIT(F679,"" ""))"),189)</f>
        <v>189</v>
      </c>
      <c r="H679" s="1">
        <v>189</v>
      </c>
      <c r="I679" s="1"/>
      <c r="J679" s="1"/>
      <c r="K679" s="1"/>
      <c r="L679" s="1"/>
      <c r="M679" s="1"/>
      <c r="N679" s="1"/>
      <c r="O679" s="1"/>
      <c r="P679" s="1"/>
      <c r="Q679" s="1"/>
      <c r="R679" s="1"/>
      <c r="S679" s="1"/>
      <c r="T679" s="1"/>
    </row>
    <row r="680" spans="1:20" ht="33.75" hidden="1" customHeight="1">
      <c r="A680" s="1" t="s">
        <v>2062</v>
      </c>
      <c r="B680" s="1" t="s">
        <v>1696</v>
      </c>
      <c r="C680" s="4">
        <v>39861.85</v>
      </c>
      <c r="D680" s="1" t="s">
        <v>320</v>
      </c>
      <c r="E680" s="1">
        <v>70</v>
      </c>
      <c r="F680" s="2" t="s">
        <v>2063</v>
      </c>
      <c r="G680" s="1">
        <f ca="1">IFERROR(__xludf.DUMMYFUNCTION("COUNTA(SPLIT(F680,"" ""))"),38)</f>
        <v>38</v>
      </c>
      <c r="H680" s="1">
        <v>38</v>
      </c>
      <c r="I680" s="1"/>
      <c r="J680" s="1"/>
      <c r="K680" s="1"/>
      <c r="L680" s="1"/>
      <c r="M680" s="1"/>
      <c r="N680" s="1"/>
      <c r="O680" s="1"/>
      <c r="P680" s="1"/>
      <c r="Q680" s="1"/>
      <c r="R680" s="1"/>
      <c r="S680" s="1"/>
      <c r="T680" s="1"/>
    </row>
    <row r="681" spans="1:20" ht="33.75" customHeight="1">
      <c r="A681" s="1" t="s">
        <v>2064</v>
      </c>
      <c r="B681" s="1" t="s">
        <v>1814</v>
      </c>
      <c r="C681" s="4">
        <v>39861.864583333336</v>
      </c>
      <c r="D681" s="1" t="s">
        <v>2065</v>
      </c>
      <c r="E681" s="1"/>
      <c r="F681" s="2" t="s">
        <v>2066</v>
      </c>
      <c r="G681" s="1">
        <f ca="1">IFERROR(__xludf.DUMMYFUNCTION("COUNTA(SPLIT(F681,"" ""))"),82)</f>
        <v>82</v>
      </c>
      <c r="H681" s="1">
        <v>82</v>
      </c>
      <c r="I681" s="1"/>
      <c r="J681" s="1"/>
      <c r="K681" s="1"/>
      <c r="L681" s="1"/>
      <c r="M681" s="1"/>
      <c r="N681" s="1"/>
      <c r="O681" s="1"/>
      <c r="P681" s="1"/>
      <c r="Q681" s="1"/>
      <c r="R681" s="1"/>
      <c r="S681" s="1"/>
      <c r="T681" s="1"/>
    </row>
    <row r="682" spans="1:20" ht="33.75" hidden="1" customHeight="1">
      <c r="A682" s="1" t="s">
        <v>2067</v>
      </c>
      <c r="B682" s="1" t="s">
        <v>1696</v>
      </c>
      <c r="C682" s="4">
        <v>39861.879166666666</v>
      </c>
      <c r="D682" s="1" t="s">
        <v>54</v>
      </c>
      <c r="E682" s="1" t="s">
        <v>2062</v>
      </c>
      <c r="F682" s="2" t="s">
        <v>2068</v>
      </c>
      <c r="G682" s="1">
        <f ca="1">IFERROR(__xludf.DUMMYFUNCTION("COUNTA(SPLIT(F682,"" ""))"),195)</f>
        <v>195</v>
      </c>
      <c r="H682" s="1">
        <v>195</v>
      </c>
      <c r="I682" s="1"/>
      <c r="J682" s="1"/>
      <c r="K682" s="1"/>
      <c r="L682" s="1"/>
      <c r="M682" s="1"/>
      <c r="N682" s="1"/>
      <c r="O682" s="1"/>
      <c r="P682" s="1"/>
      <c r="Q682" s="1"/>
      <c r="R682" s="1"/>
      <c r="S682" s="1"/>
      <c r="T682" s="1"/>
    </row>
    <row r="683" spans="1:20" ht="33.75" customHeight="1">
      <c r="A683" s="1" t="s">
        <v>2069</v>
      </c>
      <c r="B683" s="1" t="s">
        <v>1696</v>
      </c>
      <c r="C683" s="4">
        <v>39861.879861111112</v>
      </c>
      <c r="D683" s="1" t="s">
        <v>14</v>
      </c>
      <c r="E683" s="1"/>
      <c r="F683" s="2" t="s">
        <v>2071</v>
      </c>
      <c r="G683" s="1">
        <f ca="1">IFERROR(__xludf.DUMMYFUNCTION("COUNTA(SPLIT(F683,"" ""))"),210)</f>
        <v>210</v>
      </c>
      <c r="H683" s="1">
        <v>210</v>
      </c>
      <c r="I683" s="1"/>
      <c r="J683" s="1"/>
      <c r="K683" s="1"/>
      <c r="L683" s="1"/>
      <c r="M683" s="1"/>
      <c r="N683" s="1"/>
      <c r="O683" s="1"/>
      <c r="P683" s="1"/>
      <c r="Q683" s="1"/>
      <c r="R683" s="1"/>
      <c r="S683" s="1"/>
      <c r="T683" s="1"/>
    </row>
    <row r="684" spans="1:20" ht="33.75" customHeight="1">
      <c r="A684" s="1" t="s">
        <v>2072</v>
      </c>
      <c r="B684" s="1" t="s">
        <v>1696</v>
      </c>
      <c r="C684" s="4">
        <v>39861.89166666667</v>
      </c>
      <c r="D684" s="1" t="s">
        <v>1528</v>
      </c>
      <c r="E684" s="1"/>
      <c r="F684" s="2" t="s">
        <v>2074</v>
      </c>
      <c r="G684" s="1">
        <f ca="1">IFERROR(__xludf.DUMMYFUNCTION("COUNTA(SPLIT(F684,"" ""))"),139)</f>
        <v>139</v>
      </c>
      <c r="H684" s="1">
        <v>139</v>
      </c>
      <c r="I684" s="1"/>
      <c r="J684" s="1"/>
      <c r="K684" s="1"/>
      <c r="L684" s="1"/>
      <c r="M684" s="1"/>
      <c r="N684" s="1"/>
      <c r="O684" s="1"/>
      <c r="P684" s="1"/>
      <c r="Q684" s="1"/>
      <c r="R684" s="1"/>
      <c r="S684" s="1"/>
      <c r="T684" s="1"/>
    </row>
    <row r="685" spans="1:20" ht="33.75" customHeight="1">
      <c r="A685" s="1" t="s">
        <v>2075</v>
      </c>
      <c r="B685" s="1" t="s">
        <v>1696</v>
      </c>
      <c r="C685" s="4">
        <v>39867.047222222223</v>
      </c>
      <c r="D685" s="1" t="s">
        <v>1528</v>
      </c>
      <c r="E685" s="1"/>
      <c r="F685" s="2" t="s">
        <v>2076</v>
      </c>
      <c r="G685" s="1">
        <f ca="1">IFERROR(__xludf.DUMMYFUNCTION("COUNTA(SPLIT(F685,"" ""))"),570)</f>
        <v>570</v>
      </c>
      <c r="H685" s="1">
        <v>570</v>
      </c>
      <c r="I685" s="1"/>
      <c r="J685" s="1"/>
      <c r="K685" s="1"/>
      <c r="L685" s="1"/>
      <c r="M685" s="1"/>
      <c r="N685" s="1"/>
      <c r="O685" s="1"/>
      <c r="P685" s="1"/>
      <c r="Q685" s="1"/>
      <c r="R685" s="1"/>
      <c r="S685" s="1"/>
      <c r="T685" s="1"/>
    </row>
    <row r="686" spans="1:20" ht="33.75" hidden="1" customHeight="1">
      <c r="A686" s="1" t="s">
        <v>2077</v>
      </c>
      <c r="B686" s="1" t="s">
        <v>1696</v>
      </c>
      <c r="C686" s="4">
        <v>39861.894444444442</v>
      </c>
      <c r="D686" s="1" t="s">
        <v>320</v>
      </c>
      <c r="E686" s="1" t="s">
        <v>2069</v>
      </c>
      <c r="F686" s="2" t="s">
        <v>2079</v>
      </c>
      <c r="G686" s="1">
        <f ca="1">IFERROR(__xludf.DUMMYFUNCTION("COUNTA(SPLIT(F686,"" ""))"),40)</f>
        <v>40</v>
      </c>
      <c r="H686" s="1">
        <v>40</v>
      </c>
      <c r="I686" s="1"/>
      <c r="J686" s="1"/>
      <c r="K686" s="1"/>
      <c r="L686" s="1"/>
      <c r="M686" s="1"/>
      <c r="N686" s="1"/>
      <c r="O686" s="1"/>
      <c r="P686" s="1"/>
      <c r="Q686" s="1"/>
      <c r="R686" s="1"/>
      <c r="S686" s="1"/>
      <c r="T686" s="1"/>
    </row>
    <row r="687" spans="1:20" ht="33.75" customHeight="1">
      <c r="A687" s="1" t="s">
        <v>2080</v>
      </c>
      <c r="B687" s="1" t="s">
        <v>1519</v>
      </c>
      <c r="C687" s="4">
        <v>39861.915972222225</v>
      </c>
      <c r="D687" s="1" t="s">
        <v>54</v>
      </c>
      <c r="E687" s="1"/>
      <c r="F687" s="2" t="s">
        <v>2083</v>
      </c>
      <c r="G687" s="1">
        <f ca="1">IFERROR(__xludf.DUMMYFUNCTION("COUNTA(SPLIT(F687,"" ""))"),166)</f>
        <v>166</v>
      </c>
      <c r="H687" s="1">
        <v>166</v>
      </c>
      <c r="I687" s="1"/>
      <c r="J687" s="1"/>
      <c r="K687" s="1"/>
      <c r="L687" s="1"/>
      <c r="M687" s="1"/>
      <c r="N687" s="1"/>
      <c r="O687" s="1"/>
      <c r="P687" s="1"/>
      <c r="Q687" s="1"/>
      <c r="R687" s="1"/>
      <c r="S687" s="1"/>
      <c r="T687" s="1"/>
    </row>
    <row r="688" spans="1:20" ht="33.75" customHeight="1">
      <c r="A688" s="1" t="s">
        <v>2084</v>
      </c>
      <c r="B688" s="1" t="s">
        <v>1814</v>
      </c>
      <c r="C688" s="4">
        <v>39862.061805555553</v>
      </c>
      <c r="D688" s="1" t="s">
        <v>1887</v>
      </c>
      <c r="E688" s="1"/>
      <c r="F688" s="2" t="s">
        <v>2085</v>
      </c>
      <c r="G688" s="1">
        <f ca="1">IFERROR(__xludf.DUMMYFUNCTION("COUNTA(SPLIT(F688,"" ""))"),59)</f>
        <v>59</v>
      </c>
      <c r="H688" s="1">
        <v>59</v>
      </c>
      <c r="I688" s="1"/>
      <c r="J688" s="1"/>
      <c r="K688" s="1"/>
      <c r="L688" s="1"/>
      <c r="M688" s="1"/>
      <c r="N688" s="1"/>
      <c r="O688" s="1"/>
      <c r="P688" s="1"/>
      <c r="Q688" s="1"/>
      <c r="R688" s="1"/>
      <c r="S688" s="1"/>
      <c r="T688" s="1"/>
    </row>
    <row r="689" spans="1:20" ht="33.75" hidden="1" customHeight="1">
      <c r="A689" s="1" t="s">
        <v>2086</v>
      </c>
      <c r="B689" s="1" t="s">
        <v>1696</v>
      </c>
      <c r="C689" s="4">
        <v>39862.257638888892</v>
      </c>
      <c r="D689" s="1" t="s">
        <v>54</v>
      </c>
      <c r="E689" s="1" t="s">
        <v>2069</v>
      </c>
      <c r="F689" s="2" t="s">
        <v>2088</v>
      </c>
      <c r="G689" s="1">
        <f ca="1">IFERROR(__xludf.DUMMYFUNCTION("COUNTA(SPLIT(F689,"" ""))"),104)</f>
        <v>104</v>
      </c>
      <c r="H689" s="1">
        <v>104</v>
      </c>
      <c r="I689" s="1"/>
      <c r="J689" s="1"/>
      <c r="K689" s="1"/>
      <c r="L689" s="1"/>
      <c r="M689" s="1"/>
      <c r="N689" s="1"/>
      <c r="O689" s="1"/>
      <c r="P689" s="1"/>
      <c r="Q689" s="1"/>
      <c r="R689" s="1"/>
      <c r="S689" s="1"/>
      <c r="T689" s="1"/>
    </row>
    <row r="690" spans="1:20" ht="33.75" hidden="1" customHeight="1">
      <c r="A690" s="1" t="s">
        <v>2089</v>
      </c>
      <c r="B690" s="1" t="s">
        <v>1696</v>
      </c>
      <c r="C690" s="4">
        <v>39862.263194444444</v>
      </c>
      <c r="D690" s="1" t="s">
        <v>54</v>
      </c>
      <c r="E690" s="1" t="s">
        <v>2062</v>
      </c>
      <c r="F690" s="2" t="s">
        <v>2091</v>
      </c>
      <c r="G690" s="1">
        <f ca="1">IFERROR(__xludf.DUMMYFUNCTION("COUNTA(SPLIT(F690,"" ""))"),201)</f>
        <v>201</v>
      </c>
      <c r="H690" s="1">
        <v>201</v>
      </c>
      <c r="I690" s="1"/>
      <c r="J690" s="1"/>
      <c r="K690" s="1"/>
      <c r="L690" s="1"/>
      <c r="M690" s="1"/>
      <c r="N690" s="1"/>
      <c r="O690" s="1"/>
      <c r="P690" s="1"/>
      <c r="Q690" s="1"/>
      <c r="R690" s="1"/>
      <c r="S690" s="1"/>
      <c r="T690" s="1"/>
    </row>
    <row r="691" spans="1:20" ht="33.75" hidden="1" customHeight="1">
      <c r="A691" s="1" t="s">
        <v>2092</v>
      </c>
      <c r="B691" s="1" t="s">
        <v>1696</v>
      </c>
      <c r="C691" s="4">
        <v>39862.34375</v>
      </c>
      <c r="D691" s="1" t="s">
        <v>255</v>
      </c>
      <c r="E691" s="1" t="s">
        <v>2069</v>
      </c>
      <c r="F691" s="2" t="s">
        <v>2094</v>
      </c>
      <c r="G691" s="1">
        <f ca="1">IFERROR(__xludf.DUMMYFUNCTION("COUNTA(SPLIT(F691,"" ""))"),53)</f>
        <v>53</v>
      </c>
      <c r="H691" s="1">
        <v>53</v>
      </c>
      <c r="I691" s="1"/>
      <c r="J691" s="1"/>
      <c r="K691" s="1"/>
      <c r="L691" s="1"/>
      <c r="M691" s="1"/>
      <c r="N691" s="1"/>
      <c r="O691" s="1"/>
      <c r="P691" s="1"/>
      <c r="Q691" s="1"/>
      <c r="R691" s="1"/>
      <c r="S691" s="1"/>
      <c r="T691" s="1"/>
    </row>
    <row r="692" spans="1:20" ht="33.75" hidden="1" customHeight="1">
      <c r="A692" s="1" t="s">
        <v>2095</v>
      </c>
      <c r="B692" s="1" t="s">
        <v>1696</v>
      </c>
      <c r="C692" s="4">
        <v>39862.416666666664</v>
      </c>
      <c r="D692" s="1" t="s">
        <v>14</v>
      </c>
      <c r="E692" s="1" t="s">
        <v>2069</v>
      </c>
      <c r="F692" s="2" t="s">
        <v>2097</v>
      </c>
      <c r="G692" s="1">
        <f ca="1">IFERROR(__xludf.DUMMYFUNCTION("COUNTA(SPLIT(F692,"" ""))"),198)</f>
        <v>198</v>
      </c>
      <c r="H692" s="1">
        <v>198</v>
      </c>
      <c r="I692" s="1"/>
      <c r="J692" s="1"/>
      <c r="K692" s="1"/>
      <c r="L692" s="1"/>
      <c r="M692" s="1"/>
      <c r="N692" s="1"/>
      <c r="O692" s="1"/>
      <c r="P692" s="1"/>
      <c r="Q692" s="1"/>
      <c r="R692" s="1"/>
      <c r="S692" s="1"/>
      <c r="T692" s="1"/>
    </row>
    <row r="693" spans="1:20" ht="33.75" customHeight="1">
      <c r="A693" s="1" t="s">
        <v>2098</v>
      </c>
      <c r="B693" s="1" t="s">
        <v>1696</v>
      </c>
      <c r="C693" s="4">
        <v>39862.574305555558</v>
      </c>
      <c r="D693" s="1" t="s">
        <v>14</v>
      </c>
      <c r="E693" s="1"/>
      <c r="F693" s="2" t="s">
        <v>2100</v>
      </c>
      <c r="G693" s="1">
        <f ca="1">IFERROR(__xludf.DUMMYFUNCTION("COUNTA(SPLIT(F693,"" ""))"),91)</f>
        <v>91</v>
      </c>
      <c r="H693" s="1">
        <v>91</v>
      </c>
      <c r="I693" s="1"/>
      <c r="J693" s="1"/>
      <c r="K693" s="1"/>
      <c r="L693" s="1"/>
      <c r="M693" s="1"/>
      <c r="N693" s="1"/>
      <c r="O693" s="1"/>
      <c r="P693" s="1"/>
      <c r="Q693" s="1"/>
      <c r="R693" s="1"/>
      <c r="S693" s="1"/>
      <c r="T693" s="1"/>
    </row>
    <row r="694" spans="1:20" ht="33.75" hidden="1" customHeight="1">
      <c r="A694" s="1" t="s">
        <v>2101</v>
      </c>
      <c r="B694" s="1" t="s">
        <v>1696</v>
      </c>
      <c r="C694" s="4">
        <v>39862.700694444444</v>
      </c>
      <c r="D694" s="1" t="s">
        <v>54</v>
      </c>
      <c r="E694" s="1" t="s">
        <v>2069</v>
      </c>
      <c r="F694" s="2" t="s">
        <v>2103</v>
      </c>
      <c r="G694" s="1">
        <f ca="1">IFERROR(__xludf.DUMMYFUNCTION("COUNTA(SPLIT(F694,"" ""))"),57)</f>
        <v>57</v>
      </c>
      <c r="H694" s="1">
        <v>57</v>
      </c>
      <c r="I694" s="1"/>
      <c r="J694" s="1"/>
      <c r="K694" s="1"/>
      <c r="L694" s="1"/>
      <c r="M694" s="1"/>
      <c r="N694" s="1"/>
      <c r="O694" s="1"/>
      <c r="P694" s="1"/>
      <c r="Q694" s="1"/>
      <c r="R694" s="1"/>
      <c r="S694" s="1"/>
      <c r="T694" s="1"/>
    </row>
    <row r="695" spans="1:20" ht="33.75" hidden="1" customHeight="1">
      <c r="A695" s="1" t="s">
        <v>2104</v>
      </c>
      <c r="B695" s="1" t="s">
        <v>1814</v>
      </c>
      <c r="C695" s="4">
        <v>39862.927083333336</v>
      </c>
      <c r="D695" s="1" t="s">
        <v>1089</v>
      </c>
      <c r="E695" s="1" t="s">
        <v>2064</v>
      </c>
      <c r="F695" s="2" t="s">
        <v>2105</v>
      </c>
      <c r="G695" s="1">
        <f ca="1">IFERROR(__xludf.DUMMYFUNCTION("COUNTA(SPLIT(F695,"" ""))"),95)</f>
        <v>95</v>
      </c>
      <c r="H695" s="1">
        <v>95</v>
      </c>
      <c r="I695" s="1"/>
      <c r="J695" s="1"/>
      <c r="K695" s="1"/>
      <c r="L695" s="1"/>
      <c r="M695" s="1"/>
      <c r="N695" s="1"/>
      <c r="O695" s="1"/>
      <c r="P695" s="1"/>
      <c r="Q695" s="1"/>
      <c r="R695" s="1"/>
      <c r="S695" s="1"/>
      <c r="T695" s="1"/>
    </row>
    <row r="696" spans="1:20" ht="33.75" customHeight="1">
      <c r="A696" s="1" t="s">
        <v>2106</v>
      </c>
      <c r="B696" s="1" t="s">
        <v>1696</v>
      </c>
      <c r="C696" s="4">
        <v>39862.966666666667</v>
      </c>
      <c r="D696" s="1" t="s">
        <v>14</v>
      </c>
      <c r="E696" s="1"/>
      <c r="F696" s="2" t="s">
        <v>2107</v>
      </c>
      <c r="G696" s="1">
        <f ca="1">IFERROR(__xludf.DUMMYFUNCTION("COUNTA(SPLIT(F696,"" ""))"),606)</f>
        <v>606</v>
      </c>
      <c r="H696" s="1">
        <v>606</v>
      </c>
      <c r="I696" s="1"/>
      <c r="J696" s="1"/>
      <c r="K696" s="1"/>
      <c r="L696" s="1"/>
      <c r="M696" s="1"/>
      <c r="N696" s="1"/>
      <c r="O696" s="1"/>
      <c r="P696" s="1"/>
      <c r="Q696" s="1"/>
      <c r="R696" s="1"/>
      <c r="S696" s="1"/>
      <c r="T696" s="1"/>
    </row>
    <row r="697" spans="1:20" ht="33.75" hidden="1" customHeight="1">
      <c r="A697" s="1" t="s">
        <v>2108</v>
      </c>
      <c r="B697" s="1" t="s">
        <v>1696</v>
      </c>
      <c r="C697" s="4">
        <v>39862.999305555553</v>
      </c>
      <c r="D697" s="1" t="s">
        <v>14</v>
      </c>
      <c r="E697" s="1" t="s">
        <v>2106</v>
      </c>
      <c r="F697" s="2" t="s">
        <v>2111</v>
      </c>
      <c r="G697" s="1">
        <f ca="1">IFERROR(__xludf.DUMMYFUNCTION("COUNTA(SPLIT(F697,"" ""))"),421)</f>
        <v>421</v>
      </c>
      <c r="H697" s="1">
        <v>421</v>
      </c>
      <c r="I697" s="1"/>
      <c r="J697" s="1"/>
      <c r="K697" s="1"/>
      <c r="L697" s="1"/>
      <c r="M697" s="1"/>
      <c r="N697" s="1"/>
      <c r="O697" s="1"/>
      <c r="P697" s="1"/>
      <c r="Q697" s="1"/>
      <c r="R697" s="1"/>
      <c r="S697" s="1"/>
      <c r="T697" s="1"/>
    </row>
    <row r="698" spans="1:20" ht="33.75" hidden="1" customHeight="1">
      <c r="A698" s="1" t="s">
        <v>2112</v>
      </c>
      <c r="B698" s="1" t="s">
        <v>1696</v>
      </c>
      <c r="C698" s="4">
        <v>39863.267361111109</v>
      </c>
      <c r="D698" s="1" t="s">
        <v>320</v>
      </c>
      <c r="E698" s="1" t="s">
        <v>2113</v>
      </c>
      <c r="F698" s="2" t="s">
        <v>2115</v>
      </c>
      <c r="G698" s="1">
        <f ca="1">IFERROR(__xludf.DUMMYFUNCTION("COUNTA(SPLIT(F698,"" ""))"),189)</f>
        <v>189</v>
      </c>
      <c r="H698" s="1">
        <v>189</v>
      </c>
      <c r="I698" s="1"/>
      <c r="J698" s="1"/>
      <c r="K698" s="1"/>
      <c r="L698" s="1"/>
      <c r="M698" s="1"/>
      <c r="N698" s="1"/>
      <c r="O698" s="1"/>
      <c r="P698" s="1"/>
      <c r="Q698" s="1"/>
      <c r="R698" s="1"/>
      <c r="S698" s="1"/>
      <c r="T698" s="1"/>
    </row>
    <row r="699" spans="1:20" ht="33.75" hidden="1" customHeight="1">
      <c r="A699" s="1" t="s">
        <v>2116</v>
      </c>
      <c r="B699" s="1" t="s">
        <v>1696</v>
      </c>
      <c r="C699" s="4">
        <v>39863.35833333333</v>
      </c>
      <c r="D699" s="1" t="s">
        <v>255</v>
      </c>
      <c r="E699" s="1" t="s">
        <v>2108</v>
      </c>
      <c r="F699" s="2" t="s">
        <v>2117</v>
      </c>
      <c r="G699" s="1">
        <f ca="1">IFERROR(__xludf.DUMMYFUNCTION("COUNTA(SPLIT(F699,"" ""))"),79)</f>
        <v>79</v>
      </c>
      <c r="H699" s="1">
        <v>79</v>
      </c>
      <c r="I699" s="1"/>
      <c r="J699" s="1"/>
      <c r="K699" s="1"/>
      <c r="L699" s="1"/>
      <c r="M699" s="1"/>
      <c r="N699" s="1"/>
      <c r="O699" s="1"/>
      <c r="P699" s="1"/>
      <c r="Q699" s="1"/>
      <c r="R699" s="1"/>
      <c r="S699" s="1"/>
      <c r="T699" s="1"/>
    </row>
    <row r="700" spans="1:20" ht="33.75" customHeight="1">
      <c r="A700" s="1" t="s">
        <v>2118</v>
      </c>
      <c r="B700" s="1" t="s">
        <v>1814</v>
      </c>
      <c r="C700" s="4">
        <v>39863.396527777775</v>
      </c>
      <c r="D700" s="1" t="s">
        <v>54</v>
      </c>
      <c r="E700" s="1"/>
      <c r="F700" s="2" t="s">
        <v>2119</v>
      </c>
      <c r="G700" s="1">
        <f ca="1">IFERROR(__xludf.DUMMYFUNCTION("COUNTA(SPLIT(F700,"" ""))"),101)</f>
        <v>101</v>
      </c>
      <c r="H700" s="1">
        <v>101</v>
      </c>
      <c r="I700" s="1"/>
      <c r="J700" s="1"/>
      <c r="K700" s="1"/>
      <c r="L700" s="1"/>
      <c r="M700" s="1"/>
      <c r="N700" s="1"/>
      <c r="O700" s="1"/>
      <c r="P700" s="1"/>
      <c r="Q700" s="1"/>
      <c r="R700" s="1"/>
      <c r="S700" s="1"/>
      <c r="T700" s="1"/>
    </row>
    <row r="701" spans="1:20" ht="33.75" hidden="1" customHeight="1">
      <c r="A701" s="1" t="s">
        <v>2120</v>
      </c>
      <c r="B701" s="1" t="s">
        <v>1696</v>
      </c>
      <c r="C701" s="4">
        <v>39863.482638888891</v>
      </c>
      <c r="D701" s="1" t="s">
        <v>14</v>
      </c>
      <c r="E701" s="1" t="s">
        <v>2112</v>
      </c>
      <c r="F701" s="2" t="s">
        <v>2122</v>
      </c>
      <c r="G701" s="1">
        <f ca="1">IFERROR(__xludf.DUMMYFUNCTION("COUNTA(SPLIT(F701,"" ""))"),141)</f>
        <v>141</v>
      </c>
      <c r="H701" s="1">
        <v>141</v>
      </c>
      <c r="I701" s="1"/>
      <c r="J701" s="1"/>
      <c r="K701" s="1"/>
      <c r="L701" s="1"/>
      <c r="M701" s="1"/>
      <c r="N701" s="1"/>
      <c r="O701" s="1"/>
      <c r="P701" s="1"/>
      <c r="Q701" s="1"/>
      <c r="R701" s="1"/>
      <c r="S701" s="1"/>
      <c r="T701" s="1"/>
    </row>
    <row r="702" spans="1:20" ht="33.75" hidden="1" customHeight="1">
      <c r="A702" s="1" t="s">
        <v>2123</v>
      </c>
      <c r="B702" s="1" t="s">
        <v>1696</v>
      </c>
      <c r="C702" s="4">
        <v>39863.568055555559</v>
      </c>
      <c r="D702" s="1" t="s">
        <v>14</v>
      </c>
      <c r="E702" s="1" t="s">
        <v>2112</v>
      </c>
      <c r="F702" s="2" t="s">
        <v>2125</v>
      </c>
      <c r="G702" s="1">
        <f ca="1">IFERROR(__xludf.DUMMYFUNCTION("COUNTA(SPLIT(F702,"" ""))"),581)</f>
        <v>581</v>
      </c>
      <c r="H702" s="1">
        <v>581</v>
      </c>
      <c r="I702" s="1"/>
      <c r="J702" s="1"/>
      <c r="K702" s="1"/>
      <c r="L702" s="1"/>
      <c r="M702" s="1"/>
      <c r="N702" s="1"/>
      <c r="O702" s="1"/>
      <c r="P702" s="1"/>
      <c r="Q702" s="1"/>
      <c r="R702" s="1"/>
      <c r="S702" s="1"/>
      <c r="T702" s="1"/>
    </row>
    <row r="703" spans="1:20" ht="33.75" customHeight="1">
      <c r="A703" s="1" t="s">
        <v>2126</v>
      </c>
      <c r="B703" s="1" t="s">
        <v>1814</v>
      </c>
      <c r="C703" s="4">
        <v>39863.583333333336</v>
      </c>
      <c r="D703" s="1" t="s">
        <v>1887</v>
      </c>
      <c r="E703" s="1"/>
      <c r="F703" s="2" t="s">
        <v>2128</v>
      </c>
      <c r="G703" s="1">
        <f ca="1">IFERROR(__xludf.DUMMYFUNCTION("COUNTA(SPLIT(F703,"" ""))"),46)</f>
        <v>46</v>
      </c>
      <c r="H703" s="1">
        <v>46</v>
      </c>
      <c r="I703" s="1"/>
      <c r="J703" s="1"/>
      <c r="K703" s="1"/>
      <c r="L703" s="1"/>
      <c r="M703" s="1"/>
      <c r="N703" s="1"/>
      <c r="O703" s="1"/>
      <c r="P703" s="1"/>
      <c r="Q703" s="1"/>
      <c r="R703" s="1"/>
      <c r="S703" s="1"/>
      <c r="T703" s="1"/>
    </row>
    <row r="704" spans="1:20" ht="33.75" customHeight="1">
      <c r="A704" s="1" t="s">
        <v>2129</v>
      </c>
      <c r="B704" s="1" t="s">
        <v>1696</v>
      </c>
      <c r="C704" s="4">
        <v>39863.661111111112</v>
      </c>
      <c r="D704" s="1" t="s">
        <v>14</v>
      </c>
      <c r="E704" s="1"/>
      <c r="F704" s="2" t="s">
        <v>2131</v>
      </c>
      <c r="G704" s="1">
        <f ca="1">IFERROR(__xludf.DUMMYFUNCTION("COUNTA(SPLIT(F704,"" ""))"),130)</f>
        <v>130</v>
      </c>
      <c r="H704" s="1">
        <v>130</v>
      </c>
      <c r="I704" s="1"/>
      <c r="J704" s="1"/>
      <c r="K704" s="1"/>
      <c r="L704" s="1"/>
      <c r="M704" s="1"/>
      <c r="N704" s="1"/>
      <c r="O704" s="1"/>
      <c r="P704" s="1"/>
      <c r="Q704" s="1"/>
      <c r="R704" s="1"/>
      <c r="S704" s="1"/>
      <c r="T704" s="1"/>
    </row>
    <row r="705" spans="1:20" ht="33.75" customHeight="1">
      <c r="A705" s="1" t="s">
        <v>2132</v>
      </c>
      <c r="B705" s="1" t="s">
        <v>1696</v>
      </c>
      <c r="C705" s="4">
        <v>39863.708333333336</v>
      </c>
      <c r="D705" s="1" t="s">
        <v>14</v>
      </c>
      <c r="E705" s="1"/>
      <c r="F705" s="2" t="s">
        <v>2134</v>
      </c>
      <c r="G705" s="1">
        <f ca="1">IFERROR(__xludf.DUMMYFUNCTION("COUNTA(SPLIT(F705,"" ""))"),357)</f>
        <v>357</v>
      </c>
      <c r="H705" s="1">
        <v>357</v>
      </c>
      <c r="I705" s="1"/>
      <c r="J705" s="1"/>
      <c r="K705" s="1"/>
      <c r="L705" s="1"/>
      <c r="M705" s="1"/>
      <c r="N705" s="1"/>
      <c r="O705" s="1"/>
      <c r="P705" s="1"/>
      <c r="Q705" s="1"/>
      <c r="R705" s="1"/>
      <c r="S705" s="1"/>
      <c r="T705" s="1"/>
    </row>
    <row r="706" spans="1:20" ht="33.75" customHeight="1">
      <c r="A706" s="1" t="s">
        <v>2135</v>
      </c>
      <c r="B706" s="1" t="s">
        <v>1696</v>
      </c>
      <c r="C706" s="4">
        <v>39863.741666666669</v>
      </c>
      <c r="D706" s="1" t="s">
        <v>14</v>
      </c>
      <c r="E706" s="1"/>
      <c r="F706" s="2" t="s">
        <v>2136</v>
      </c>
      <c r="G706" s="1">
        <f ca="1">IFERROR(__xludf.DUMMYFUNCTION("COUNTA(SPLIT(F706,"" ""))"),193)</f>
        <v>193</v>
      </c>
      <c r="H706" s="1">
        <v>193</v>
      </c>
      <c r="I706" s="1"/>
      <c r="J706" s="1"/>
      <c r="K706" s="1"/>
      <c r="L706" s="1"/>
      <c r="M706" s="1"/>
      <c r="N706" s="1"/>
      <c r="O706" s="1"/>
      <c r="P706" s="1"/>
      <c r="Q706" s="1"/>
      <c r="R706" s="1"/>
      <c r="S706" s="1"/>
      <c r="T706" s="1"/>
    </row>
    <row r="707" spans="1:20" ht="33.75" customHeight="1">
      <c r="A707" s="1" t="s">
        <v>2137</v>
      </c>
      <c r="B707" s="1" t="s">
        <v>1814</v>
      </c>
      <c r="C707" s="4">
        <v>39863.784722222219</v>
      </c>
      <c r="D707" s="1" t="s">
        <v>1089</v>
      </c>
      <c r="E707" s="1"/>
      <c r="F707" s="2" t="s">
        <v>2138</v>
      </c>
      <c r="G707" s="1">
        <f ca="1">IFERROR(__xludf.DUMMYFUNCTION("COUNTA(SPLIT(F707,"" ""))"),69)</f>
        <v>69</v>
      </c>
      <c r="H707" s="1">
        <v>69</v>
      </c>
      <c r="I707" s="1"/>
      <c r="J707" s="1"/>
      <c r="K707" s="1"/>
      <c r="L707" s="1"/>
      <c r="M707" s="1"/>
      <c r="N707" s="1"/>
      <c r="O707" s="1"/>
      <c r="P707" s="1"/>
      <c r="Q707" s="1"/>
      <c r="R707" s="1"/>
      <c r="S707" s="1"/>
      <c r="T707" s="1"/>
    </row>
    <row r="708" spans="1:20" ht="33.75" hidden="1" customHeight="1">
      <c r="A708" s="1" t="s">
        <v>2139</v>
      </c>
      <c r="B708" s="1" t="s">
        <v>1696</v>
      </c>
      <c r="C708" s="4">
        <v>39863.829861111109</v>
      </c>
      <c r="D708" s="1" t="s">
        <v>14</v>
      </c>
      <c r="E708" s="1" t="s">
        <v>2135</v>
      </c>
      <c r="F708" s="2" t="s">
        <v>2140</v>
      </c>
      <c r="G708" s="1">
        <f ca="1">IFERROR(__xludf.DUMMYFUNCTION("COUNTA(SPLIT(F708,"" ""))"),313)</f>
        <v>313</v>
      </c>
      <c r="H708" s="1">
        <v>313</v>
      </c>
      <c r="I708" s="1"/>
      <c r="J708" s="1"/>
      <c r="K708" s="1"/>
      <c r="L708" s="1"/>
      <c r="M708" s="1"/>
      <c r="N708" s="1"/>
      <c r="O708" s="1"/>
      <c r="P708" s="1"/>
      <c r="Q708" s="1"/>
      <c r="R708" s="1"/>
      <c r="S708" s="1"/>
      <c r="T708" s="1"/>
    </row>
    <row r="709" spans="1:20" ht="33.75" customHeight="1">
      <c r="A709" s="1" t="s">
        <v>2141</v>
      </c>
      <c r="B709" s="1" t="s">
        <v>1814</v>
      </c>
      <c r="C709" s="4">
        <v>39863.838888888888</v>
      </c>
      <c r="D709" s="1" t="s">
        <v>772</v>
      </c>
      <c r="E709" s="1"/>
      <c r="F709" s="2" t="s">
        <v>2142</v>
      </c>
      <c r="G709" s="1">
        <f ca="1">IFERROR(__xludf.DUMMYFUNCTION("COUNTA(SPLIT(F709,"" ""))"),153)</f>
        <v>153</v>
      </c>
      <c r="H709" s="1">
        <v>153</v>
      </c>
      <c r="I709" s="1"/>
      <c r="J709" s="1"/>
      <c r="K709" s="1"/>
      <c r="L709" s="1"/>
      <c r="M709" s="1"/>
      <c r="N709" s="1"/>
      <c r="O709" s="1"/>
      <c r="P709" s="1"/>
      <c r="Q709" s="1"/>
      <c r="R709" s="1"/>
      <c r="S709" s="1"/>
      <c r="T709" s="1"/>
    </row>
    <row r="710" spans="1:20" ht="33.75" hidden="1" customHeight="1">
      <c r="A710" s="1" t="s">
        <v>2143</v>
      </c>
      <c r="B710" s="1" t="s">
        <v>1696</v>
      </c>
      <c r="C710" s="4">
        <v>39863.854166666664</v>
      </c>
      <c r="D710" s="1" t="s">
        <v>14</v>
      </c>
      <c r="E710" s="1" t="s">
        <v>2135</v>
      </c>
      <c r="F710" s="2" t="s">
        <v>2144</v>
      </c>
      <c r="G710" s="1">
        <f ca="1">IFERROR(__xludf.DUMMYFUNCTION("COUNTA(SPLIT(F710,"" ""))"),98)</f>
        <v>98</v>
      </c>
      <c r="H710" s="1">
        <v>98</v>
      </c>
      <c r="I710" s="1"/>
      <c r="J710" s="1"/>
      <c r="K710" s="1"/>
      <c r="L710" s="1"/>
      <c r="M710" s="1"/>
      <c r="N710" s="1"/>
      <c r="O710" s="1"/>
      <c r="P710" s="1"/>
      <c r="Q710" s="1"/>
      <c r="R710" s="1"/>
      <c r="S710" s="1"/>
      <c r="T710" s="1"/>
    </row>
    <row r="711" spans="1:20" ht="33.75" hidden="1" customHeight="1">
      <c r="A711" s="1" t="s">
        <v>2145</v>
      </c>
      <c r="B711" s="1" t="s">
        <v>1696</v>
      </c>
      <c r="C711" s="4">
        <v>39863.915972222225</v>
      </c>
      <c r="D711" s="1" t="s">
        <v>14</v>
      </c>
      <c r="E711" s="1" t="s">
        <v>2135</v>
      </c>
      <c r="F711" s="2" t="s">
        <v>2146</v>
      </c>
      <c r="G711" s="1">
        <f ca="1">IFERROR(__xludf.DUMMYFUNCTION("COUNTA(SPLIT(F711,"" ""))"),76)</f>
        <v>76</v>
      </c>
      <c r="H711" s="1">
        <v>76</v>
      </c>
      <c r="I711" s="1"/>
      <c r="J711" s="1"/>
      <c r="K711" s="1"/>
      <c r="L711" s="1"/>
      <c r="M711" s="1"/>
      <c r="N711" s="1"/>
      <c r="O711" s="1"/>
      <c r="P711" s="1"/>
      <c r="Q711" s="1"/>
      <c r="R711" s="1"/>
      <c r="S711" s="1"/>
      <c r="T711" s="1"/>
    </row>
    <row r="712" spans="1:20" ht="33.75" customHeight="1">
      <c r="A712" s="1" t="s">
        <v>2147</v>
      </c>
      <c r="B712" s="1" t="s">
        <v>1814</v>
      </c>
      <c r="C712" s="4">
        <v>39863.931944444441</v>
      </c>
      <c r="D712" s="1" t="s">
        <v>54</v>
      </c>
      <c r="E712" s="1"/>
      <c r="F712" s="2" t="s">
        <v>2148</v>
      </c>
      <c r="G712" s="1">
        <f ca="1">IFERROR(__xludf.DUMMYFUNCTION("COUNTA(SPLIT(F712,"" ""))"),92)</f>
        <v>92</v>
      </c>
      <c r="H712" s="1">
        <v>92</v>
      </c>
      <c r="I712" s="1"/>
      <c r="J712" s="1"/>
      <c r="K712" s="1"/>
      <c r="L712" s="1"/>
      <c r="M712" s="1"/>
      <c r="N712" s="1"/>
      <c r="O712" s="1"/>
      <c r="P712" s="1"/>
      <c r="Q712" s="1"/>
      <c r="R712" s="1"/>
      <c r="S712" s="1"/>
      <c r="T712" s="1"/>
    </row>
    <row r="713" spans="1:20" ht="33.75" customHeight="1">
      <c r="A713" s="1" t="s">
        <v>2149</v>
      </c>
      <c r="B713" s="1" t="s">
        <v>156</v>
      </c>
      <c r="C713" s="4">
        <v>39863.944444444445</v>
      </c>
      <c r="D713" s="1" t="s">
        <v>772</v>
      </c>
      <c r="E713" s="1"/>
      <c r="F713" s="2" t="s">
        <v>2152</v>
      </c>
      <c r="G713" s="1">
        <f ca="1">IFERROR(__xludf.DUMMYFUNCTION("COUNTA(SPLIT(F713,"" ""))"),62)</f>
        <v>62</v>
      </c>
      <c r="H713" s="1">
        <v>62</v>
      </c>
      <c r="I713" s="1"/>
      <c r="J713" s="1"/>
      <c r="K713" s="1"/>
      <c r="L713" s="1"/>
      <c r="M713" s="1"/>
      <c r="N713" s="1"/>
      <c r="O713" s="1"/>
      <c r="P713" s="1"/>
      <c r="Q713" s="1"/>
      <c r="R713" s="1"/>
      <c r="S713" s="1"/>
      <c r="T713" s="1"/>
    </row>
    <row r="714" spans="1:20" ht="33.75" hidden="1" customHeight="1">
      <c r="A714" s="1" t="s">
        <v>2153</v>
      </c>
      <c r="B714" s="1" t="s">
        <v>1696</v>
      </c>
      <c r="C714" s="4">
        <v>39864.047222222223</v>
      </c>
      <c r="D714" s="1" t="s">
        <v>14</v>
      </c>
      <c r="E714" s="1" t="s">
        <v>2135</v>
      </c>
      <c r="F714" s="2" t="s">
        <v>2154</v>
      </c>
      <c r="G714" s="1">
        <f ca="1">IFERROR(__xludf.DUMMYFUNCTION("COUNTA(SPLIT(F714,"" ""))"),109)</f>
        <v>109</v>
      </c>
      <c r="H714" s="1">
        <v>109</v>
      </c>
      <c r="I714" s="1"/>
      <c r="J714" s="1"/>
      <c r="K714" s="1"/>
      <c r="L714" s="1"/>
      <c r="M714" s="1"/>
      <c r="N714" s="1"/>
      <c r="O714" s="1"/>
      <c r="P714" s="1"/>
      <c r="Q714" s="1"/>
      <c r="R714" s="1"/>
      <c r="S714" s="1"/>
      <c r="T714" s="1"/>
    </row>
    <row r="715" spans="1:20" ht="33.75" hidden="1" customHeight="1">
      <c r="A715" s="1" t="s">
        <v>2155</v>
      </c>
      <c r="B715" s="1" t="s">
        <v>1696</v>
      </c>
      <c r="C715" s="4">
        <v>39864.071527777778</v>
      </c>
      <c r="D715" s="1" t="s">
        <v>14</v>
      </c>
      <c r="E715" s="1" t="s">
        <v>2135</v>
      </c>
      <c r="F715" s="2" t="s">
        <v>2156</v>
      </c>
      <c r="G715" s="1">
        <f ca="1">IFERROR(__xludf.DUMMYFUNCTION("COUNTA(SPLIT(F715,"" ""))"),150)</f>
        <v>150</v>
      </c>
      <c r="H715" s="1">
        <v>150</v>
      </c>
      <c r="I715" s="1"/>
      <c r="J715" s="1"/>
      <c r="K715" s="1"/>
      <c r="L715" s="1"/>
      <c r="M715" s="1"/>
      <c r="N715" s="1"/>
      <c r="O715" s="1"/>
      <c r="P715" s="1"/>
      <c r="Q715" s="1"/>
      <c r="R715" s="1"/>
      <c r="S715" s="1"/>
      <c r="T715" s="1"/>
    </row>
    <row r="716" spans="1:20" ht="33.75" customHeight="1">
      <c r="A716" s="1" t="s">
        <v>2157</v>
      </c>
      <c r="B716" s="1" t="s">
        <v>1696</v>
      </c>
      <c r="C716" s="4">
        <v>39864.144444444442</v>
      </c>
      <c r="D716" s="1" t="s">
        <v>196</v>
      </c>
      <c r="E716" s="1"/>
      <c r="F716" s="2" t="s">
        <v>2159</v>
      </c>
      <c r="G716" s="1">
        <f ca="1">IFERROR(__xludf.DUMMYFUNCTION("COUNTA(SPLIT(F716,"" ""))"),206)</f>
        <v>206</v>
      </c>
      <c r="H716" s="1">
        <v>206</v>
      </c>
      <c r="I716" s="1"/>
      <c r="J716" s="1"/>
      <c r="K716" s="1"/>
      <c r="L716" s="1"/>
      <c r="M716" s="1"/>
      <c r="N716" s="1"/>
      <c r="O716" s="1"/>
      <c r="P716" s="1"/>
      <c r="Q716" s="1"/>
      <c r="R716" s="1"/>
      <c r="S716" s="1"/>
      <c r="T716" s="1"/>
    </row>
    <row r="717" spans="1:20" ht="33.75" hidden="1" customHeight="1">
      <c r="A717" s="1" t="s">
        <v>2160</v>
      </c>
      <c r="B717" s="1" t="s">
        <v>1814</v>
      </c>
      <c r="C717" s="4">
        <v>39864.195138888892</v>
      </c>
      <c r="D717" s="1" t="s">
        <v>381</v>
      </c>
      <c r="E717" s="1" t="s">
        <v>2126</v>
      </c>
      <c r="F717" s="2" t="s">
        <v>2161</v>
      </c>
      <c r="G717" s="1">
        <f ca="1">IFERROR(__xludf.DUMMYFUNCTION("COUNTA(SPLIT(F717,"" ""))"),186)</f>
        <v>186</v>
      </c>
      <c r="H717" s="1">
        <v>186</v>
      </c>
      <c r="I717" s="1"/>
      <c r="J717" s="1"/>
      <c r="K717" s="1"/>
      <c r="L717" s="1"/>
      <c r="M717" s="1"/>
      <c r="N717" s="1"/>
      <c r="O717" s="1"/>
      <c r="P717" s="1"/>
      <c r="Q717" s="1"/>
      <c r="R717" s="1"/>
      <c r="S717" s="1"/>
      <c r="T717" s="1"/>
    </row>
    <row r="718" spans="1:20" ht="33.75" customHeight="1">
      <c r="A718" s="1" t="s">
        <v>2162</v>
      </c>
      <c r="B718" s="1" t="s">
        <v>1814</v>
      </c>
      <c r="C718" s="4">
        <v>39864.223611111112</v>
      </c>
      <c r="D718" s="1" t="s">
        <v>1887</v>
      </c>
      <c r="E718" s="1"/>
      <c r="F718" s="2" t="s">
        <v>2164</v>
      </c>
      <c r="G718" s="1">
        <f ca="1">IFERROR(__xludf.DUMMYFUNCTION("COUNTA(SPLIT(F718,"" ""))"),76)</f>
        <v>76</v>
      </c>
      <c r="H718" s="1">
        <v>76</v>
      </c>
      <c r="I718" s="1"/>
      <c r="J718" s="1"/>
      <c r="K718" s="1"/>
      <c r="L718" s="1"/>
      <c r="M718" s="1"/>
      <c r="N718" s="1"/>
      <c r="O718" s="1"/>
      <c r="P718" s="1"/>
      <c r="Q718" s="1"/>
      <c r="R718" s="1"/>
      <c r="S718" s="1"/>
      <c r="T718" s="1"/>
    </row>
    <row r="719" spans="1:20" ht="33.75" hidden="1" customHeight="1">
      <c r="A719" s="1" t="s">
        <v>2165</v>
      </c>
      <c r="B719" s="1" t="s">
        <v>1696</v>
      </c>
      <c r="C719" s="4">
        <v>39864.288888888892</v>
      </c>
      <c r="D719" s="1" t="s">
        <v>320</v>
      </c>
      <c r="E719" s="1" t="s">
        <v>2166</v>
      </c>
      <c r="F719" s="2" t="s">
        <v>2168</v>
      </c>
      <c r="G719" s="1">
        <f ca="1">IFERROR(__xludf.DUMMYFUNCTION("COUNTA(SPLIT(F719,"" ""))"),103)</f>
        <v>103</v>
      </c>
      <c r="H719" s="1">
        <v>103</v>
      </c>
      <c r="I719" s="1"/>
      <c r="J719" s="1"/>
      <c r="K719" s="1"/>
      <c r="L719" s="1"/>
      <c r="M719" s="1"/>
      <c r="N719" s="1"/>
      <c r="O719" s="1"/>
      <c r="P719" s="1"/>
      <c r="Q719" s="1"/>
      <c r="R719" s="1"/>
      <c r="S719" s="1"/>
      <c r="T719" s="1"/>
    </row>
    <row r="720" spans="1:20" ht="33.75" customHeight="1">
      <c r="A720" s="1" t="s">
        <v>2169</v>
      </c>
      <c r="B720" s="1" t="s">
        <v>1696</v>
      </c>
      <c r="C720" s="4">
        <v>39864.291666666664</v>
      </c>
      <c r="D720" s="1" t="s">
        <v>320</v>
      </c>
      <c r="E720" s="1"/>
      <c r="F720" s="2" t="s">
        <v>2171</v>
      </c>
      <c r="G720" s="1">
        <f ca="1">IFERROR(__xludf.DUMMYFUNCTION("COUNTA(SPLIT(F720,"" ""))"),38)</f>
        <v>38</v>
      </c>
      <c r="H720" s="1">
        <v>38</v>
      </c>
      <c r="I720" s="1"/>
      <c r="J720" s="1"/>
      <c r="K720" s="1"/>
      <c r="L720" s="1"/>
      <c r="M720" s="1"/>
      <c r="N720" s="1"/>
      <c r="O720" s="1"/>
      <c r="P720" s="1"/>
      <c r="Q720" s="1"/>
      <c r="R720" s="1"/>
      <c r="S720" s="1"/>
      <c r="T720" s="1"/>
    </row>
    <row r="721" spans="1:20" ht="33.75" customHeight="1">
      <c r="A721" s="1" t="s">
        <v>2172</v>
      </c>
      <c r="B721" s="1" t="s">
        <v>1696</v>
      </c>
      <c r="C721" s="4">
        <v>39864.299305555556</v>
      </c>
      <c r="D721" s="1" t="s">
        <v>196</v>
      </c>
      <c r="E721" s="1"/>
      <c r="F721" s="2" t="s">
        <v>2173</v>
      </c>
      <c r="G721" s="1">
        <f ca="1">IFERROR(__xludf.DUMMYFUNCTION("COUNTA(SPLIT(F721,"" ""))"),120)</f>
        <v>120</v>
      </c>
      <c r="H721" s="1">
        <v>120</v>
      </c>
      <c r="I721" s="1"/>
      <c r="J721" s="1"/>
      <c r="K721" s="1"/>
      <c r="L721" s="1"/>
      <c r="M721" s="1"/>
      <c r="N721" s="1"/>
      <c r="O721" s="1"/>
      <c r="P721" s="1"/>
      <c r="Q721" s="1"/>
      <c r="R721" s="1"/>
      <c r="S721" s="1"/>
      <c r="T721" s="1"/>
    </row>
    <row r="722" spans="1:20" ht="33.75" hidden="1" customHeight="1">
      <c r="A722" s="1" t="s">
        <v>2174</v>
      </c>
      <c r="B722" s="1" t="s">
        <v>1696</v>
      </c>
      <c r="C722" s="4">
        <v>39864.304166666669</v>
      </c>
      <c r="D722" s="1" t="s">
        <v>196</v>
      </c>
      <c r="E722" s="1" t="s">
        <v>2172</v>
      </c>
      <c r="F722" s="2" t="s">
        <v>2175</v>
      </c>
      <c r="G722" s="1">
        <f ca="1">IFERROR(__xludf.DUMMYFUNCTION("COUNTA(SPLIT(F722,"" ""))"),13)</f>
        <v>13</v>
      </c>
      <c r="H722" s="1">
        <v>13</v>
      </c>
      <c r="I722" s="1"/>
      <c r="J722" s="1"/>
      <c r="K722" s="1"/>
      <c r="L722" s="1"/>
      <c r="M722" s="1"/>
      <c r="N722" s="1"/>
      <c r="O722" s="1"/>
      <c r="P722" s="1"/>
      <c r="Q722" s="1"/>
      <c r="R722" s="1"/>
      <c r="S722" s="1"/>
      <c r="T722" s="1"/>
    </row>
    <row r="723" spans="1:20" ht="33.75" hidden="1" customHeight="1">
      <c r="A723" s="1" t="s">
        <v>2176</v>
      </c>
      <c r="B723" s="1" t="s">
        <v>1696</v>
      </c>
      <c r="C723" s="4">
        <v>39864.313888888886</v>
      </c>
      <c r="D723" s="1" t="s">
        <v>196</v>
      </c>
      <c r="E723" s="1" t="s">
        <v>2169</v>
      </c>
      <c r="F723" s="2" t="s">
        <v>2177</v>
      </c>
      <c r="G723" s="1">
        <f ca="1">IFERROR(__xludf.DUMMYFUNCTION("COUNTA(SPLIT(F723,"" ""))"),59)</f>
        <v>59</v>
      </c>
      <c r="H723" s="1">
        <v>59</v>
      </c>
      <c r="I723" s="1"/>
      <c r="J723" s="1"/>
      <c r="K723" s="1"/>
      <c r="L723" s="1"/>
      <c r="M723" s="1"/>
      <c r="N723" s="1"/>
      <c r="O723" s="1"/>
      <c r="P723" s="1"/>
      <c r="Q723" s="1"/>
      <c r="R723" s="1"/>
      <c r="S723" s="1"/>
      <c r="T723" s="1"/>
    </row>
    <row r="724" spans="1:20" ht="33.75" hidden="1" customHeight="1">
      <c r="A724" s="1" t="s">
        <v>2178</v>
      </c>
      <c r="B724" s="1" t="s">
        <v>1696</v>
      </c>
      <c r="C724" s="4">
        <v>39864.322222222225</v>
      </c>
      <c r="D724" s="1" t="s">
        <v>255</v>
      </c>
      <c r="E724" s="1" t="s">
        <v>2176</v>
      </c>
      <c r="F724" s="2" t="s">
        <v>2179</v>
      </c>
      <c r="G724" s="1">
        <f ca="1">IFERROR(__xludf.DUMMYFUNCTION("COUNTA(SPLIT(F724,"" ""))"),27)</f>
        <v>27</v>
      </c>
      <c r="H724" s="1">
        <v>27</v>
      </c>
      <c r="I724" s="1"/>
      <c r="J724" s="1"/>
      <c r="K724" s="1"/>
      <c r="L724" s="1"/>
      <c r="M724" s="1"/>
      <c r="N724" s="1"/>
      <c r="O724" s="1"/>
      <c r="P724" s="1"/>
      <c r="Q724" s="1"/>
      <c r="R724" s="1"/>
      <c r="S724" s="1"/>
      <c r="T724" s="1"/>
    </row>
    <row r="725" spans="1:20" ht="33.75" hidden="1" customHeight="1">
      <c r="A725" s="1" t="s">
        <v>2180</v>
      </c>
      <c r="B725" s="1" t="s">
        <v>1696</v>
      </c>
      <c r="C725" s="4">
        <v>39864.345833333333</v>
      </c>
      <c r="D725" s="1" t="s">
        <v>196</v>
      </c>
      <c r="E725" s="1" t="s">
        <v>2178</v>
      </c>
      <c r="F725" s="2" t="s">
        <v>2182</v>
      </c>
      <c r="G725" s="1">
        <f ca="1">IFERROR(__xludf.DUMMYFUNCTION("COUNTA(SPLIT(F725,"" ""))"),65)</f>
        <v>65</v>
      </c>
      <c r="H725" s="1">
        <v>65</v>
      </c>
      <c r="I725" s="1"/>
      <c r="J725" s="1"/>
      <c r="K725" s="1"/>
      <c r="L725" s="1"/>
      <c r="M725" s="1"/>
      <c r="N725" s="1"/>
      <c r="O725" s="1"/>
      <c r="P725" s="1"/>
      <c r="Q725" s="1"/>
      <c r="R725" s="1"/>
      <c r="S725" s="1"/>
      <c r="T725" s="1"/>
    </row>
    <row r="726" spans="1:20" ht="33.75" hidden="1" customHeight="1">
      <c r="A726" s="1" t="s">
        <v>2183</v>
      </c>
      <c r="B726" s="1" t="s">
        <v>1814</v>
      </c>
      <c r="C726" s="4">
        <v>39864.353472222225</v>
      </c>
      <c r="D726" s="1" t="s">
        <v>381</v>
      </c>
      <c r="E726" s="1" t="s">
        <v>2184</v>
      </c>
      <c r="F726" s="2" t="s">
        <v>2185</v>
      </c>
      <c r="G726" s="1">
        <f ca="1">IFERROR(__xludf.DUMMYFUNCTION("COUNTA(SPLIT(F726,"" ""))"),94)</f>
        <v>94</v>
      </c>
      <c r="H726" s="1">
        <v>94</v>
      </c>
      <c r="I726" s="1"/>
      <c r="J726" s="1"/>
      <c r="K726" s="1"/>
      <c r="L726" s="1"/>
      <c r="M726" s="1"/>
      <c r="N726" s="1"/>
      <c r="O726" s="1"/>
      <c r="P726" s="1"/>
      <c r="Q726" s="1"/>
      <c r="R726" s="1"/>
      <c r="S726" s="1"/>
      <c r="T726" s="1"/>
    </row>
    <row r="727" spans="1:20" ht="33.75" hidden="1" customHeight="1">
      <c r="A727" s="1" t="s">
        <v>2186</v>
      </c>
      <c r="B727" s="1" t="s">
        <v>1814</v>
      </c>
      <c r="C727" s="4">
        <v>39864.357638888891</v>
      </c>
      <c r="D727" s="1" t="s">
        <v>1241</v>
      </c>
      <c r="E727" s="1">
        <v>229</v>
      </c>
      <c r="F727" s="2" t="s">
        <v>2187</v>
      </c>
      <c r="G727" s="1">
        <f ca="1">IFERROR(__xludf.DUMMYFUNCTION("COUNTA(SPLIT(F727,"" ""))"),105)</f>
        <v>105</v>
      </c>
      <c r="H727" s="1">
        <v>105</v>
      </c>
      <c r="I727" s="1"/>
      <c r="J727" s="1"/>
      <c r="K727" s="1"/>
      <c r="L727" s="1"/>
      <c r="M727" s="1"/>
      <c r="N727" s="1"/>
      <c r="O727" s="1"/>
      <c r="P727" s="1"/>
      <c r="Q727" s="1"/>
      <c r="R727" s="1"/>
      <c r="S727" s="1"/>
      <c r="T727" s="1"/>
    </row>
    <row r="728" spans="1:20" ht="33.75" hidden="1" customHeight="1">
      <c r="A728" s="1" t="s">
        <v>2188</v>
      </c>
      <c r="B728" s="1" t="s">
        <v>1696</v>
      </c>
      <c r="C728" s="4">
        <v>39864.380555555559</v>
      </c>
      <c r="D728" s="1" t="s">
        <v>14</v>
      </c>
      <c r="E728" s="1" t="s">
        <v>2165</v>
      </c>
      <c r="F728" s="2" t="s">
        <v>2189</v>
      </c>
      <c r="G728" s="1">
        <f ca="1">IFERROR(__xludf.DUMMYFUNCTION("COUNTA(SPLIT(F728,"" ""))"),179)</f>
        <v>179</v>
      </c>
      <c r="H728" s="1">
        <v>179</v>
      </c>
      <c r="I728" s="1"/>
      <c r="J728" s="1"/>
      <c r="K728" s="1"/>
      <c r="L728" s="1"/>
      <c r="M728" s="1"/>
      <c r="N728" s="1"/>
      <c r="O728" s="1"/>
      <c r="P728" s="1"/>
      <c r="Q728" s="1"/>
      <c r="R728" s="1"/>
      <c r="S728" s="1"/>
      <c r="T728" s="1"/>
    </row>
    <row r="729" spans="1:20" ht="33.75" hidden="1" customHeight="1">
      <c r="A729" s="1" t="s">
        <v>2190</v>
      </c>
      <c r="B729" s="1" t="s">
        <v>1696</v>
      </c>
      <c r="C729" s="4">
        <v>39864.390277777777</v>
      </c>
      <c r="D729" s="1" t="s">
        <v>14</v>
      </c>
      <c r="E729" s="1" t="s">
        <v>2155</v>
      </c>
      <c r="F729" s="2" t="s">
        <v>2193</v>
      </c>
      <c r="G729" s="1">
        <f ca="1">IFERROR(__xludf.DUMMYFUNCTION("COUNTA(SPLIT(F729,"" ""))"),214)</f>
        <v>214</v>
      </c>
      <c r="H729" s="1">
        <v>214</v>
      </c>
      <c r="I729" s="1"/>
      <c r="J729" s="1"/>
      <c r="K729" s="1"/>
      <c r="L729" s="1"/>
      <c r="M729" s="1"/>
      <c r="N729" s="1"/>
      <c r="O729" s="1"/>
      <c r="P729" s="1"/>
      <c r="Q729" s="1"/>
      <c r="R729" s="1"/>
      <c r="S729" s="1"/>
      <c r="T729" s="1"/>
    </row>
    <row r="730" spans="1:20" ht="33.75" hidden="1" customHeight="1">
      <c r="A730" s="1" t="s">
        <v>2194</v>
      </c>
      <c r="B730" s="1" t="s">
        <v>1519</v>
      </c>
      <c r="C730" s="4">
        <v>39864.479166666664</v>
      </c>
      <c r="D730" s="1" t="s">
        <v>54</v>
      </c>
      <c r="E730" s="1" t="s">
        <v>2195</v>
      </c>
      <c r="F730" s="2" t="s">
        <v>2197</v>
      </c>
      <c r="G730" s="1">
        <f ca="1">IFERROR(__xludf.DUMMYFUNCTION("COUNTA(SPLIT(F730,"" ""))"),422)</f>
        <v>422</v>
      </c>
      <c r="H730" s="1">
        <v>422</v>
      </c>
      <c r="I730" s="1"/>
      <c r="J730" s="1"/>
      <c r="K730" s="1"/>
      <c r="L730" s="1"/>
      <c r="M730" s="1"/>
      <c r="N730" s="1"/>
      <c r="O730" s="1"/>
      <c r="P730" s="1"/>
      <c r="Q730" s="1"/>
      <c r="R730" s="1"/>
      <c r="S730" s="1"/>
      <c r="T730" s="1"/>
    </row>
    <row r="731" spans="1:20" ht="33.75" hidden="1" customHeight="1">
      <c r="A731" s="1" t="s">
        <v>2198</v>
      </c>
      <c r="B731" s="1" t="s">
        <v>1519</v>
      </c>
      <c r="C731" s="4">
        <v>39864.491666666669</v>
      </c>
      <c r="D731" s="1" t="s">
        <v>54</v>
      </c>
      <c r="E731" s="1" t="s">
        <v>2194</v>
      </c>
      <c r="F731" s="2" t="s">
        <v>2200</v>
      </c>
      <c r="G731" s="1">
        <f ca="1">IFERROR(__xludf.DUMMYFUNCTION("COUNTA(SPLIT(F731,"" ""))"),317)</f>
        <v>317</v>
      </c>
      <c r="H731" s="1">
        <v>317</v>
      </c>
      <c r="I731" s="1"/>
      <c r="J731" s="1"/>
      <c r="K731" s="1"/>
      <c r="L731" s="1"/>
      <c r="M731" s="1"/>
      <c r="N731" s="1"/>
      <c r="O731" s="1"/>
      <c r="P731" s="1"/>
      <c r="Q731" s="1"/>
      <c r="R731" s="1"/>
      <c r="S731" s="1"/>
      <c r="T731" s="1"/>
    </row>
    <row r="732" spans="1:20" ht="33.75" customHeight="1">
      <c r="A732" s="1" t="s">
        <v>2201</v>
      </c>
      <c r="B732" s="1" t="s">
        <v>1814</v>
      </c>
      <c r="C732" s="4">
        <v>39864.509027777778</v>
      </c>
      <c r="D732" s="1" t="s">
        <v>772</v>
      </c>
      <c r="E732" s="1"/>
      <c r="F732" s="2" t="s">
        <v>2203</v>
      </c>
      <c r="G732" s="1">
        <f ca="1">IFERROR(__xludf.DUMMYFUNCTION("COUNTA(SPLIT(F732,"" ""))"),42)</f>
        <v>42</v>
      </c>
      <c r="H732" s="1">
        <v>42</v>
      </c>
      <c r="I732" s="1"/>
      <c r="J732" s="1"/>
      <c r="K732" s="1"/>
      <c r="L732" s="1"/>
      <c r="M732" s="1"/>
      <c r="N732" s="1"/>
      <c r="O732" s="1"/>
      <c r="P732" s="1"/>
      <c r="Q732" s="1"/>
      <c r="R732" s="1"/>
      <c r="S732" s="1"/>
      <c r="T732" s="1"/>
    </row>
    <row r="733" spans="1:20" ht="33.75" customHeight="1">
      <c r="A733" s="1" t="s">
        <v>2204</v>
      </c>
      <c r="B733" s="1" t="s">
        <v>1696</v>
      </c>
      <c r="C733" s="4">
        <v>39864.511805555558</v>
      </c>
      <c r="D733" s="1" t="s">
        <v>14</v>
      </c>
      <c r="E733" s="1"/>
      <c r="F733" s="2" t="s">
        <v>2206</v>
      </c>
      <c r="G733" s="1">
        <f ca="1">IFERROR(__xludf.DUMMYFUNCTION("COUNTA(SPLIT(F733,"" ""))"),385)</f>
        <v>385</v>
      </c>
      <c r="H733" s="1">
        <v>385</v>
      </c>
      <c r="I733" s="1"/>
      <c r="J733" s="1"/>
      <c r="K733" s="1"/>
      <c r="L733" s="1"/>
      <c r="M733" s="1"/>
      <c r="N733" s="1"/>
      <c r="O733" s="1"/>
      <c r="P733" s="1"/>
      <c r="Q733" s="1"/>
      <c r="R733" s="1"/>
      <c r="S733" s="1"/>
      <c r="T733" s="1"/>
    </row>
    <row r="734" spans="1:20" ht="33.75" customHeight="1">
      <c r="A734" s="1" t="s">
        <v>2207</v>
      </c>
      <c r="B734" s="1" t="s">
        <v>1696</v>
      </c>
      <c r="C734" s="4">
        <v>39864.52847222222</v>
      </c>
      <c r="D734" s="1" t="s">
        <v>14</v>
      </c>
      <c r="E734" s="1"/>
      <c r="F734" s="2" t="s">
        <v>2208</v>
      </c>
      <c r="G734" s="1">
        <f ca="1">IFERROR(__xludf.DUMMYFUNCTION("COUNTA(SPLIT(F734,"" ""))"),285)</f>
        <v>285</v>
      </c>
      <c r="H734" s="1">
        <v>285</v>
      </c>
      <c r="I734" s="1"/>
      <c r="J734" s="1"/>
      <c r="K734" s="1"/>
      <c r="L734" s="1"/>
      <c r="M734" s="1"/>
      <c r="N734" s="1"/>
      <c r="O734" s="1"/>
      <c r="P734" s="1"/>
      <c r="Q734" s="1"/>
      <c r="R734" s="1"/>
      <c r="S734" s="1"/>
      <c r="T734" s="1"/>
    </row>
    <row r="735" spans="1:20" ht="33.75" hidden="1" customHeight="1">
      <c r="A735" s="1" t="s">
        <v>2209</v>
      </c>
      <c r="B735" s="1" t="s">
        <v>1696</v>
      </c>
      <c r="C735" s="4">
        <v>39864.579861111109</v>
      </c>
      <c r="D735" s="1" t="s">
        <v>14</v>
      </c>
      <c r="E735" s="1" t="s">
        <v>2207</v>
      </c>
      <c r="F735" s="2" t="s">
        <v>2211</v>
      </c>
      <c r="G735" s="1">
        <f ca="1">IFERROR(__xludf.DUMMYFUNCTION("COUNTA(SPLIT(F735,"" ""))"),117)</f>
        <v>117</v>
      </c>
      <c r="H735" s="1">
        <v>117</v>
      </c>
      <c r="I735" s="1"/>
      <c r="J735" s="1"/>
      <c r="K735" s="1"/>
      <c r="L735" s="1"/>
      <c r="M735" s="1"/>
      <c r="N735" s="1"/>
      <c r="O735" s="1"/>
      <c r="P735" s="1"/>
      <c r="Q735" s="1"/>
      <c r="R735" s="1"/>
      <c r="S735" s="1"/>
      <c r="T735" s="1"/>
    </row>
    <row r="736" spans="1:20" ht="33.75" customHeight="1">
      <c r="A736" s="1" t="s">
        <v>2212</v>
      </c>
      <c r="B736" s="3" t="s">
        <v>13</v>
      </c>
      <c r="C736" s="4">
        <v>39864.62222222222</v>
      </c>
      <c r="D736" s="1" t="s">
        <v>2213</v>
      </c>
      <c r="E736" s="1"/>
      <c r="F736" s="2" t="s">
        <v>2215</v>
      </c>
      <c r="G736" s="1">
        <f ca="1">IFERROR(__xludf.DUMMYFUNCTION("COUNTA(SPLIT(F736,"" ""))"),44)</f>
        <v>44</v>
      </c>
      <c r="H736" s="1">
        <v>44</v>
      </c>
      <c r="I736" s="1"/>
      <c r="J736" s="1"/>
      <c r="K736" s="1"/>
      <c r="L736" s="1"/>
      <c r="M736" s="1"/>
      <c r="N736" s="1"/>
      <c r="O736" s="1"/>
      <c r="P736" s="1"/>
      <c r="Q736" s="1"/>
      <c r="R736" s="1"/>
      <c r="S736" s="1"/>
      <c r="T736" s="1"/>
    </row>
    <row r="737" spans="1:20" ht="33.75" hidden="1" customHeight="1">
      <c r="A737" s="1" t="s">
        <v>2216</v>
      </c>
      <c r="B737" s="1" t="s">
        <v>1696</v>
      </c>
      <c r="C737" s="4">
        <v>39864.668749999997</v>
      </c>
      <c r="D737" s="1" t="s">
        <v>320</v>
      </c>
      <c r="E737" s="1" t="s">
        <v>2190</v>
      </c>
      <c r="F737" s="2" t="s">
        <v>2219</v>
      </c>
      <c r="G737" s="1">
        <f ca="1">IFERROR(__xludf.DUMMYFUNCTION("COUNTA(SPLIT(F737,"" ""))"),143)</f>
        <v>143</v>
      </c>
      <c r="H737" s="1">
        <v>143</v>
      </c>
      <c r="I737" s="1"/>
      <c r="J737" s="1"/>
      <c r="K737" s="1"/>
      <c r="L737" s="1"/>
      <c r="M737" s="1"/>
      <c r="N737" s="1"/>
      <c r="O737" s="1"/>
      <c r="P737" s="1"/>
      <c r="Q737" s="1"/>
      <c r="R737" s="1"/>
      <c r="S737" s="1"/>
      <c r="T737" s="1"/>
    </row>
    <row r="738" spans="1:20" ht="33.75" hidden="1" customHeight="1">
      <c r="A738" s="1" t="s">
        <v>2220</v>
      </c>
      <c r="B738" s="1" t="s">
        <v>1696</v>
      </c>
      <c r="C738" s="4">
        <v>39864.698611111111</v>
      </c>
      <c r="D738" s="1" t="s">
        <v>14</v>
      </c>
      <c r="E738" s="1" t="s">
        <v>2216</v>
      </c>
      <c r="F738" s="2" t="s">
        <v>2221</v>
      </c>
      <c r="G738" s="1">
        <f ca="1">IFERROR(__xludf.DUMMYFUNCTION("COUNTA(SPLIT(F738,"" ""))"),422)</f>
        <v>422</v>
      </c>
      <c r="H738" s="1">
        <v>422</v>
      </c>
      <c r="I738" s="1"/>
      <c r="J738" s="1"/>
      <c r="K738" s="1"/>
      <c r="L738" s="1"/>
      <c r="M738" s="1"/>
      <c r="N738" s="1"/>
      <c r="O738" s="1"/>
      <c r="P738" s="1"/>
      <c r="Q738" s="1"/>
      <c r="R738" s="1"/>
      <c r="S738" s="1"/>
      <c r="T738" s="1"/>
    </row>
    <row r="739" spans="1:20" ht="33.75" hidden="1" customHeight="1">
      <c r="A739" s="1" t="s">
        <v>2222</v>
      </c>
      <c r="B739" s="1" t="s">
        <v>1696</v>
      </c>
      <c r="C739" s="4">
        <v>39864.759722222225</v>
      </c>
      <c r="D739" s="1" t="s">
        <v>14</v>
      </c>
      <c r="E739" s="1" t="s">
        <v>2223</v>
      </c>
      <c r="F739" s="2" t="s">
        <v>2225</v>
      </c>
      <c r="G739" s="1">
        <f ca="1">IFERROR(__xludf.DUMMYFUNCTION("COUNTA(SPLIT(F739,"" ""))"),351)</f>
        <v>351</v>
      </c>
      <c r="H739" s="1">
        <v>351</v>
      </c>
      <c r="I739" s="1"/>
      <c r="J739" s="1"/>
      <c r="K739" s="1"/>
      <c r="L739" s="1"/>
      <c r="M739" s="1"/>
      <c r="N739" s="1"/>
      <c r="O739" s="1"/>
      <c r="P739" s="1"/>
      <c r="Q739" s="1"/>
      <c r="R739" s="1"/>
      <c r="S739" s="1"/>
      <c r="T739" s="1"/>
    </row>
    <row r="740" spans="1:20" ht="33.75" hidden="1" customHeight="1">
      <c r="A740" s="1" t="s">
        <v>2226</v>
      </c>
      <c r="B740" s="1" t="s">
        <v>1696</v>
      </c>
      <c r="C740" s="4">
        <v>39864.789583333331</v>
      </c>
      <c r="D740" s="1" t="s">
        <v>14</v>
      </c>
      <c r="E740" s="1" t="s">
        <v>2222</v>
      </c>
      <c r="F740" s="2" t="s">
        <v>2228</v>
      </c>
      <c r="G740" s="1">
        <f ca="1">IFERROR(__xludf.DUMMYFUNCTION("COUNTA(SPLIT(F740,"" ""))"),203)</f>
        <v>203</v>
      </c>
      <c r="H740" s="1">
        <v>203</v>
      </c>
      <c r="I740" s="1"/>
      <c r="J740" s="1"/>
      <c r="K740" s="1"/>
      <c r="L740" s="1"/>
      <c r="M740" s="1"/>
      <c r="N740" s="1"/>
      <c r="O740" s="1"/>
      <c r="P740" s="1"/>
      <c r="Q740" s="1"/>
      <c r="R740" s="1"/>
      <c r="S740" s="1"/>
      <c r="T740" s="1"/>
    </row>
    <row r="741" spans="1:20" ht="33.75" customHeight="1">
      <c r="A741" s="1" t="s">
        <v>2229</v>
      </c>
      <c r="B741" s="1" t="s">
        <v>1696</v>
      </c>
      <c r="C741" s="4">
        <v>39864.808333333334</v>
      </c>
      <c r="D741" s="1" t="s">
        <v>14</v>
      </c>
      <c r="E741" s="1"/>
      <c r="F741" s="2" t="s">
        <v>2232</v>
      </c>
      <c r="G741" s="1">
        <f ca="1">IFERROR(__xludf.DUMMYFUNCTION("COUNTA(SPLIT(F741,"" ""))"),158)</f>
        <v>158</v>
      </c>
      <c r="H741" s="1">
        <v>158</v>
      </c>
      <c r="I741" s="1"/>
      <c r="J741" s="1"/>
      <c r="K741" s="1"/>
      <c r="L741" s="1"/>
      <c r="M741" s="1"/>
      <c r="N741" s="1"/>
      <c r="O741" s="1"/>
      <c r="P741" s="1"/>
      <c r="Q741" s="1"/>
      <c r="R741" s="1"/>
      <c r="S741" s="1"/>
      <c r="T741" s="1"/>
    </row>
    <row r="742" spans="1:20" ht="33.75" hidden="1" customHeight="1">
      <c r="A742" s="1" t="s">
        <v>2233</v>
      </c>
      <c r="B742" s="1" t="s">
        <v>1696</v>
      </c>
      <c r="C742" s="4">
        <v>39864.831944444442</v>
      </c>
      <c r="D742" s="1" t="s">
        <v>14</v>
      </c>
      <c r="E742" s="1" t="s">
        <v>2229</v>
      </c>
      <c r="F742" s="2" t="s">
        <v>2234</v>
      </c>
      <c r="G742" s="1">
        <f ca="1">IFERROR(__xludf.DUMMYFUNCTION("COUNTA(SPLIT(F742,"" ""))"),180)</f>
        <v>180</v>
      </c>
      <c r="H742" s="1">
        <v>180</v>
      </c>
      <c r="I742" s="1"/>
      <c r="J742" s="1"/>
      <c r="K742" s="1"/>
      <c r="L742" s="1"/>
      <c r="M742" s="1"/>
      <c r="N742" s="1"/>
      <c r="O742" s="1"/>
      <c r="P742" s="1"/>
      <c r="Q742" s="1"/>
      <c r="R742" s="1"/>
      <c r="S742" s="1"/>
      <c r="T742" s="1"/>
    </row>
    <row r="743" spans="1:20" ht="33.75" hidden="1" customHeight="1">
      <c r="A743" s="1" t="s">
        <v>2235</v>
      </c>
      <c r="B743" s="1" t="s">
        <v>1814</v>
      </c>
      <c r="C743" s="4">
        <v>39864.870833333334</v>
      </c>
      <c r="D743" s="1" t="s">
        <v>1089</v>
      </c>
      <c r="E743" s="1" t="s">
        <v>2236</v>
      </c>
      <c r="F743" s="2" t="s">
        <v>2238</v>
      </c>
      <c r="G743" s="1">
        <f ca="1">IFERROR(__xludf.DUMMYFUNCTION("COUNTA(SPLIT(F743,"" ""))"),62)</f>
        <v>62</v>
      </c>
      <c r="H743" s="1">
        <v>62</v>
      </c>
      <c r="I743" s="1"/>
      <c r="J743" s="1"/>
      <c r="K743" s="1"/>
      <c r="L743" s="1"/>
      <c r="M743" s="1"/>
      <c r="N743" s="1"/>
      <c r="O743" s="1"/>
      <c r="P743" s="1"/>
      <c r="Q743" s="1"/>
      <c r="R743" s="1"/>
      <c r="S743" s="1"/>
      <c r="T743" s="1"/>
    </row>
    <row r="744" spans="1:20" ht="33.75" hidden="1" customHeight="1">
      <c r="A744" s="1" t="s">
        <v>2239</v>
      </c>
      <c r="B744" s="1" t="s">
        <v>1696</v>
      </c>
      <c r="C744" s="4">
        <v>39865.018055555556</v>
      </c>
      <c r="D744" s="1" t="s">
        <v>14</v>
      </c>
      <c r="E744" s="1" t="s">
        <v>2229</v>
      </c>
      <c r="F744" s="2" t="s">
        <v>2240</v>
      </c>
      <c r="G744" s="1">
        <f ca="1">IFERROR(__xludf.DUMMYFUNCTION("COUNTA(SPLIT(F744,"" ""))"),324)</f>
        <v>324</v>
      </c>
      <c r="H744" s="1">
        <v>324</v>
      </c>
      <c r="I744" s="1"/>
      <c r="J744" s="1"/>
      <c r="K744" s="1"/>
      <c r="L744" s="1"/>
      <c r="M744" s="1"/>
      <c r="N744" s="1"/>
      <c r="O744" s="1"/>
      <c r="P744" s="1"/>
      <c r="Q744" s="1"/>
      <c r="R744" s="1"/>
      <c r="S744" s="1"/>
      <c r="T744" s="1"/>
    </row>
    <row r="745" spans="1:20" ht="33.75" customHeight="1">
      <c r="A745" s="1" t="s">
        <v>2241</v>
      </c>
      <c r="B745" s="1" t="s">
        <v>1814</v>
      </c>
      <c r="C745" s="4">
        <v>39865.229166666664</v>
      </c>
      <c r="D745" s="1" t="s">
        <v>2242</v>
      </c>
      <c r="E745" s="1"/>
      <c r="F745" s="2" t="s">
        <v>2243</v>
      </c>
      <c r="G745" s="1">
        <f ca="1">IFERROR(__xludf.DUMMYFUNCTION("COUNTA(SPLIT(F745,"" ""))"),157)</f>
        <v>157</v>
      </c>
      <c r="H745" s="1">
        <v>157</v>
      </c>
      <c r="I745" s="1"/>
      <c r="J745" s="1"/>
      <c r="K745" s="1"/>
      <c r="L745" s="1"/>
      <c r="M745" s="1"/>
      <c r="N745" s="1"/>
      <c r="O745" s="1"/>
      <c r="P745" s="1"/>
      <c r="Q745" s="1"/>
      <c r="R745" s="1"/>
      <c r="S745" s="1"/>
      <c r="T745" s="1"/>
    </row>
    <row r="746" spans="1:20" ht="33.75" customHeight="1">
      <c r="A746" s="1" t="s">
        <v>2244</v>
      </c>
      <c r="B746" s="1" t="s">
        <v>1814</v>
      </c>
      <c r="C746" s="4">
        <v>39865.231944444444</v>
      </c>
      <c r="D746" s="1" t="s">
        <v>1089</v>
      </c>
      <c r="E746" s="1"/>
      <c r="F746" s="2" t="s">
        <v>2246</v>
      </c>
      <c r="G746" s="1">
        <f ca="1">IFERROR(__xludf.DUMMYFUNCTION("COUNTA(SPLIT(F746,"" ""))"),16)</f>
        <v>16</v>
      </c>
      <c r="H746" s="1">
        <v>16</v>
      </c>
      <c r="I746" s="1"/>
      <c r="J746" s="1"/>
      <c r="K746" s="1"/>
      <c r="L746" s="1"/>
      <c r="M746" s="1"/>
      <c r="N746" s="1"/>
      <c r="O746" s="1"/>
      <c r="P746" s="1"/>
      <c r="Q746" s="1"/>
      <c r="R746" s="1"/>
      <c r="S746" s="1"/>
      <c r="T746" s="1"/>
    </row>
    <row r="747" spans="1:20" ht="33.75" customHeight="1">
      <c r="A747" s="1" t="s">
        <v>2247</v>
      </c>
      <c r="B747" s="1" t="s">
        <v>1696</v>
      </c>
      <c r="C747" s="4">
        <v>39865.282638888886</v>
      </c>
      <c r="D747" s="1" t="s">
        <v>54</v>
      </c>
      <c r="E747" s="1"/>
      <c r="F747" s="2" t="s">
        <v>2248</v>
      </c>
      <c r="G747" s="1">
        <f ca="1">IFERROR(__xludf.DUMMYFUNCTION("COUNTA(SPLIT(F747,"" ""))"),549)</f>
        <v>549</v>
      </c>
      <c r="H747" s="1">
        <v>549</v>
      </c>
      <c r="I747" s="1"/>
      <c r="J747" s="1"/>
      <c r="K747" s="1"/>
      <c r="L747" s="1"/>
      <c r="M747" s="1"/>
      <c r="N747" s="1"/>
      <c r="O747" s="1"/>
      <c r="P747" s="1"/>
      <c r="Q747" s="1"/>
      <c r="R747" s="1"/>
      <c r="S747" s="1"/>
      <c r="T747" s="1"/>
    </row>
    <row r="748" spans="1:20" ht="33.75" hidden="1" customHeight="1">
      <c r="A748" s="1" t="s">
        <v>2249</v>
      </c>
      <c r="B748" s="1" t="s">
        <v>1814</v>
      </c>
      <c r="C748" s="4">
        <v>39865.368750000001</v>
      </c>
      <c r="D748" s="1" t="s">
        <v>54</v>
      </c>
      <c r="E748" s="1" t="s">
        <v>2250</v>
      </c>
      <c r="F748" s="2" t="s">
        <v>2252</v>
      </c>
      <c r="G748" s="1">
        <f ca="1">IFERROR(__xludf.DUMMYFUNCTION("COUNTA(SPLIT(F748,"" ""))"),189)</f>
        <v>189</v>
      </c>
      <c r="H748" s="1">
        <v>189</v>
      </c>
      <c r="I748" s="1"/>
      <c r="J748" s="1"/>
      <c r="K748" s="1"/>
      <c r="L748" s="1"/>
      <c r="M748" s="1"/>
      <c r="N748" s="1"/>
      <c r="O748" s="1"/>
      <c r="P748" s="1"/>
      <c r="Q748" s="1"/>
      <c r="R748" s="1"/>
      <c r="S748" s="1"/>
      <c r="T748" s="1"/>
    </row>
    <row r="749" spans="1:20" ht="33.75" hidden="1" customHeight="1">
      <c r="A749" s="1" t="s">
        <v>2253</v>
      </c>
      <c r="B749" s="1" t="s">
        <v>1814</v>
      </c>
      <c r="C749" s="4">
        <v>39865.431250000001</v>
      </c>
      <c r="D749" s="1" t="s">
        <v>381</v>
      </c>
      <c r="E749" s="1" t="s">
        <v>2249</v>
      </c>
      <c r="F749" s="2" t="s">
        <v>2255</v>
      </c>
      <c r="G749" s="1">
        <f ca="1">IFERROR(__xludf.DUMMYFUNCTION("COUNTA(SPLIT(F749,"" ""))"),189)</f>
        <v>189</v>
      </c>
      <c r="H749" s="1">
        <v>189</v>
      </c>
      <c r="I749" s="1"/>
      <c r="J749" s="1"/>
      <c r="K749" s="1"/>
      <c r="L749" s="1"/>
      <c r="M749" s="1"/>
      <c r="N749" s="1"/>
      <c r="O749" s="1"/>
      <c r="P749" s="1"/>
      <c r="Q749" s="1"/>
      <c r="R749" s="1"/>
      <c r="S749" s="1"/>
      <c r="T749" s="1"/>
    </row>
    <row r="750" spans="1:20" ht="33.75" customHeight="1">
      <c r="A750" s="1" t="s">
        <v>2256</v>
      </c>
      <c r="B750" s="1" t="s">
        <v>1814</v>
      </c>
      <c r="C750" s="4">
        <v>39865.439583333333</v>
      </c>
      <c r="D750" s="1" t="s">
        <v>196</v>
      </c>
      <c r="E750" s="1"/>
      <c r="F750" s="2" t="s">
        <v>2257</v>
      </c>
      <c r="G750" s="1">
        <f ca="1">IFERROR(__xludf.DUMMYFUNCTION("COUNTA(SPLIT(F750,"" ""))"),109)</f>
        <v>109</v>
      </c>
      <c r="H750" s="1">
        <v>109</v>
      </c>
      <c r="I750" s="1"/>
      <c r="J750" s="1"/>
      <c r="K750" s="1"/>
      <c r="L750" s="1"/>
      <c r="M750" s="1"/>
      <c r="N750" s="1"/>
      <c r="O750" s="1"/>
      <c r="P750" s="1"/>
      <c r="Q750" s="1"/>
      <c r="R750" s="1"/>
      <c r="S750" s="1"/>
      <c r="T750" s="1"/>
    </row>
    <row r="751" spans="1:20" ht="33.75" customHeight="1">
      <c r="A751" s="1" t="s">
        <v>2258</v>
      </c>
      <c r="B751" s="1" t="s">
        <v>1814</v>
      </c>
      <c r="C751" s="4">
        <v>39865.503472222219</v>
      </c>
      <c r="D751" s="1" t="s">
        <v>772</v>
      </c>
      <c r="E751" s="1"/>
      <c r="F751" s="2" t="s">
        <v>2260</v>
      </c>
      <c r="G751" s="1">
        <f ca="1">IFERROR(__xludf.DUMMYFUNCTION("COUNTA(SPLIT(F751,"" ""))"),28)</f>
        <v>28</v>
      </c>
      <c r="H751" s="1">
        <v>28</v>
      </c>
      <c r="I751" s="1"/>
      <c r="J751" s="1"/>
      <c r="K751" s="1"/>
      <c r="L751" s="1"/>
      <c r="M751" s="1"/>
      <c r="N751" s="1"/>
      <c r="O751" s="1"/>
      <c r="P751" s="1"/>
      <c r="Q751" s="1"/>
      <c r="R751" s="1"/>
      <c r="S751" s="1"/>
      <c r="T751" s="1"/>
    </row>
    <row r="752" spans="1:20" ht="33.75" customHeight="1">
      <c r="A752" s="1" t="s">
        <v>2261</v>
      </c>
      <c r="B752" s="1" t="s">
        <v>1814</v>
      </c>
      <c r="C752" s="4">
        <v>39865.552777777775</v>
      </c>
      <c r="D752" s="1" t="s">
        <v>381</v>
      </c>
      <c r="E752" s="1"/>
      <c r="F752" s="2" t="s">
        <v>2262</v>
      </c>
      <c r="G752" s="1">
        <f ca="1">IFERROR(__xludf.DUMMYFUNCTION("COUNTA(SPLIT(F752,"" ""))"),81)</f>
        <v>81</v>
      </c>
      <c r="H752" s="1">
        <v>81</v>
      </c>
      <c r="I752" s="1"/>
      <c r="J752" s="1"/>
      <c r="K752" s="1"/>
      <c r="L752" s="1"/>
      <c r="M752" s="1"/>
      <c r="N752" s="1"/>
      <c r="O752" s="1"/>
      <c r="P752" s="1"/>
      <c r="Q752" s="1"/>
      <c r="R752" s="1"/>
      <c r="S752" s="1"/>
      <c r="T752" s="1"/>
    </row>
    <row r="753" spans="1:20" ht="33.75" hidden="1" customHeight="1">
      <c r="A753" s="1" t="s">
        <v>2263</v>
      </c>
      <c r="B753" s="1" t="s">
        <v>1814</v>
      </c>
      <c r="C753" s="4">
        <v>39865.560416666667</v>
      </c>
      <c r="D753" s="1" t="s">
        <v>54</v>
      </c>
      <c r="E753" s="1" t="s">
        <v>2258</v>
      </c>
      <c r="F753" s="2" t="s">
        <v>2264</v>
      </c>
      <c r="G753" s="1">
        <f ca="1">IFERROR(__xludf.DUMMYFUNCTION("COUNTA(SPLIT(F753,"" ""))"),12)</f>
        <v>12</v>
      </c>
      <c r="H753" s="1">
        <v>12</v>
      </c>
      <c r="I753" s="1"/>
      <c r="J753" s="1"/>
      <c r="K753" s="1"/>
      <c r="L753" s="1"/>
      <c r="M753" s="1"/>
      <c r="N753" s="1"/>
      <c r="O753" s="1"/>
      <c r="P753" s="1"/>
      <c r="Q753" s="1"/>
      <c r="R753" s="1"/>
      <c r="S753" s="1"/>
      <c r="T753" s="1"/>
    </row>
    <row r="754" spans="1:20" ht="33.75" hidden="1" customHeight="1">
      <c r="A754" s="1" t="s">
        <v>2265</v>
      </c>
      <c r="B754" s="1" t="s">
        <v>1696</v>
      </c>
      <c r="C754" s="4">
        <v>39865.73333333333</v>
      </c>
      <c r="D754" s="1" t="s">
        <v>54</v>
      </c>
      <c r="E754" s="1" t="s">
        <v>2266</v>
      </c>
      <c r="F754" s="2" t="s">
        <v>2268</v>
      </c>
      <c r="G754" s="1">
        <f ca="1">IFERROR(__xludf.DUMMYFUNCTION("COUNTA(SPLIT(F754,"" ""))"),154)</f>
        <v>154</v>
      </c>
      <c r="H754" s="1">
        <v>154</v>
      </c>
      <c r="I754" s="1"/>
      <c r="J754" s="1"/>
      <c r="K754" s="1"/>
      <c r="L754" s="1"/>
      <c r="M754" s="1"/>
      <c r="N754" s="1"/>
      <c r="O754" s="1"/>
      <c r="P754" s="1"/>
      <c r="Q754" s="1"/>
      <c r="R754" s="1"/>
      <c r="S754" s="1"/>
      <c r="T754" s="1"/>
    </row>
    <row r="755" spans="1:20" ht="33.75" customHeight="1">
      <c r="A755" s="1" t="s">
        <v>2269</v>
      </c>
      <c r="B755" s="1" t="s">
        <v>1696</v>
      </c>
      <c r="C755" s="4">
        <v>39865.736111111109</v>
      </c>
      <c r="D755" s="1" t="s">
        <v>14</v>
      </c>
      <c r="E755" s="1"/>
      <c r="F755" s="2" t="s">
        <v>2271</v>
      </c>
      <c r="G755" s="1">
        <f ca="1">IFERROR(__xludf.DUMMYFUNCTION("COUNTA(SPLIT(F755,"" ""))"),719)</f>
        <v>719</v>
      </c>
      <c r="H755" s="1">
        <v>719</v>
      </c>
      <c r="I755" s="1"/>
      <c r="J755" s="1"/>
      <c r="K755" s="1"/>
      <c r="L755" s="1"/>
      <c r="M755" s="1"/>
      <c r="N755" s="1"/>
      <c r="O755" s="1"/>
      <c r="P755" s="1"/>
      <c r="Q755" s="1"/>
      <c r="R755" s="1"/>
      <c r="S755" s="1"/>
      <c r="T755" s="1"/>
    </row>
    <row r="756" spans="1:20" ht="33.75" customHeight="1">
      <c r="A756" s="1" t="s">
        <v>2272</v>
      </c>
      <c r="B756" s="1" t="s">
        <v>1696</v>
      </c>
      <c r="C756" s="4">
        <v>39865.737500000003</v>
      </c>
      <c r="D756" s="1" t="s">
        <v>54</v>
      </c>
      <c r="E756" s="1"/>
      <c r="F756" s="2" t="s">
        <v>2274</v>
      </c>
      <c r="G756" s="1">
        <f ca="1">IFERROR(__xludf.DUMMYFUNCTION("COUNTA(SPLIT(F756,"" ""))"),83)</f>
        <v>83</v>
      </c>
      <c r="H756" s="1">
        <v>83</v>
      </c>
      <c r="I756" s="1"/>
      <c r="J756" s="1"/>
      <c r="K756" s="1"/>
      <c r="L756" s="1"/>
      <c r="M756" s="1"/>
      <c r="N756" s="1"/>
      <c r="O756" s="1"/>
      <c r="P756" s="1"/>
      <c r="Q756" s="1"/>
      <c r="R756" s="1"/>
      <c r="S756" s="1"/>
      <c r="T756" s="1"/>
    </row>
    <row r="757" spans="1:20" ht="33.75" customHeight="1">
      <c r="A757" s="1" t="s">
        <v>2275</v>
      </c>
      <c r="B757" s="1" t="s">
        <v>1696</v>
      </c>
      <c r="C757" s="4">
        <v>39865.752083333333</v>
      </c>
      <c r="D757" s="1" t="s">
        <v>14</v>
      </c>
      <c r="E757" s="1"/>
      <c r="F757" s="2" t="s">
        <v>2277</v>
      </c>
      <c r="G757" s="1">
        <f ca="1">IFERROR(__xludf.DUMMYFUNCTION("COUNTA(SPLIT(F757,"" ""))"),304)</f>
        <v>304</v>
      </c>
      <c r="H757" s="1">
        <v>304</v>
      </c>
      <c r="I757" s="1"/>
      <c r="J757" s="1"/>
      <c r="K757" s="1"/>
      <c r="L757" s="1"/>
      <c r="M757" s="1"/>
      <c r="N757" s="1"/>
      <c r="O757" s="1"/>
      <c r="P757" s="1"/>
      <c r="Q757" s="1"/>
      <c r="R757" s="1"/>
      <c r="S757" s="1"/>
      <c r="T757" s="1"/>
    </row>
    <row r="758" spans="1:20" ht="33.75" hidden="1" customHeight="1">
      <c r="A758" s="1" t="s">
        <v>2278</v>
      </c>
      <c r="B758" s="1" t="s">
        <v>1696</v>
      </c>
      <c r="C758" s="4">
        <v>39865.772222222222</v>
      </c>
      <c r="D758" s="1" t="s">
        <v>14</v>
      </c>
      <c r="E758" s="1" t="s">
        <v>2275</v>
      </c>
      <c r="F758" s="2" t="s">
        <v>2279</v>
      </c>
      <c r="G758" s="1">
        <f ca="1">IFERROR(__xludf.DUMMYFUNCTION("COUNTA(SPLIT(F758,"" ""))"),439)</f>
        <v>439</v>
      </c>
      <c r="H758" s="1">
        <v>439</v>
      </c>
      <c r="I758" s="1"/>
      <c r="J758" s="1"/>
      <c r="K758" s="1"/>
      <c r="L758" s="1"/>
      <c r="M758" s="1"/>
      <c r="N758" s="1"/>
      <c r="O758" s="1"/>
      <c r="P758" s="1"/>
      <c r="Q758" s="1"/>
      <c r="R758" s="1"/>
      <c r="S758" s="1"/>
      <c r="T758" s="1"/>
    </row>
    <row r="759" spans="1:20" ht="33.75" customHeight="1">
      <c r="A759" s="1" t="s">
        <v>12</v>
      </c>
      <c r="B759" s="1" t="s">
        <v>2280</v>
      </c>
      <c r="C759" s="4">
        <v>39865.795011574075</v>
      </c>
      <c r="D759" s="1" t="s">
        <v>14</v>
      </c>
      <c r="E759" s="1"/>
      <c r="F759" s="2" t="s">
        <v>2281</v>
      </c>
      <c r="G759" s="1">
        <f ca="1">IFERROR(__xludf.DUMMYFUNCTION("COUNTA(SPLIT(F759,"" ""))"),298)</f>
        <v>298</v>
      </c>
      <c r="H759" s="1">
        <v>298</v>
      </c>
      <c r="I759" s="1"/>
      <c r="J759" s="1"/>
      <c r="K759" s="1"/>
      <c r="L759" s="1"/>
      <c r="M759" s="1"/>
      <c r="N759" s="1"/>
      <c r="O759" s="1"/>
      <c r="P759" s="1"/>
      <c r="Q759" s="1"/>
      <c r="R759" s="1"/>
      <c r="S759" s="1"/>
      <c r="T759" s="1"/>
    </row>
    <row r="760" spans="1:20" ht="33.75" hidden="1" customHeight="1">
      <c r="A760" s="1" t="s">
        <v>2282</v>
      </c>
      <c r="B760" s="1" t="s">
        <v>1696</v>
      </c>
      <c r="C760" s="4">
        <v>39865.798611111109</v>
      </c>
      <c r="D760" s="1" t="s">
        <v>196</v>
      </c>
      <c r="E760" s="1" t="s">
        <v>2283</v>
      </c>
      <c r="F760" s="2" t="s">
        <v>2284</v>
      </c>
      <c r="G760" s="1">
        <f ca="1">IFERROR(__xludf.DUMMYFUNCTION("COUNTA(SPLIT(F760,"" ""))"),14)</f>
        <v>14</v>
      </c>
      <c r="H760" s="1">
        <v>14</v>
      </c>
      <c r="I760" s="1"/>
      <c r="J760" s="1"/>
      <c r="K760" s="1"/>
      <c r="L760" s="1"/>
      <c r="M760" s="1"/>
      <c r="N760" s="1"/>
      <c r="O760" s="1"/>
      <c r="P760" s="1"/>
      <c r="Q760" s="1"/>
      <c r="R760" s="1"/>
      <c r="S760" s="1"/>
      <c r="T760" s="1"/>
    </row>
    <row r="761" spans="1:20" ht="33.75" hidden="1" customHeight="1">
      <c r="A761" s="1" t="s">
        <v>2285</v>
      </c>
      <c r="B761" s="1" t="s">
        <v>1696</v>
      </c>
      <c r="C761" s="4">
        <v>39865.818749999999</v>
      </c>
      <c r="D761" s="1" t="s">
        <v>14</v>
      </c>
      <c r="E761" s="1" t="s">
        <v>2286</v>
      </c>
      <c r="F761" s="2" t="s">
        <v>2288</v>
      </c>
      <c r="G761" s="1">
        <f ca="1">IFERROR(__xludf.DUMMYFUNCTION("COUNTA(SPLIT(F761,"" ""))"),158)</f>
        <v>158</v>
      </c>
      <c r="H761" s="1">
        <v>158</v>
      </c>
      <c r="I761" s="1"/>
      <c r="J761" s="1"/>
      <c r="K761" s="1"/>
      <c r="L761" s="1"/>
      <c r="M761" s="1"/>
      <c r="N761" s="1"/>
      <c r="O761" s="1"/>
      <c r="P761" s="1"/>
      <c r="Q761" s="1"/>
      <c r="R761" s="1"/>
      <c r="S761" s="1"/>
      <c r="T761" s="1"/>
    </row>
    <row r="762" spans="1:20" ht="33.75" customHeight="1">
      <c r="A762" s="1" t="s">
        <v>2289</v>
      </c>
      <c r="B762" s="1" t="s">
        <v>1696</v>
      </c>
      <c r="C762" s="4">
        <v>39865.827777777777</v>
      </c>
      <c r="D762" s="1" t="s">
        <v>14</v>
      </c>
      <c r="E762" s="1"/>
      <c r="F762" s="2" t="s">
        <v>2291</v>
      </c>
      <c r="G762" s="1">
        <f ca="1">IFERROR(__xludf.DUMMYFUNCTION("COUNTA(SPLIT(F762,"" ""))"),179)</f>
        <v>179</v>
      </c>
      <c r="H762" s="1">
        <v>179</v>
      </c>
      <c r="I762" s="1"/>
      <c r="J762" s="1"/>
      <c r="K762" s="1"/>
      <c r="L762" s="1"/>
      <c r="M762" s="1"/>
      <c r="N762" s="1"/>
      <c r="O762" s="1"/>
      <c r="P762" s="1"/>
      <c r="Q762" s="1"/>
      <c r="R762" s="1"/>
      <c r="S762" s="1"/>
      <c r="T762" s="1"/>
    </row>
    <row r="763" spans="1:20" ht="33.75" hidden="1" customHeight="1">
      <c r="A763" s="1" t="s">
        <v>2292</v>
      </c>
      <c r="B763" s="1" t="s">
        <v>1519</v>
      </c>
      <c r="C763" s="4">
        <v>39865.850694444445</v>
      </c>
      <c r="D763" s="1" t="s">
        <v>54</v>
      </c>
      <c r="E763" s="1" t="s">
        <v>2198</v>
      </c>
      <c r="F763" s="2" t="s">
        <v>2294</v>
      </c>
      <c r="G763" s="1">
        <f ca="1">IFERROR(__xludf.DUMMYFUNCTION("COUNTA(SPLIT(F763,"" ""))"),788)</f>
        <v>788</v>
      </c>
      <c r="H763" s="1">
        <v>788</v>
      </c>
      <c r="I763" s="1"/>
      <c r="J763" s="1"/>
      <c r="K763" s="1"/>
      <c r="L763" s="1"/>
      <c r="M763" s="1"/>
      <c r="N763" s="1"/>
      <c r="O763" s="1"/>
      <c r="P763" s="1"/>
      <c r="Q763" s="1"/>
      <c r="R763" s="1"/>
      <c r="S763" s="1"/>
      <c r="T763" s="1"/>
    </row>
    <row r="764" spans="1:20" ht="33.75" customHeight="1">
      <c r="A764" s="1" t="s">
        <v>2295</v>
      </c>
      <c r="B764" s="1" t="s">
        <v>2280</v>
      </c>
      <c r="C764" s="4">
        <v>39865.855555555558</v>
      </c>
      <c r="D764" s="1" t="s">
        <v>84</v>
      </c>
      <c r="E764" s="1"/>
      <c r="F764" s="2" t="s">
        <v>2297</v>
      </c>
      <c r="G764" s="1">
        <f ca="1">IFERROR(__xludf.DUMMYFUNCTION("COUNTA(SPLIT(F764,"" ""))"),51)</f>
        <v>51</v>
      </c>
      <c r="H764" s="1">
        <v>51</v>
      </c>
      <c r="I764" s="1"/>
      <c r="J764" s="1"/>
      <c r="K764" s="1"/>
      <c r="L764" s="1"/>
      <c r="M764" s="1"/>
      <c r="N764" s="1"/>
      <c r="O764" s="1"/>
      <c r="P764" s="1"/>
      <c r="Q764" s="1"/>
      <c r="R764" s="1"/>
      <c r="S764" s="1"/>
      <c r="T764" s="1"/>
    </row>
    <row r="765" spans="1:20" ht="33.75" hidden="1" customHeight="1">
      <c r="A765" s="1" t="s">
        <v>2298</v>
      </c>
      <c r="B765" s="1" t="s">
        <v>1696</v>
      </c>
      <c r="C765" s="4">
        <v>39865.881944444445</v>
      </c>
      <c r="D765" s="1" t="s">
        <v>54</v>
      </c>
      <c r="E765" s="1">
        <v>578</v>
      </c>
      <c r="F765" s="2" t="s">
        <v>2300</v>
      </c>
      <c r="G765" s="1">
        <f ca="1">IFERROR(__xludf.DUMMYFUNCTION("COUNTA(SPLIT(F765,"" ""))"),25)</f>
        <v>25</v>
      </c>
      <c r="H765" s="1">
        <v>25</v>
      </c>
      <c r="I765" s="1"/>
      <c r="J765" s="1"/>
      <c r="K765" s="1"/>
      <c r="L765" s="1"/>
      <c r="M765" s="1"/>
      <c r="N765" s="1"/>
      <c r="O765" s="1"/>
      <c r="P765" s="1"/>
      <c r="Q765" s="1"/>
      <c r="R765" s="1"/>
      <c r="S765" s="1"/>
      <c r="T765" s="1"/>
    </row>
    <row r="766" spans="1:20" ht="33.75" hidden="1" customHeight="1">
      <c r="A766" s="1" t="s">
        <v>2301</v>
      </c>
      <c r="B766" s="1" t="s">
        <v>1696</v>
      </c>
      <c r="C766" s="4">
        <v>39865.886805555558</v>
      </c>
      <c r="D766" s="1" t="s">
        <v>14</v>
      </c>
      <c r="E766" s="1" t="s">
        <v>2302</v>
      </c>
      <c r="F766" s="2" t="s">
        <v>2303</v>
      </c>
      <c r="G766" s="1">
        <f ca="1">IFERROR(__xludf.DUMMYFUNCTION("COUNTA(SPLIT(F766,"" ""))"),15)</f>
        <v>15</v>
      </c>
      <c r="H766" s="1">
        <v>15</v>
      </c>
      <c r="I766" s="1"/>
      <c r="J766" s="1"/>
      <c r="K766" s="1"/>
      <c r="L766" s="1"/>
      <c r="M766" s="1"/>
      <c r="N766" s="1"/>
      <c r="O766" s="1"/>
      <c r="P766" s="1"/>
      <c r="Q766" s="1"/>
      <c r="R766" s="1"/>
      <c r="S766" s="1"/>
      <c r="T766" s="1"/>
    </row>
    <row r="767" spans="1:20" ht="33.75" hidden="1" customHeight="1">
      <c r="A767" s="1" t="s">
        <v>2304</v>
      </c>
      <c r="B767" s="1" t="s">
        <v>1519</v>
      </c>
      <c r="C767" s="4">
        <v>39865.893750000003</v>
      </c>
      <c r="D767" s="1" t="s">
        <v>54</v>
      </c>
      <c r="E767" s="1" t="s">
        <v>2198</v>
      </c>
      <c r="F767" s="2" t="s">
        <v>2305</v>
      </c>
      <c r="G767" s="1">
        <f ca="1">IFERROR(__xludf.DUMMYFUNCTION("COUNTA(SPLIT(F767,"" ""))"),547)</f>
        <v>547</v>
      </c>
      <c r="H767" s="1">
        <v>547</v>
      </c>
      <c r="I767" s="1"/>
      <c r="J767" s="1"/>
      <c r="K767" s="1"/>
      <c r="L767" s="1"/>
      <c r="M767" s="1"/>
      <c r="N767" s="1"/>
      <c r="O767" s="1"/>
      <c r="P767" s="1"/>
      <c r="Q767" s="1"/>
      <c r="R767" s="1"/>
      <c r="S767" s="1"/>
      <c r="T767" s="1"/>
    </row>
    <row r="768" spans="1:20" ht="33.75" customHeight="1">
      <c r="A768" s="1" t="s">
        <v>2306</v>
      </c>
      <c r="B768" s="1" t="s">
        <v>1696</v>
      </c>
      <c r="C768" s="4">
        <v>39865.946527777778</v>
      </c>
      <c r="D768" s="1" t="s">
        <v>196</v>
      </c>
      <c r="E768" s="1"/>
      <c r="F768" s="2" t="s">
        <v>2307</v>
      </c>
      <c r="G768" s="1">
        <f ca="1">IFERROR(__xludf.DUMMYFUNCTION("COUNTA(SPLIT(F768,"" ""))"),111)</f>
        <v>111</v>
      </c>
      <c r="H768" s="1">
        <v>111</v>
      </c>
      <c r="I768" s="1"/>
      <c r="J768" s="1"/>
      <c r="K768" s="1"/>
      <c r="L768" s="1"/>
      <c r="M768" s="1"/>
      <c r="N768" s="1"/>
      <c r="O768" s="1"/>
      <c r="P768" s="1"/>
      <c r="Q768" s="1"/>
      <c r="R768" s="1"/>
      <c r="S768" s="1"/>
      <c r="T768" s="1"/>
    </row>
    <row r="769" spans="1:20" ht="33.75" hidden="1" customHeight="1">
      <c r="A769" s="1" t="s">
        <v>2308</v>
      </c>
      <c r="B769" s="1" t="s">
        <v>1696</v>
      </c>
      <c r="C769" s="4">
        <v>39866.334722222222</v>
      </c>
      <c r="D769" s="1" t="s">
        <v>54</v>
      </c>
      <c r="E769" s="1" t="s">
        <v>2306</v>
      </c>
      <c r="F769" s="2" t="s">
        <v>2310</v>
      </c>
      <c r="G769" s="1">
        <f ca="1">IFERROR(__xludf.DUMMYFUNCTION("COUNTA(SPLIT(F769,"" ""))"),30)</f>
        <v>30</v>
      </c>
      <c r="H769" s="1">
        <v>30</v>
      </c>
      <c r="I769" s="1"/>
      <c r="J769" s="1"/>
      <c r="K769" s="1"/>
      <c r="L769" s="1"/>
      <c r="M769" s="1"/>
      <c r="N769" s="1"/>
      <c r="O769" s="1"/>
      <c r="P769" s="1"/>
      <c r="Q769" s="1"/>
      <c r="R769" s="1"/>
      <c r="S769" s="1"/>
      <c r="T769" s="1"/>
    </row>
    <row r="770" spans="1:20" ht="33.75" hidden="1" customHeight="1">
      <c r="A770" s="1" t="s">
        <v>2311</v>
      </c>
      <c r="B770" s="1" t="s">
        <v>1696</v>
      </c>
      <c r="C770" s="4">
        <v>39866.459722222222</v>
      </c>
      <c r="D770" s="1" t="s">
        <v>14</v>
      </c>
      <c r="E770" s="1" t="s">
        <v>2306</v>
      </c>
      <c r="F770" s="2" t="s">
        <v>2312</v>
      </c>
      <c r="G770" s="1">
        <f ca="1">IFERROR(__xludf.DUMMYFUNCTION("COUNTA(SPLIT(F770,"" ""))"),374)</f>
        <v>374</v>
      </c>
      <c r="H770" s="1">
        <v>374</v>
      </c>
      <c r="I770" s="1"/>
      <c r="J770" s="1"/>
      <c r="K770" s="1"/>
      <c r="L770" s="1"/>
      <c r="M770" s="1"/>
      <c r="N770" s="1"/>
      <c r="O770" s="1"/>
      <c r="P770" s="1"/>
      <c r="Q770" s="1"/>
      <c r="R770" s="1"/>
      <c r="S770" s="1"/>
      <c r="T770" s="1"/>
    </row>
    <row r="771" spans="1:20" ht="33.75" hidden="1" customHeight="1">
      <c r="A771" s="1" t="s">
        <v>2313</v>
      </c>
      <c r="B771" s="1" t="s">
        <v>1814</v>
      </c>
      <c r="C771" s="4">
        <v>39866.492361111108</v>
      </c>
      <c r="D771" s="1" t="s">
        <v>474</v>
      </c>
      <c r="E771" s="1" t="s">
        <v>2314</v>
      </c>
      <c r="F771" s="2" t="s">
        <v>2315</v>
      </c>
      <c r="G771" s="1">
        <f ca="1">IFERROR(__xludf.DUMMYFUNCTION("COUNTA(SPLIT(F771,"" ""))"),176)</f>
        <v>176</v>
      </c>
      <c r="H771" s="1">
        <v>176</v>
      </c>
      <c r="I771" s="1"/>
      <c r="J771" s="1"/>
      <c r="K771" s="1"/>
      <c r="L771" s="1"/>
      <c r="M771" s="1"/>
      <c r="N771" s="1"/>
      <c r="O771" s="1"/>
      <c r="P771" s="1"/>
      <c r="Q771" s="1"/>
      <c r="R771" s="1"/>
      <c r="S771" s="1"/>
      <c r="T771" s="1"/>
    </row>
    <row r="772" spans="1:20" ht="33.75" customHeight="1">
      <c r="A772" s="1" t="s">
        <v>2316</v>
      </c>
      <c r="B772" s="1" t="s">
        <v>1814</v>
      </c>
      <c r="C772" s="4">
        <v>39866.579861111109</v>
      </c>
      <c r="D772" s="1" t="s">
        <v>54</v>
      </c>
      <c r="E772" s="1"/>
      <c r="F772" s="2" t="s">
        <v>2317</v>
      </c>
      <c r="G772" s="1">
        <f ca="1">IFERROR(__xludf.DUMMYFUNCTION("COUNTA(SPLIT(F772,"" ""))"),130)</f>
        <v>130</v>
      </c>
      <c r="H772" s="1">
        <v>130</v>
      </c>
      <c r="I772" s="1"/>
      <c r="J772" s="1"/>
      <c r="K772" s="1"/>
      <c r="L772" s="1"/>
      <c r="M772" s="1"/>
      <c r="N772" s="1"/>
      <c r="O772" s="1"/>
      <c r="P772" s="1"/>
      <c r="Q772" s="1"/>
      <c r="R772" s="1"/>
      <c r="S772" s="1"/>
      <c r="T772" s="1"/>
    </row>
    <row r="773" spans="1:20" ht="33.75" hidden="1" customHeight="1">
      <c r="A773" s="1" t="s">
        <v>2318</v>
      </c>
      <c r="B773" s="1" t="s">
        <v>1696</v>
      </c>
      <c r="C773" s="4">
        <v>39866.612500000003</v>
      </c>
      <c r="D773" s="1" t="s">
        <v>14</v>
      </c>
      <c r="E773" s="1" t="s">
        <v>2311</v>
      </c>
      <c r="F773" s="2" t="s">
        <v>2320</v>
      </c>
      <c r="G773" s="1">
        <f ca="1">IFERROR(__xludf.DUMMYFUNCTION("COUNTA(SPLIT(F773,"" ""))"),107)</f>
        <v>107</v>
      </c>
      <c r="H773" s="1">
        <v>107</v>
      </c>
      <c r="I773" s="1"/>
      <c r="J773" s="1"/>
      <c r="K773" s="1"/>
      <c r="L773" s="1"/>
      <c r="M773" s="1"/>
      <c r="N773" s="1"/>
      <c r="O773" s="1"/>
      <c r="P773" s="1"/>
      <c r="Q773" s="1"/>
      <c r="R773" s="1"/>
      <c r="S773" s="1"/>
      <c r="T773" s="1"/>
    </row>
    <row r="774" spans="1:20" ht="33.75" customHeight="1">
      <c r="A774" s="1" t="s">
        <v>2321</v>
      </c>
      <c r="B774" s="1" t="s">
        <v>1814</v>
      </c>
      <c r="C774" s="4">
        <v>39866.615972222222</v>
      </c>
      <c r="D774" s="1" t="s">
        <v>54</v>
      </c>
      <c r="E774" s="1"/>
      <c r="F774" s="2" t="s">
        <v>2322</v>
      </c>
      <c r="G774" s="1">
        <f ca="1">IFERROR(__xludf.DUMMYFUNCTION("COUNTA(SPLIT(F774,"" ""))"),60)</f>
        <v>60</v>
      </c>
      <c r="H774" s="1">
        <v>60</v>
      </c>
      <c r="I774" s="1"/>
      <c r="J774" s="1"/>
      <c r="K774" s="1"/>
      <c r="L774" s="1"/>
      <c r="M774" s="1"/>
      <c r="N774" s="1"/>
      <c r="O774" s="1"/>
      <c r="P774" s="1"/>
      <c r="Q774" s="1"/>
      <c r="R774" s="1"/>
      <c r="S774" s="1"/>
      <c r="T774" s="1"/>
    </row>
    <row r="775" spans="1:20" ht="33.75" customHeight="1">
      <c r="A775" s="1" t="s">
        <v>2323</v>
      </c>
      <c r="B775" s="1" t="s">
        <v>1814</v>
      </c>
      <c r="C775" s="4">
        <v>39866.82916666667</v>
      </c>
      <c r="D775" s="1" t="s">
        <v>54</v>
      </c>
      <c r="E775" s="1"/>
      <c r="F775" s="2" t="s">
        <v>2324</v>
      </c>
      <c r="G775" s="1">
        <f ca="1">IFERROR(__xludf.DUMMYFUNCTION("COUNTA(SPLIT(F775,"" ""))"),312)</f>
        <v>312</v>
      </c>
      <c r="H775" s="1">
        <v>312</v>
      </c>
      <c r="I775" s="1"/>
      <c r="J775" s="1"/>
      <c r="K775" s="1"/>
      <c r="L775" s="1"/>
      <c r="M775" s="1"/>
      <c r="N775" s="1"/>
      <c r="O775" s="1"/>
      <c r="P775" s="1"/>
      <c r="Q775" s="1"/>
      <c r="R775" s="1"/>
      <c r="S775" s="1"/>
      <c r="T775" s="1"/>
    </row>
    <row r="776" spans="1:20" ht="33.75" hidden="1" customHeight="1">
      <c r="A776" s="1" t="s">
        <v>2325</v>
      </c>
      <c r="B776" s="1" t="s">
        <v>1696</v>
      </c>
      <c r="C776" s="4">
        <v>39867.020138888889</v>
      </c>
      <c r="D776" s="1" t="s">
        <v>320</v>
      </c>
      <c r="E776" s="1" t="s">
        <v>2326</v>
      </c>
      <c r="F776" s="2" t="s">
        <v>2328</v>
      </c>
      <c r="G776" s="1">
        <f ca="1">IFERROR(__xludf.DUMMYFUNCTION("COUNTA(SPLIT(F776,"" ""))"),97)</f>
        <v>97</v>
      </c>
      <c r="H776" s="1">
        <v>97</v>
      </c>
      <c r="I776" s="1"/>
      <c r="J776" s="1"/>
      <c r="K776" s="1"/>
      <c r="L776" s="1"/>
      <c r="M776" s="1"/>
      <c r="N776" s="1"/>
      <c r="O776" s="1"/>
      <c r="P776" s="1"/>
      <c r="Q776" s="1"/>
      <c r="R776" s="1"/>
      <c r="S776" s="1"/>
      <c r="T776" s="1"/>
    </row>
    <row r="777" spans="1:20" ht="33.75" hidden="1" customHeight="1">
      <c r="A777" s="1" t="s">
        <v>2329</v>
      </c>
      <c r="B777" s="1" t="s">
        <v>1696</v>
      </c>
      <c r="C777" s="4">
        <v>39867.020833333336</v>
      </c>
      <c r="D777" s="1" t="s">
        <v>320</v>
      </c>
      <c r="E777" s="1" t="s">
        <v>2325</v>
      </c>
      <c r="F777" s="2" t="s">
        <v>2330</v>
      </c>
      <c r="G777" s="1">
        <f ca="1">IFERROR(__xludf.DUMMYFUNCTION("COUNTA(SPLIT(F777,"" ""))"),30)</f>
        <v>30</v>
      </c>
      <c r="H777" s="1">
        <v>30</v>
      </c>
      <c r="I777" s="1"/>
      <c r="J777" s="1"/>
      <c r="K777" s="1"/>
      <c r="L777" s="1"/>
      <c r="M777" s="1"/>
      <c r="N777" s="1"/>
      <c r="O777" s="1"/>
      <c r="P777" s="1"/>
      <c r="Q777" s="1"/>
      <c r="R777" s="1"/>
      <c r="S777" s="1"/>
      <c r="T777" s="1"/>
    </row>
    <row r="778" spans="1:20" ht="33.75" customHeight="1">
      <c r="A778" s="1" t="s">
        <v>2331</v>
      </c>
      <c r="B778" s="1" t="s">
        <v>2280</v>
      </c>
      <c r="C778" s="4">
        <v>39867.041666666664</v>
      </c>
      <c r="D778" s="1" t="s">
        <v>320</v>
      </c>
      <c r="E778" s="1"/>
      <c r="F778" s="2" t="s">
        <v>2333</v>
      </c>
      <c r="G778" s="1">
        <f ca="1">IFERROR(__xludf.DUMMYFUNCTION("COUNTA(SPLIT(F778,"" ""))"),24)</f>
        <v>24</v>
      </c>
      <c r="H778" s="1">
        <v>24</v>
      </c>
      <c r="I778" s="1"/>
      <c r="J778" s="1"/>
      <c r="K778" s="1"/>
      <c r="L778" s="1"/>
      <c r="M778" s="1"/>
      <c r="N778" s="1"/>
      <c r="O778" s="1"/>
      <c r="P778" s="1"/>
      <c r="Q778" s="1"/>
      <c r="R778" s="1"/>
      <c r="S778" s="1"/>
      <c r="T778" s="1"/>
    </row>
    <row r="779" spans="1:20" ht="33.75" customHeight="1">
      <c r="A779" s="1" t="s">
        <v>2334</v>
      </c>
      <c r="B779" s="1" t="s">
        <v>2335</v>
      </c>
      <c r="C779" s="4">
        <v>39868.211111111108</v>
      </c>
      <c r="D779" s="1" t="s">
        <v>1528</v>
      </c>
      <c r="E779" s="1"/>
      <c r="F779" s="2" t="s">
        <v>2336</v>
      </c>
      <c r="G779" s="1">
        <f ca="1">IFERROR(__xludf.DUMMYFUNCTION("COUNTA(SPLIT(F779,"" ""))"),15)</f>
        <v>15</v>
      </c>
      <c r="H779" s="1">
        <v>15</v>
      </c>
      <c r="I779" s="1"/>
      <c r="J779" s="1"/>
      <c r="K779" s="1"/>
      <c r="L779" s="1"/>
      <c r="M779" s="1"/>
      <c r="N779" s="1"/>
      <c r="O779" s="1"/>
      <c r="P779" s="1"/>
      <c r="Q779" s="1"/>
      <c r="R779" s="1"/>
      <c r="S779" s="1"/>
      <c r="T779" s="1"/>
    </row>
    <row r="780" spans="1:20" ht="33.75" hidden="1" customHeight="1">
      <c r="A780" s="1" t="s">
        <v>2337</v>
      </c>
      <c r="B780" s="1" t="s">
        <v>1814</v>
      </c>
      <c r="C780" s="4">
        <v>39867.077777777777</v>
      </c>
      <c r="D780" s="1" t="s">
        <v>381</v>
      </c>
      <c r="E780" s="1" t="s">
        <v>2323</v>
      </c>
      <c r="F780" s="2" t="s">
        <v>2338</v>
      </c>
      <c r="G780" s="1">
        <f ca="1">IFERROR(__xludf.DUMMYFUNCTION("COUNTA(SPLIT(F780,"" ""))"),68)</f>
        <v>68</v>
      </c>
      <c r="H780" s="1">
        <v>68</v>
      </c>
      <c r="I780" s="1"/>
      <c r="J780" s="1"/>
      <c r="K780" s="1"/>
      <c r="L780" s="1"/>
      <c r="M780" s="1"/>
      <c r="N780" s="1"/>
      <c r="O780" s="1"/>
      <c r="P780" s="1"/>
      <c r="Q780" s="1"/>
      <c r="R780" s="1"/>
      <c r="S780" s="1"/>
      <c r="T780" s="1"/>
    </row>
    <row r="781" spans="1:20" ht="33.75" customHeight="1">
      <c r="A781" s="1" t="s">
        <v>2339</v>
      </c>
      <c r="B781" s="1" t="s">
        <v>1814</v>
      </c>
      <c r="C781" s="4">
        <v>39867.081944444442</v>
      </c>
      <c r="D781" s="1" t="s">
        <v>1887</v>
      </c>
      <c r="E781" s="1"/>
      <c r="F781" s="2" t="s">
        <v>2340</v>
      </c>
      <c r="G781" s="1">
        <f ca="1">IFERROR(__xludf.DUMMYFUNCTION("COUNTA(SPLIT(F781,"" ""))"),81)</f>
        <v>81</v>
      </c>
      <c r="H781" s="1">
        <v>81</v>
      </c>
      <c r="I781" s="1"/>
      <c r="J781" s="1"/>
      <c r="K781" s="1"/>
      <c r="L781" s="1"/>
      <c r="M781" s="1"/>
      <c r="N781" s="1"/>
      <c r="O781" s="1"/>
      <c r="P781" s="1"/>
      <c r="Q781" s="1"/>
      <c r="R781" s="1"/>
      <c r="S781" s="1"/>
      <c r="T781" s="1"/>
    </row>
    <row r="782" spans="1:20" ht="33.75" hidden="1" customHeight="1">
      <c r="A782" s="1" t="s">
        <v>2341</v>
      </c>
      <c r="B782" s="1" t="s">
        <v>1696</v>
      </c>
      <c r="C782" s="4">
        <v>39867.208333333336</v>
      </c>
      <c r="D782" s="1" t="s">
        <v>320</v>
      </c>
      <c r="E782" s="1">
        <v>567</v>
      </c>
      <c r="F782" s="2" t="s">
        <v>2342</v>
      </c>
      <c r="G782" s="1">
        <f ca="1">IFERROR(__xludf.DUMMYFUNCTION("COUNTA(SPLIT(F782,"" ""))"),18)</f>
        <v>18</v>
      </c>
      <c r="H782" s="1">
        <v>18</v>
      </c>
      <c r="I782" s="1"/>
      <c r="J782" s="1"/>
      <c r="K782" s="1"/>
      <c r="L782" s="1"/>
      <c r="M782" s="1"/>
      <c r="N782" s="1"/>
      <c r="O782" s="1"/>
      <c r="P782" s="1"/>
      <c r="Q782" s="1"/>
      <c r="R782" s="1"/>
      <c r="S782" s="1"/>
      <c r="T782" s="1"/>
    </row>
    <row r="783" spans="1:20" ht="33.75" hidden="1" customHeight="1">
      <c r="A783" s="1" t="s">
        <v>2343</v>
      </c>
      <c r="B783" s="1" t="s">
        <v>1814</v>
      </c>
      <c r="C783" s="4">
        <v>39867.394444444442</v>
      </c>
      <c r="D783" s="1" t="s">
        <v>54</v>
      </c>
      <c r="E783" s="1" t="s">
        <v>2344</v>
      </c>
      <c r="F783" s="2" t="s">
        <v>2345</v>
      </c>
      <c r="G783" s="1">
        <f ca="1">IFERROR(__xludf.DUMMYFUNCTION("COUNTA(SPLIT(F783,"" ""))"),468)</f>
        <v>468</v>
      </c>
      <c r="H783" s="1">
        <v>468</v>
      </c>
      <c r="I783" s="1"/>
      <c r="J783" s="1"/>
      <c r="K783" s="1"/>
      <c r="L783" s="1"/>
      <c r="M783" s="1"/>
      <c r="N783" s="1"/>
      <c r="O783" s="1"/>
      <c r="P783" s="1"/>
      <c r="Q783" s="1"/>
      <c r="R783" s="1"/>
      <c r="S783" s="1"/>
      <c r="T783" s="1"/>
    </row>
    <row r="784" spans="1:20" ht="33.75" customHeight="1">
      <c r="A784" s="1" t="s">
        <v>2346</v>
      </c>
      <c r="B784" s="1" t="s">
        <v>1814</v>
      </c>
      <c r="C784" s="4">
        <v>39867.404166666667</v>
      </c>
      <c r="D784" s="1" t="s">
        <v>54</v>
      </c>
      <c r="E784" s="1"/>
      <c r="F784" s="2" t="s">
        <v>2347</v>
      </c>
      <c r="G784" s="1">
        <f ca="1">IFERROR(__xludf.DUMMYFUNCTION("COUNTA(SPLIT(F784,"" ""))"),168)</f>
        <v>168</v>
      </c>
      <c r="H784" s="1">
        <v>168</v>
      </c>
      <c r="I784" s="1"/>
      <c r="J784" s="1"/>
      <c r="K784" s="1"/>
      <c r="L784" s="1"/>
      <c r="M784" s="1"/>
      <c r="N784" s="1"/>
      <c r="O784" s="1"/>
      <c r="P784" s="1"/>
      <c r="Q784" s="1"/>
      <c r="R784" s="1"/>
      <c r="S784" s="1"/>
      <c r="T784" s="1"/>
    </row>
    <row r="785" spans="1:20" ht="33.75" customHeight="1">
      <c r="A785" s="1" t="s">
        <v>12</v>
      </c>
      <c r="B785" s="1" t="s">
        <v>2335</v>
      </c>
      <c r="C785" s="4">
        <v>39867.414837962962</v>
      </c>
      <c r="D785" s="1" t="s">
        <v>14</v>
      </c>
      <c r="E785" s="1"/>
      <c r="F785" s="2" t="s">
        <v>2348</v>
      </c>
      <c r="G785" s="1">
        <f ca="1">IFERROR(__xludf.DUMMYFUNCTION("COUNTA(SPLIT(F785,"" ""))"),698)</f>
        <v>698</v>
      </c>
      <c r="H785" s="1">
        <v>698</v>
      </c>
      <c r="I785" s="1"/>
      <c r="J785" s="1"/>
      <c r="K785" s="1"/>
      <c r="L785" s="1"/>
      <c r="M785" s="1"/>
      <c r="N785" s="1"/>
      <c r="O785" s="1"/>
      <c r="P785" s="1"/>
      <c r="Q785" s="1"/>
      <c r="R785" s="1"/>
      <c r="S785" s="1"/>
      <c r="T785" s="1"/>
    </row>
    <row r="786" spans="1:20" ht="33.75" hidden="1" customHeight="1">
      <c r="A786" s="1" t="s">
        <v>2349</v>
      </c>
      <c r="B786" s="1" t="s">
        <v>1696</v>
      </c>
      <c r="C786" s="4">
        <v>39867.429166666669</v>
      </c>
      <c r="D786" s="1" t="s">
        <v>14</v>
      </c>
      <c r="E786" s="1" t="s">
        <v>2341</v>
      </c>
      <c r="F786" s="2" t="s">
        <v>2351</v>
      </c>
      <c r="G786" s="1">
        <f ca="1">IFERROR(__xludf.DUMMYFUNCTION("COUNTA(SPLIT(F786,"" ""))"),433)</f>
        <v>433</v>
      </c>
      <c r="H786" s="1">
        <v>433</v>
      </c>
      <c r="I786" s="1"/>
      <c r="J786" s="1"/>
      <c r="K786" s="1"/>
      <c r="L786" s="1"/>
      <c r="M786" s="1"/>
      <c r="N786" s="1"/>
      <c r="O786" s="1"/>
      <c r="P786" s="1"/>
      <c r="Q786" s="1"/>
      <c r="R786" s="1"/>
      <c r="S786" s="1"/>
      <c r="T786" s="1"/>
    </row>
    <row r="787" spans="1:20" ht="33.75" customHeight="1">
      <c r="A787" s="1" t="s">
        <v>2352</v>
      </c>
      <c r="B787" s="1" t="s">
        <v>1696</v>
      </c>
      <c r="C787" s="4">
        <v>39867.462500000001</v>
      </c>
      <c r="D787" s="1" t="s">
        <v>14</v>
      </c>
      <c r="E787" s="1"/>
      <c r="F787" s="2" t="s">
        <v>2354</v>
      </c>
      <c r="G787" s="1">
        <f ca="1">IFERROR(__xludf.DUMMYFUNCTION("COUNTA(SPLIT(F787,"" ""))"),39)</f>
        <v>39</v>
      </c>
      <c r="H787" s="1">
        <v>39</v>
      </c>
      <c r="I787" s="1"/>
      <c r="J787" s="1"/>
      <c r="K787" s="1"/>
      <c r="L787" s="1"/>
      <c r="M787" s="1"/>
      <c r="N787" s="1"/>
      <c r="O787" s="1"/>
      <c r="P787" s="1"/>
      <c r="Q787" s="1"/>
      <c r="R787" s="1"/>
      <c r="S787" s="1"/>
      <c r="T787" s="1"/>
    </row>
    <row r="788" spans="1:20" ht="33.75" hidden="1" customHeight="1">
      <c r="A788" s="1" t="s">
        <v>2355</v>
      </c>
      <c r="B788" s="1" t="s">
        <v>1814</v>
      </c>
      <c r="C788" s="4">
        <v>39867.741666666669</v>
      </c>
      <c r="D788" s="1" t="s">
        <v>1241</v>
      </c>
      <c r="E788" s="1" t="s">
        <v>2337</v>
      </c>
      <c r="F788" s="2" t="s">
        <v>2356</v>
      </c>
      <c r="G788" s="1">
        <f ca="1">IFERROR(__xludf.DUMMYFUNCTION("COUNTA(SPLIT(F788,"" ""))"),50)</f>
        <v>50</v>
      </c>
      <c r="H788" s="1">
        <v>50</v>
      </c>
      <c r="I788" s="1"/>
      <c r="J788" s="1"/>
      <c r="K788" s="1"/>
      <c r="L788" s="1"/>
      <c r="M788" s="1"/>
      <c r="N788" s="1"/>
      <c r="O788" s="1"/>
      <c r="P788" s="1"/>
      <c r="Q788" s="1"/>
      <c r="R788" s="1"/>
      <c r="S788" s="1"/>
      <c r="T788" s="1"/>
    </row>
    <row r="789" spans="1:20" ht="33.75" hidden="1" customHeight="1">
      <c r="A789" s="1" t="s">
        <v>2357</v>
      </c>
      <c r="B789" s="1" t="s">
        <v>1814</v>
      </c>
      <c r="C789" s="4">
        <v>39867.752083333333</v>
      </c>
      <c r="D789" s="1" t="s">
        <v>54</v>
      </c>
      <c r="E789" s="1" t="s">
        <v>2355</v>
      </c>
      <c r="F789" s="2" t="s">
        <v>2358</v>
      </c>
      <c r="G789" s="1">
        <f ca="1">IFERROR(__xludf.DUMMYFUNCTION("COUNTA(SPLIT(F789,"" ""))"),200)</f>
        <v>200</v>
      </c>
      <c r="H789" s="1">
        <v>200</v>
      </c>
      <c r="I789" s="1"/>
      <c r="J789" s="1"/>
      <c r="K789" s="1"/>
      <c r="L789" s="1"/>
      <c r="M789" s="1"/>
      <c r="N789" s="1"/>
      <c r="O789" s="1"/>
      <c r="P789" s="1"/>
      <c r="Q789" s="1"/>
      <c r="R789" s="1"/>
      <c r="S789" s="1"/>
      <c r="T789" s="1"/>
    </row>
    <row r="790" spans="1:20" ht="33.75" hidden="1" customHeight="1">
      <c r="A790" s="1" t="s">
        <v>2359</v>
      </c>
      <c r="B790" s="1" t="s">
        <v>1696</v>
      </c>
      <c r="C790" s="4">
        <v>39867.754166666666</v>
      </c>
      <c r="D790" s="1" t="s">
        <v>320</v>
      </c>
      <c r="E790" s="1">
        <v>578</v>
      </c>
      <c r="F790" s="2" t="s">
        <v>2361</v>
      </c>
      <c r="G790" s="1">
        <f ca="1">IFERROR(__xludf.DUMMYFUNCTION("COUNTA(SPLIT(F790,"" ""))"),708)</f>
        <v>708</v>
      </c>
      <c r="H790" s="1">
        <v>708</v>
      </c>
      <c r="I790" s="1"/>
      <c r="J790" s="1"/>
      <c r="K790" s="1"/>
      <c r="L790" s="1"/>
      <c r="M790" s="1"/>
      <c r="N790" s="1"/>
      <c r="O790" s="1"/>
      <c r="P790" s="1"/>
      <c r="Q790" s="1"/>
      <c r="R790" s="1"/>
      <c r="S790" s="1"/>
      <c r="T790" s="1"/>
    </row>
    <row r="791" spans="1:20" ht="33.75" customHeight="1">
      <c r="A791" s="1" t="s">
        <v>2362</v>
      </c>
      <c r="B791" s="1" t="s">
        <v>1696</v>
      </c>
      <c r="C791" s="4">
        <v>39867.756249999999</v>
      </c>
      <c r="D791" s="1" t="s">
        <v>320</v>
      </c>
      <c r="E791" s="1"/>
      <c r="F791" s="2" t="s">
        <v>2365</v>
      </c>
      <c r="G791" s="1">
        <f ca="1">IFERROR(__xludf.DUMMYFUNCTION("COUNTA(SPLIT(F791,"" ""))"),29)</f>
        <v>29</v>
      </c>
      <c r="H791" s="1">
        <v>29</v>
      </c>
      <c r="I791" s="1"/>
      <c r="J791" s="1"/>
      <c r="K791" s="1"/>
      <c r="L791" s="1"/>
      <c r="M791" s="1"/>
      <c r="N791" s="1"/>
      <c r="O791" s="1"/>
      <c r="P791" s="1"/>
      <c r="Q791" s="1"/>
      <c r="R791" s="1"/>
      <c r="S791" s="1"/>
      <c r="T791" s="1"/>
    </row>
    <row r="792" spans="1:20" ht="33.75" hidden="1" customHeight="1">
      <c r="A792" s="1" t="s">
        <v>2366</v>
      </c>
      <c r="B792" s="1" t="s">
        <v>2335</v>
      </c>
      <c r="C792" s="4">
        <v>39867.758333333331</v>
      </c>
      <c r="D792" s="1" t="s">
        <v>320</v>
      </c>
      <c r="E792" s="1" t="s">
        <v>2367</v>
      </c>
      <c r="F792" s="2" t="s">
        <v>2368</v>
      </c>
      <c r="G792" s="1">
        <f ca="1">IFERROR(__xludf.DUMMYFUNCTION("COUNTA(SPLIT(F792,"" ""))"),30)</f>
        <v>30</v>
      </c>
      <c r="H792" s="1">
        <v>30</v>
      </c>
      <c r="I792" s="1"/>
      <c r="J792" s="1"/>
      <c r="K792" s="1"/>
      <c r="L792" s="1"/>
      <c r="M792" s="1"/>
      <c r="N792" s="1"/>
      <c r="O792" s="1"/>
      <c r="P792" s="1"/>
      <c r="Q792" s="1"/>
      <c r="R792" s="1"/>
      <c r="S792" s="1"/>
      <c r="T792" s="1"/>
    </row>
    <row r="793" spans="1:20" ht="33.75" customHeight="1">
      <c r="A793" s="1" t="s">
        <v>2369</v>
      </c>
      <c r="B793" s="1" t="s">
        <v>2335</v>
      </c>
      <c r="C793" s="4">
        <v>39867.759722222225</v>
      </c>
      <c r="D793" s="1" t="s">
        <v>196</v>
      </c>
      <c r="E793" s="1"/>
      <c r="F793" s="2" t="s">
        <v>2371</v>
      </c>
      <c r="G793" s="1">
        <f ca="1">IFERROR(__xludf.DUMMYFUNCTION("COUNTA(SPLIT(F793,"" ""))"),217)</f>
        <v>217</v>
      </c>
      <c r="H793" s="1">
        <v>217</v>
      </c>
      <c r="I793" s="1"/>
      <c r="J793" s="1"/>
      <c r="K793" s="1"/>
      <c r="L793" s="1"/>
      <c r="M793" s="1"/>
      <c r="N793" s="1"/>
      <c r="O793" s="1"/>
      <c r="P793" s="1"/>
      <c r="Q793" s="1"/>
      <c r="R793" s="1"/>
      <c r="S793" s="1"/>
      <c r="T793" s="1"/>
    </row>
    <row r="794" spans="1:20" ht="33.75" hidden="1" customHeight="1">
      <c r="A794" s="1" t="s">
        <v>2372</v>
      </c>
      <c r="B794" s="1" t="s">
        <v>1696</v>
      </c>
      <c r="C794" s="4">
        <v>39867.763194444444</v>
      </c>
      <c r="D794" s="1" t="s">
        <v>14</v>
      </c>
      <c r="E794" s="1" t="s">
        <v>2362</v>
      </c>
      <c r="F794" s="2" t="s">
        <v>2375</v>
      </c>
      <c r="G794" s="1">
        <f ca="1">IFERROR(__xludf.DUMMYFUNCTION("COUNTA(SPLIT(F794,"" ""))"),37)</f>
        <v>37</v>
      </c>
      <c r="H794" s="1">
        <v>37</v>
      </c>
      <c r="I794" s="1"/>
      <c r="J794" s="1"/>
      <c r="K794" s="1"/>
      <c r="L794" s="1"/>
      <c r="M794" s="1"/>
      <c r="N794" s="1"/>
      <c r="O794" s="1"/>
      <c r="P794" s="1"/>
      <c r="Q794" s="1"/>
      <c r="R794" s="1"/>
      <c r="S794" s="1"/>
      <c r="T794" s="1"/>
    </row>
    <row r="795" spans="1:20" ht="33.75" customHeight="1">
      <c r="A795" s="1" t="s">
        <v>2376</v>
      </c>
      <c r="B795" s="1" t="s">
        <v>2335</v>
      </c>
      <c r="C795" s="4">
        <v>39867.769444444442</v>
      </c>
      <c r="D795" s="1" t="s">
        <v>14</v>
      </c>
      <c r="E795" s="1"/>
      <c r="F795" s="2" t="s">
        <v>2378</v>
      </c>
      <c r="G795" s="1">
        <f ca="1">IFERROR(__xludf.DUMMYFUNCTION("COUNTA(SPLIT(F795,"" ""))"),321)</f>
        <v>321</v>
      </c>
      <c r="H795" s="1">
        <v>321</v>
      </c>
      <c r="I795" s="1"/>
      <c r="J795" s="1"/>
      <c r="K795" s="1"/>
      <c r="L795" s="1"/>
      <c r="M795" s="1"/>
      <c r="N795" s="1"/>
      <c r="O795" s="1"/>
      <c r="P795" s="1"/>
      <c r="Q795" s="1"/>
      <c r="R795" s="1"/>
      <c r="S795" s="1"/>
      <c r="T795" s="1"/>
    </row>
    <row r="796" spans="1:20" ht="33.75" hidden="1" customHeight="1">
      <c r="A796" s="1" t="s">
        <v>2379</v>
      </c>
      <c r="B796" s="1" t="s">
        <v>2335</v>
      </c>
      <c r="C796" s="4">
        <v>39867.782638888886</v>
      </c>
      <c r="D796" s="1" t="s">
        <v>14</v>
      </c>
      <c r="E796" s="1" t="s">
        <v>2366</v>
      </c>
      <c r="F796" s="2" t="s">
        <v>2380</v>
      </c>
      <c r="G796" s="1">
        <f ca="1">IFERROR(__xludf.DUMMYFUNCTION("COUNTA(SPLIT(F796,"" ""))"),278)</f>
        <v>278</v>
      </c>
      <c r="H796" s="1">
        <v>278</v>
      </c>
      <c r="I796" s="1"/>
      <c r="J796" s="1"/>
      <c r="K796" s="1"/>
      <c r="L796" s="1"/>
      <c r="M796" s="1"/>
      <c r="N796" s="1"/>
      <c r="O796" s="1"/>
      <c r="P796" s="1"/>
      <c r="Q796" s="1"/>
      <c r="R796" s="1"/>
      <c r="S796" s="1"/>
      <c r="T796" s="1"/>
    </row>
    <row r="797" spans="1:20" ht="33.75" hidden="1" customHeight="1">
      <c r="A797" s="1" t="s">
        <v>2381</v>
      </c>
      <c r="B797" s="1" t="s">
        <v>2335</v>
      </c>
      <c r="C797" s="4">
        <v>39867.809027777781</v>
      </c>
      <c r="D797" s="1" t="s">
        <v>14</v>
      </c>
      <c r="E797" s="1" t="s">
        <v>2379</v>
      </c>
      <c r="F797" s="2" t="s">
        <v>2384</v>
      </c>
      <c r="G797" s="1">
        <f ca="1">IFERROR(__xludf.DUMMYFUNCTION("COUNTA(SPLIT(F797,"" ""))"),40)</f>
        <v>40</v>
      </c>
      <c r="H797" s="1">
        <v>40</v>
      </c>
      <c r="I797" s="1"/>
      <c r="J797" s="1"/>
      <c r="K797" s="1"/>
      <c r="L797" s="1"/>
      <c r="M797" s="1"/>
      <c r="N797" s="1"/>
      <c r="O797" s="1"/>
      <c r="P797" s="1"/>
      <c r="Q797" s="1"/>
      <c r="R797" s="1"/>
      <c r="S797" s="1"/>
      <c r="T797" s="1"/>
    </row>
    <row r="798" spans="1:20" ht="33.75" hidden="1" customHeight="1">
      <c r="A798" s="1" t="s">
        <v>2385</v>
      </c>
      <c r="B798" s="1" t="s">
        <v>2335</v>
      </c>
      <c r="C798" s="4">
        <v>39867.836805555555</v>
      </c>
      <c r="D798" s="1" t="s">
        <v>320</v>
      </c>
      <c r="E798" s="1" t="s">
        <v>2379</v>
      </c>
      <c r="F798" s="2" t="s">
        <v>2386</v>
      </c>
      <c r="G798" s="1">
        <f ca="1">IFERROR(__xludf.DUMMYFUNCTION("COUNTA(SPLIT(F798,"" ""))"),58)</f>
        <v>58</v>
      </c>
      <c r="H798" s="1">
        <v>58</v>
      </c>
      <c r="I798" s="1"/>
      <c r="J798" s="1"/>
      <c r="K798" s="1"/>
      <c r="L798" s="1"/>
      <c r="M798" s="1"/>
      <c r="N798" s="1"/>
      <c r="O798" s="1"/>
      <c r="P798" s="1"/>
      <c r="Q798" s="1"/>
      <c r="R798" s="1"/>
      <c r="S798" s="1"/>
      <c r="T798" s="1"/>
    </row>
    <row r="799" spans="1:20" ht="33.75" hidden="1" customHeight="1">
      <c r="A799" s="1" t="s">
        <v>2387</v>
      </c>
      <c r="B799" s="1" t="s">
        <v>2335</v>
      </c>
      <c r="C799" s="4">
        <v>39867.847222222219</v>
      </c>
      <c r="D799" s="1" t="s">
        <v>320</v>
      </c>
      <c r="E799" s="1" t="s">
        <v>2369</v>
      </c>
      <c r="F799" s="2" t="s">
        <v>2389</v>
      </c>
      <c r="G799" s="1">
        <f ca="1">IFERROR(__xludf.DUMMYFUNCTION("COUNTA(SPLIT(F799,"" ""))"),254)</f>
        <v>254</v>
      </c>
      <c r="H799" s="1">
        <v>254</v>
      </c>
      <c r="I799" s="1"/>
      <c r="J799" s="1"/>
      <c r="K799" s="1"/>
      <c r="L799" s="1"/>
      <c r="M799" s="1"/>
      <c r="N799" s="1"/>
      <c r="O799" s="1"/>
      <c r="P799" s="1"/>
      <c r="Q799" s="1"/>
      <c r="R799" s="1"/>
      <c r="S799" s="1"/>
      <c r="T799" s="1"/>
    </row>
    <row r="800" spans="1:20" ht="33.75" customHeight="1">
      <c r="A800" s="1" t="s">
        <v>2390</v>
      </c>
      <c r="B800" s="1" t="s">
        <v>2335</v>
      </c>
      <c r="C800" s="4">
        <v>39867.850694444445</v>
      </c>
      <c r="D800" s="1" t="s">
        <v>320</v>
      </c>
      <c r="E800" s="1"/>
      <c r="F800" s="2" t="s">
        <v>2393</v>
      </c>
      <c r="G800" s="1">
        <f ca="1">IFERROR(__xludf.DUMMYFUNCTION("COUNTA(SPLIT(F800,"" ""))"),104)</f>
        <v>104</v>
      </c>
      <c r="H800" s="1">
        <v>104</v>
      </c>
      <c r="I800" s="1"/>
      <c r="J800" s="1"/>
      <c r="K800" s="1"/>
      <c r="L800" s="1"/>
      <c r="M800" s="1"/>
      <c r="N800" s="1"/>
      <c r="O800" s="1"/>
      <c r="P800" s="1"/>
      <c r="Q800" s="1"/>
      <c r="R800" s="1"/>
      <c r="S800" s="1"/>
      <c r="T800" s="1"/>
    </row>
    <row r="801" spans="1:20" ht="33.75" hidden="1" customHeight="1">
      <c r="A801" s="1" t="s">
        <v>2394</v>
      </c>
      <c r="B801" s="1" t="s">
        <v>2335</v>
      </c>
      <c r="C801" s="4">
        <v>39867.870833333334</v>
      </c>
      <c r="D801" s="1" t="s">
        <v>255</v>
      </c>
      <c r="E801" s="1" t="s">
        <v>2387</v>
      </c>
      <c r="F801" s="2" t="s">
        <v>2396</v>
      </c>
      <c r="G801" s="1">
        <f ca="1">IFERROR(__xludf.DUMMYFUNCTION("COUNTA(SPLIT(F801,"" ""))"),399)</f>
        <v>399</v>
      </c>
      <c r="H801" s="1">
        <v>399</v>
      </c>
      <c r="I801" s="1"/>
      <c r="J801" s="1"/>
      <c r="K801" s="1"/>
      <c r="L801" s="1"/>
      <c r="M801" s="1"/>
      <c r="N801" s="1"/>
      <c r="O801" s="1"/>
      <c r="P801" s="1"/>
      <c r="Q801" s="1"/>
      <c r="R801" s="1"/>
      <c r="S801" s="1"/>
      <c r="T801" s="1"/>
    </row>
    <row r="802" spans="1:20" ht="33.75" hidden="1" customHeight="1">
      <c r="A802" s="1" t="s">
        <v>2397</v>
      </c>
      <c r="B802" s="1" t="s">
        <v>2335</v>
      </c>
      <c r="C802" s="4">
        <v>39867.921527777777</v>
      </c>
      <c r="D802" s="1" t="s">
        <v>54</v>
      </c>
      <c r="E802" s="1" t="s">
        <v>2387</v>
      </c>
      <c r="F802" s="2" t="s">
        <v>2399</v>
      </c>
      <c r="G802" s="1">
        <f ca="1">IFERROR(__xludf.DUMMYFUNCTION("COUNTA(SPLIT(F802,"" ""))"),452)</f>
        <v>452</v>
      </c>
      <c r="H802" s="1">
        <v>452</v>
      </c>
      <c r="I802" s="1"/>
      <c r="J802" s="1"/>
      <c r="K802" s="1"/>
      <c r="L802" s="1"/>
      <c r="M802" s="1"/>
      <c r="N802" s="1"/>
      <c r="O802" s="1"/>
      <c r="P802" s="1"/>
      <c r="Q802" s="1"/>
      <c r="R802" s="1"/>
      <c r="S802" s="1"/>
      <c r="T802" s="1"/>
    </row>
    <row r="803" spans="1:20" ht="33.75" hidden="1" customHeight="1">
      <c r="A803" s="1" t="s">
        <v>2400</v>
      </c>
      <c r="B803" s="1" t="s">
        <v>2335</v>
      </c>
      <c r="C803" s="4">
        <v>39867.94027777778</v>
      </c>
      <c r="D803" s="1" t="s">
        <v>14</v>
      </c>
      <c r="E803" s="1" t="s">
        <v>2379</v>
      </c>
      <c r="F803" s="2" t="s">
        <v>2402</v>
      </c>
      <c r="G803" s="1">
        <f ca="1">IFERROR(__xludf.DUMMYFUNCTION("COUNTA(SPLIT(F803,"" ""))"),513)</f>
        <v>513</v>
      </c>
      <c r="H803" s="1">
        <v>513</v>
      </c>
      <c r="I803" s="1"/>
      <c r="J803" s="1"/>
      <c r="K803" s="1"/>
      <c r="L803" s="1"/>
      <c r="M803" s="1"/>
      <c r="N803" s="1"/>
      <c r="O803" s="1"/>
      <c r="P803" s="1"/>
      <c r="Q803" s="1"/>
      <c r="R803" s="1"/>
      <c r="S803" s="1"/>
      <c r="T803" s="1"/>
    </row>
    <row r="804" spans="1:20" ht="33.75" hidden="1" customHeight="1">
      <c r="A804" s="1" t="s">
        <v>2403</v>
      </c>
      <c r="B804" s="1" t="s">
        <v>2335</v>
      </c>
      <c r="C804" s="4">
        <v>39867.96875</v>
      </c>
      <c r="D804" s="1" t="s">
        <v>54</v>
      </c>
      <c r="E804" s="1" t="s">
        <v>2404</v>
      </c>
      <c r="F804" s="2" t="s">
        <v>2407</v>
      </c>
      <c r="G804" s="1">
        <f ca="1">IFERROR(__xludf.DUMMYFUNCTION("COUNTA(SPLIT(F804,"" ""))"),96)</f>
        <v>96</v>
      </c>
      <c r="H804" s="1">
        <v>96</v>
      </c>
      <c r="I804" s="1"/>
      <c r="J804" s="1"/>
      <c r="K804" s="1"/>
      <c r="L804" s="1"/>
      <c r="M804" s="1"/>
      <c r="N804" s="1"/>
      <c r="O804" s="1"/>
      <c r="P804" s="1"/>
      <c r="Q804" s="1"/>
      <c r="R804" s="1"/>
      <c r="S804" s="1"/>
      <c r="T804" s="1"/>
    </row>
    <row r="805" spans="1:20" ht="33.75" hidden="1" customHeight="1">
      <c r="A805" s="1" t="s">
        <v>2408</v>
      </c>
      <c r="B805" s="1" t="s">
        <v>2335</v>
      </c>
      <c r="C805" s="4">
        <v>39867.973611111112</v>
      </c>
      <c r="D805" s="1" t="s">
        <v>54</v>
      </c>
      <c r="E805" s="1" t="s">
        <v>2409</v>
      </c>
      <c r="F805" s="2" t="s">
        <v>2411</v>
      </c>
      <c r="G805" s="1">
        <f ca="1">IFERROR(__xludf.DUMMYFUNCTION("COUNTA(SPLIT(F805,"" ""))"),282)</f>
        <v>282</v>
      </c>
      <c r="H805" s="1">
        <v>282</v>
      </c>
      <c r="I805" s="1"/>
      <c r="J805" s="1"/>
      <c r="K805" s="1"/>
      <c r="L805" s="1"/>
      <c r="M805" s="1"/>
      <c r="N805" s="1"/>
      <c r="O805" s="1"/>
      <c r="P805" s="1"/>
      <c r="Q805" s="1"/>
      <c r="R805" s="1"/>
      <c r="S805" s="1"/>
      <c r="T805" s="1"/>
    </row>
    <row r="806" spans="1:20" ht="33.75" hidden="1" customHeight="1">
      <c r="A806" s="1" t="s">
        <v>2412</v>
      </c>
      <c r="B806" s="1" t="s">
        <v>2335</v>
      </c>
      <c r="C806" s="4">
        <v>39867.974999999999</v>
      </c>
      <c r="D806" s="1" t="s">
        <v>54</v>
      </c>
      <c r="E806" s="1" t="s">
        <v>2408</v>
      </c>
      <c r="F806" s="2" t="s">
        <v>2414</v>
      </c>
      <c r="G806" s="1">
        <f ca="1">IFERROR(__xludf.DUMMYFUNCTION("COUNTA(SPLIT(F806,"" ""))"),64)</f>
        <v>64</v>
      </c>
      <c r="H806" s="1">
        <v>64</v>
      </c>
      <c r="I806" s="1"/>
      <c r="J806" s="1"/>
      <c r="K806" s="1"/>
      <c r="L806" s="1"/>
      <c r="M806" s="1"/>
      <c r="N806" s="1"/>
      <c r="O806" s="1"/>
      <c r="P806" s="1"/>
      <c r="Q806" s="1"/>
      <c r="R806" s="1"/>
      <c r="S806" s="1"/>
      <c r="T806" s="1"/>
    </row>
    <row r="807" spans="1:20" ht="33.75" hidden="1" customHeight="1">
      <c r="A807" s="1" t="s">
        <v>2415</v>
      </c>
      <c r="B807" s="1" t="s">
        <v>2335</v>
      </c>
      <c r="C807" s="4">
        <v>39867.980555555558</v>
      </c>
      <c r="D807" s="1" t="s">
        <v>320</v>
      </c>
      <c r="E807" s="1" t="s">
        <v>2394</v>
      </c>
      <c r="F807" s="2" t="s">
        <v>2416</v>
      </c>
      <c r="G807" s="1">
        <f ca="1">IFERROR(__xludf.DUMMYFUNCTION("COUNTA(SPLIT(F807,"" ""))"),60)</f>
        <v>60</v>
      </c>
      <c r="H807" s="1">
        <v>60</v>
      </c>
      <c r="I807" s="1"/>
      <c r="J807" s="1"/>
      <c r="K807" s="1"/>
      <c r="L807" s="1"/>
      <c r="M807" s="1"/>
      <c r="N807" s="1"/>
      <c r="O807" s="1"/>
      <c r="P807" s="1"/>
      <c r="Q807" s="1"/>
      <c r="R807" s="1"/>
      <c r="S807" s="1"/>
      <c r="T807" s="1"/>
    </row>
    <row r="808" spans="1:20" ht="33.75" customHeight="1">
      <c r="A808" s="1" t="s">
        <v>2417</v>
      </c>
      <c r="B808" s="1" t="s">
        <v>2335</v>
      </c>
      <c r="C808" s="4">
        <v>39867.988194444442</v>
      </c>
      <c r="D808" s="1" t="s">
        <v>320</v>
      </c>
      <c r="E808" s="1"/>
      <c r="F808" s="2" t="s">
        <v>2419</v>
      </c>
      <c r="G808" s="1">
        <f ca="1">IFERROR(__xludf.DUMMYFUNCTION("COUNTA(SPLIT(F808,"" ""))"),108)</f>
        <v>108</v>
      </c>
      <c r="H808" s="1">
        <v>108</v>
      </c>
      <c r="I808" s="1"/>
      <c r="J808" s="1"/>
      <c r="K808" s="1"/>
      <c r="L808" s="1"/>
      <c r="M808" s="1"/>
      <c r="N808" s="1"/>
      <c r="O808" s="1"/>
      <c r="P808" s="1"/>
      <c r="Q808" s="1"/>
      <c r="R808" s="1"/>
      <c r="S808" s="1"/>
      <c r="T808" s="1"/>
    </row>
    <row r="809" spans="1:20" ht="33.75" hidden="1" customHeight="1">
      <c r="A809" s="1" t="s">
        <v>2420</v>
      </c>
      <c r="B809" s="1" t="s">
        <v>2335</v>
      </c>
      <c r="C809" s="4">
        <v>39868.000694444447</v>
      </c>
      <c r="D809" s="1" t="s">
        <v>320</v>
      </c>
      <c r="E809" s="1" t="s">
        <v>2408</v>
      </c>
      <c r="F809" s="2" t="s">
        <v>2421</v>
      </c>
      <c r="G809" s="1">
        <f ca="1">IFERROR(__xludf.DUMMYFUNCTION("COUNTA(SPLIT(F809,"" ""))"),293)</f>
        <v>293</v>
      </c>
      <c r="H809" s="1">
        <v>293</v>
      </c>
      <c r="I809" s="1"/>
      <c r="J809" s="1"/>
      <c r="K809" s="1"/>
      <c r="L809" s="1"/>
      <c r="M809" s="1"/>
      <c r="N809" s="1"/>
      <c r="O809" s="1"/>
      <c r="P809" s="1"/>
      <c r="Q809" s="1"/>
      <c r="R809" s="1"/>
      <c r="S809" s="1"/>
      <c r="T809" s="1"/>
    </row>
    <row r="810" spans="1:20" ht="33.75" hidden="1" customHeight="1">
      <c r="A810" s="1" t="s">
        <v>2422</v>
      </c>
      <c r="B810" s="1" t="s">
        <v>2335</v>
      </c>
      <c r="C810" s="4">
        <v>39868.003472222219</v>
      </c>
      <c r="D810" s="1" t="s">
        <v>14</v>
      </c>
      <c r="E810" s="1" t="s">
        <v>2420</v>
      </c>
      <c r="F810" s="2" t="s">
        <v>2424</v>
      </c>
      <c r="G810" s="1">
        <f ca="1">IFERROR(__xludf.DUMMYFUNCTION("COUNTA(SPLIT(F810,"" ""))"),87)</f>
        <v>87</v>
      </c>
      <c r="H810" s="1">
        <v>87</v>
      </c>
      <c r="I810" s="1"/>
      <c r="J810" s="1"/>
      <c r="K810" s="1"/>
      <c r="L810" s="1"/>
      <c r="M810" s="1"/>
      <c r="N810" s="1"/>
      <c r="O810" s="1"/>
      <c r="P810" s="1"/>
      <c r="Q810" s="1"/>
      <c r="R810" s="1"/>
      <c r="S810" s="1"/>
      <c r="T810" s="1"/>
    </row>
    <row r="811" spans="1:20" ht="33.75" hidden="1" customHeight="1">
      <c r="A811" s="1" t="s">
        <v>2425</v>
      </c>
      <c r="B811" s="1" t="s">
        <v>2335</v>
      </c>
      <c r="C811" s="4">
        <v>39868.005555555559</v>
      </c>
      <c r="D811" s="1" t="s">
        <v>320</v>
      </c>
      <c r="E811" s="1" t="s">
        <v>2390</v>
      </c>
      <c r="F811" s="2" t="s">
        <v>2428</v>
      </c>
      <c r="G811" s="1">
        <f ca="1">IFERROR(__xludf.DUMMYFUNCTION("COUNTA(SPLIT(F811,"" ""))"),257)</f>
        <v>257</v>
      </c>
      <c r="H811" s="1">
        <v>257</v>
      </c>
      <c r="I811" s="1"/>
      <c r="J811" s="1"/>
      <c r="K811" s="1"/>
      <c r="L811" s="1"/>
      <c r="M811" s="1"/>
      <c r="N811" s="1"/>
      <c r="O811" s="1"/>
      <c r="P811" s="1"/>
      <c r="Q811" s="1"/>
      <c r="R811" s="1"/>
      <c r="S811" s="1"/>
      <c r="T811" s="1"/>
    </row>
    <row r="812" spans="1:20" ht="33.75" hidden="1" customHeight="1">
      <c r="A812" s="1" t="s">
        <v>2429</v>
      </c>
      <c r="B812" s="1" t="s">
        <v>2335</v>
      </c>
      <c r="C812" s="4">
        <v>39868.040972222225</v>
      </c>
      <c r="D812" s="1" t="s">
        <v>255</v>
      </c>
      <c r="E812" s="1" t="s">
        <v>2425</v>
      </c>
      <c r="F812" s="2" t="s">
        <v>2430</v>
      </c>
      <c r="G812" s="1">
        <f ca="1">IFERROR(__xludf.DUMMYFUNCTION("COUNTA(SPLIT(F812,"" ""))"),162)</f>
        <v>162</v>
      </c>
      <c r="H812" s="1">
        <v>162</v>
      </c>
      <c r="I812" s="1"/>
      <c r="J812" s="1"/>
      <c r="K812" s="1"/>
      <c r="L812" s="1"/>
      <c r="M812" s="1"/>
      <c r="N812" s="1"/>
      <c r="O812" s="1"/>
      <c r="P812" s="1"/>
      <c r="Q812" s="1"/>
      <c r="R812" s="1"/>
      <c r="S812" s="1"/>
      <c r="T812" s="1"/>
    </row>
    <row r="813" spans="1:20" ht="33.75" customHeight="1">
      <c r="A813" s="1" t="s">
        <v>2431</v>
      </c>
      <c r="B813" s="1" t="s">
        <v>2335</v>
      </c>
      <c r="C813" s="4">
        <v>39868.050694444442</v>
      </c>
      <c r="D813" s="1" t="s">
        <v>255</v>
      </c>
      <c r="E813" s="1"/>
      <c r="F813" s="2" t="s">
        <v>2433</v>
      </c>
      <c r="G813" s="1">
        <f ca="1">IFERROR(__xludf.DUMMYFUNCTION("COUNTA(SPLIT(F813,"" ""))"),116)</f>
        <v>116</v>
      </c>
      <c r="H813" s="1">
        <v>116</v>
      </c>
      <c r="I813" s="1"/>
      <c r="J813" s="1"/>
      <c r="K813" s="1"/>
      <c r="L813" s="1"/>
      <c r="M813" s="1"/>
      <c r="N813" s="1"/>
      <c r="O813" s="1"/>
      <c r="P813" s="1"/>
      <c r="Q813" s="1"/>
      <c r="R813" s="1"/>
      <c r="S813" s="1"/>
      <c r="T813" s="1"/>
    </row>
    <row r="814" spans="1:20" ht="33.75" customHeight="1">
      <c r="A814" s="1" t="s">
        <v>2434</v>
      </c>
      <c r="B814" s="1" t="s">
        <v>2335</v>
      </c>
      <c r="C814" s="4">
        <v>39868.075694444444</v>
      </c>
      <c r="D814" s="1" t="s">
        <v>54</v>
      </c>
      <c r="E814" s="1"/>
      <c r="F814" s="2" t="s">
        <v>2435</v>
      </c>
      <c r="G814" s="1">
        <f ca="1">IFERROR(__xludf.DUMMYFUNCTION("COUNTA(SPLIT(F814,"" ""))"),187)</f>
        <v>187</v>
      </c>
      <c r="H814" s="1">
        <v>187</v>
      </c>
      <c r="I814" s="1"/>
      <c r="J814" s="1"/>
      <c r="K814" s="1"/>
      <c r="L814" s="1"/>
      <c r="M814" s="1"/>
      <c r="N814" s="1"/>
      <c r="O814" s="1"/>
      <c r="P814" s="1"/>
      <c r="Q814" s="1"/>
      <c r="R814" s="1"/>
      <c r="S814" s="1"/>
      <c r="T814" s="1"/>
    </row>
    <row r="815" spans="1:20" ht="33.75" customHeight="1">
      <c r="A815" s="1" t="s">
        <v>2436</v>
      </c>
      <c r="B815" s="1" t="s">
        <v>2280</v>
      </c>
      <c r="C815" s="4">
        <v>39868.188194444447</v>
      </c>
      <c r="D815" s="1" t="s">
        <v>2437</v>
      </c>
      <c r="E815" s="1"/>
      <c r="F815" s="2" t="s">
        <v>2439</v>
      </c>
      <c r="G815" s="1">
        <f ca="1">IFERROR(__xludf.DUMMYFUNCTION("COUNTA(SPLIT(F815,"" ""))"),134)</f>
        <v>134</v>
      </c>
      <c r="H815" s="1">
        <v>134</v>
      </c>
      <c r="I815" s="1"/>
      <c r="J815" s="1"/>
      <c r="K815" s="1"/>
      <c r="L815" s="1"/>
      <c r="M815" s="1"/>
      <c r="N815" s="1"/>
      <c r="O815" s="1"/>
      <c r="P815" s="1"/>
      <c r="Q815" s="1"/>
      <c r="R815" s="1"/>
      <c r="S815" s="1"/>
      <c r="T815" s="1"/>
    </row>
    <row r="816" spans="1:20" ht="33.75" hidden="1" customHeight="1">
      <c r="A816" s="1" t="s">
        <v>2440</v>
      </c>
      <c r="B816" s="1" t="s">
        <v>2335</v>
      </c>
      <c r="C816" s="4">
        <v>39869.712500000001</v>
      </c>
      <c r="D816" s="1" t="s">
        <v>1528</v>
      </c>
      <c r="E816" s="1" t="s">
        <v>2441</v>
      </c>
      <c r="F816" s="2" t="s">
        <v>2443</v>
      </c>
      <c r="G816" s="1">
        <f ca="1">IFERROR(__xludf.DUMMYFUNCTION("COUNTA(SPLIT(F816,"" ""))"),225)</f>
        <v>225</v>
      </c>
      <c r="H816" s="1">
        <v>225</v>
      </c>
      <c r="I816" s="1"/>
      <c r="J816" s="1"/>
      <c r="K816" s="1"/>
      <c r="L816" s="1"/>
      <c r="M816" s="1"/>
      <c r="N816" s="1"/>
      <c r="O816" s="1"/>
      <c r="P816" s="1"/>
      <c r="Q816" s="1"/>
      <c r="R816" s="1"/>
      <c r="S816" s="1"/>
      <c r="T816" s="1"/>
    </row>
    <row r="817" spans="1:20" ht="33.75" hidden="1" customHeight="1">
      <c r="A817" s="1" t="s">
        <v>2444</v>
      </c>
      <c r="B817" s="1" t="s">
        <v>2335</v>
      </c>
      <c r="C817" s="4">
        <v>39868.237500000003</v>
      </c>
      <c r="D817" s="1" t="s">
        <v>320</v>
      </c>
      <c r="E817" s="1" t="s">
        <v>2434</v>
      </c>
      <c r="F817" s="2" t="s">
        <v>2445</v>
      </c>
      <c r="G817" s="1">
        <f ca="1">IFERROR(__xludf.DUMMYFUNCTION("COUNTA(SPLIT(F817,"" ""))"),329)</f>
        <v>329</v>
      </c>
      <c r="H817" s="1">
        <v>329</v>
      </c>
      <c r="I817" s="1"/>
      <c r="J817" s="1"/>
      <c r="K817" s="1"/>
      <c r="L817" s="1"/>
      <c r="M817" s="1"/>
      <c r="N817" s="1"/>
      <c r="O817" s="1"/>
      <c r="P817" s="1"/>
      <c r="Q817" s="1"/>
      <c r="R817" s="1"/>
      <c r="S817" s="1"/>
      <c r="T817" s="1"/>
    </row>
    <row r="818" spans="1:20" ht="33.75" hidden="1" customHeight="1">
      <c r="A818" s="1" t="s">
        <v>2446</v>
      </c>
      <c r="B818" s="1" t="s">
        <v>2335</v>
      </c>
      <c r="C818" s="4">
        <v>39868.254861111112</v>
      </c>
      <c r="D818" s="1" t="s">
        <v>54</v>
      </c>
      <c r="E818" s="1" t="s">
        <v>2444</v>
      </c>
      <c r="F818" s="2" t="s">
        <v>2447</v>
      </c>
      <c r="G818" s="1">
        <f ca="1">IFERROR(__xludf.DUMMYFUNCTION("COUNTA(SPLIT(F818,"" ""))"),200)</f>
        <v>200</v>
      </c>
      <c r="H818" s="1">
        <v>200</v>
      </c>
      <c r="I818" s="1"/>
      <c r="J818" s="1"/>
      <c r="K818" s="1"/>
      <c r="L818" s="1"/>
      <c r="M818" s="1"/>
      <c r="N818" s="1"/>
      <c r="O818" s="1"/>
      <c r="P818" s="1"/>
      <c r="Q818" s="1"/>
      <c r="R818" s="1"/>
      <c r="S818" s="1"/>
      <c r="T818" s="1"/>
    </row>
    <row r="819" spans="1:20" ht="33.75" customHeight="1">
      <c r="A819" s="1" t="s">
        <v>2448</v>
      </c>
      <c r="B819" s="1" t="s">
        <v>2335</v>
      </c>
      <c r="C819" s="4">
        <v>39868.268750000003</v>
      </c>
      <c r="D819" s="1" t="s">
        <v>54</v>
      </c>
      <c r="E819" s="1"/>
      <c r="F819" s="2" t="s">
        <v>2450</v>
      </c>
      <c r="G819" s="1">
        <f ca="1">IFERROR(__xludf.DUMMYFUNCTION("COUNTA(SPLIT(F819,"" ""))"),419)</f>
        <v>419</v>
      </c>
      <c r="H819" s="1">
        <v>419</v>
      </c>
      <c r="I819" s="1"/>
      <c r="J819" s="1"/>
      <c r="K819" s="1"/>
      <c r="L819" s="1"/>
      <c r="M819" s="1"/>
      <c r="N819" s="1"/>
      <c r="O819" s="1"/>
      <c r="P819" s="1"/>
      <c r="Q819" s="1"/>
      <c r="R819" s="1"/>
      <c r="S819" s="1"/>
      <c r="T819" s="1"/>
    </row>
    <row r="820" spans="1:20" ht="33.75" hidden="1" customHeight="1">
      <c r="A820" s="1" t="s">
        <v>2451</v>
      </c>
      <c r="B820" s="1" t="s">
        <v>2335</v>
      </c>
      <c r="C820" s="4">
        <v>39868.286805555559</v>
      </c>
      <c r="D820" s="1" t="s">
        <v>2452</v>
      </c>
      <c r="E820" s="1">
        <v>578</v>
      </c>
      <c r="F820" s="2" t="s">
        <v>2454</v>
      </c>
      <c r="G820" s="1">
        <f ca="1">IFERROR(__xludf.DUMMYFUNCTION("COUNTA(SPLIT(F820,"" ""))"),282)</f>
        <v>282</v>
      </c>
      <c r="H820" s="1">
        <v>282</v>
      </c>
      <c r="I820" s="1"/>
      <c r="J820" s="1"/>
      <c r="K820" s="1"/>
      <c r="L820" s="1"/>
      <c r="M820" s="1"/>
      <c r="N820" s="1"/>
      <c r="O820" s="1"/>
      <c r="P820" s="1"/>
      <c r="Q820" s="1"/>
      <c r="R820" s="1"/>
      <c r="S820" s="1"/>
      <c r="T820" s="1"/>
    </row>
    <row r="821" spans="1:20" ht="33.75" customHeight="1">
      <c r="A821" s="1" t="s">
        <v>2455</v>
      </c>
      <c r="B821" s="1" t="s">
        <v>2335</v>
      </c>
      <c r="C821" s="4">
        <v>39868.494444444441</v>
      </c>
      <c r="D821" s="1" t="s">
        <v>14</v>
      </c>
      <c r="E821" s="1"/>
      <c r="F821" s="2" t="s">
        <v>2456</v>
      </c>
      <c r="G821" s="1">
        <f ca="1">IFERROR(__xludf.DUMMYFUNCTION("COUNTA(SPLIT(F821,"" ""))"),25)</f>
        <v>25</v>
      </c>
      <c r="H821" s="1">
        <v>25</v>
      </c>
      <c r="I821" s="1"/>
      <c r="J821" s="1"/>
      <c r="K821" s="1"/>
      <c r="L821" s="1"/>
      <c r="M821" s="1"/>
      <c r="N821" s="1"/>
      <c r="O821" s="1"/>
      <c r="P821" s="1"/>
      <c r="Q821" s="1"/>
      <c r="R821" s="1"/>
      <c r="S821" s="1"/>
      <c r="T821" s="1"/>
    </row>
    <row r="822" spans="1:20" ht="33.75" hidden="1" customHeight="1">
      <c r="A822" s="1" t="s">
        <v>2457</v>
      </c>
      <c r="B822" s="1" t="s">
        <v>2335</v>
      </c>
      <c r="C822" s="4">
        <v>39868.563888888886</v>
      </c>
      <c r="D822" s="1" t="s">
        <v>14</v>
      </c>
      <c r="E822" s="1" t="s">
        <v>2458</v>
      </c>
      <c r="F822" s="2" t="s">
        <v>2460</v>
      </c>
      <c r="G822" s="1">
        <f ca="1">IFERROR(__xludf.DUMMYFUNCTION("COUNTA(SPLIT(F822,"" ""))"),531)</f>
        <v>531</v>
      </c>
      <c r="H822" s="1">
        <v>531</v>
      </c>
      <c r="I822" s="1"/>
      <c r="J822" s="1"/>
      <c r="K822" s="1"/>
      <c r="L822" s="1"/>
      <c r="M822" s="1"/>
      <c r="N822" s="1"/>
      <c r="O822" s="1"/>
      <c r="P822" s="1"/>
      <c r="Q822" s="1"/>
      <c r="R822" s="1"/>
      <c r="S822" s="1"/>
      <c r="T822" s="1"/>
    </row>
    <row r="823" spans="1:20" ht="33.75" customHeight="1">
      <c r="A823" s="1" t="s">
        <v>2461</v>
      </c>
      <c r="B823" s="1" t="s">
        <v>2335</v>
      </c>
      <c r="C823" s="4">
        <v>39868.576388888891</v>
      </c>
      <c r="D823" s="1" t="s">
        <v>474</v>
      </c>
      <c r="E823" s="1"/>
      <c r="F823" s="2" t="s">
        <v>2463</v>
      </c>
      <c r="G823" s="1">
        <f ca="1">IFERROR(__xludf.DUMMYFUNCTION("COUNTA(SPLIT(F823,"" ""))"),186)</f>
        <v>186</v>
      </c>
      <c r="H823" s="1">
        <v>186</v>
      </c>
      <c r="I823" s="1"/>
      <c r="J823" s="1"/>
      <c r="K823" s="1"/>
      <c r="L823" s="1"/>
      <c r="M823" s="1"/>
      <c r="N823" s="1"/>
      <c r="O823" s="1"/>
      <c r="P823" s="1"/>
      <c r="Q823" s="1"/>
      <c r="R823" s="1"/>
      <c r="S823" s="1"/>
      <c r="T823" s="1"/>
    </row>
    <row r="824" spans="1:20" ht="33.75" customHeight="1">
      <c r="A824" s="1" t="s">
        <v>2464</v>
      </c>
      <c r="B824" s="1" t="s">
        <v>2335</v>
      </c>
      <c r="C824" s="4">
        <v>39868.67083333333</v>
      </c>
      <c r="D824" s="1" t="s">
        <v>2452</v>
      </c>
      <c r="E824" s="1"/>
      <c r="F824" s="2" t="s">
        <v>2465</v>
      </c>
      <c r="G824" s="1">
        <f ca="1">IFERROR(__xludf.DUMMYFUNCTION("COUNTA(SPLIT(F824,"" ""))"),17)</f>
        <v>17</v>
      </c>
      <c r="H824" s="1">
        <v>17</v>
      </c>
      <c r="I824" s="1"/>
      <c r="J824" s="1"/>
      <c r="K824" s="1"/>
      <c r="L824" s="1"/>
      <c r="M824" s="1"/>
      <c r="N824" s="1"/>
      <c r="O824" s="1"/>
      <c r="P824" s="1"/>
      <c r="Q824" s="1"/>
      <c r="R824" s="1"/>
      <c r="S824" s="1"/>
      <c r="T824" s="1"/>
    </row>
    <row r="825" spans="1:20" ht="33.75" customHeight="1">
      <c r="A825" s="1" t="s">
        <v>2466</v>
      </c>
      <c r="B825" s="1" t="s">
        <v>2335</v>
      </c>
      <c r="C825" s="4">
        <v>39868.674305555556</v>
      </c>
      <c r="D825" s="1" t="s">
        <v>2452</v>
      </c>
      <c r="E825" s="1"/>
      <c r="F825" s="2" t="s">
        <v>2468</v>
      </c>
      <c r="G825" s="1">
        <f ca="1">IFERROR(__xludf.DUMMYFUNCTION("COUNTA(SPLIT(F825,"" ""))"),119)</f>
        <v>119</v>
      </c>
      <c r="H825" s="1">
        <v>119</v>
      </c>
      <c r="I825" s="1"/>
      <c r="J825" s="1"/>
      <c r="K825" s="1"/>
      <c r="L825" s="1"/>
      <c r="M825" s="1"/>
      <c r="N825" s="1"/>
      <c r="O825" s="1"/>
      <c r="P825" s="1"/>
      <c r="Q825" s="1"/>
      <c r="R825" s="1"/>
      <c r="S825" s="1"/>
      <c r="T825" s="1"/>
    </row>
    <row r="826" spans="1:20" ht="33.75" customHeight="1">
      <c r="A826" s="1" t="s">
        <v>2469</v>
      </c>
      <c r="B826" s="1" t="s">
        <v>2335</v>
      </c>
      <c r="C826" s="4">
        <v>39868.685416666667</v>
      </c>
      <c r="D826" s="1" t="s">
        <v>2452</v>
      </c>
      <c r="E826" s="1"/>
      <c r="F826" s="2" t="s">
        <v>2471</v>
      </c>
      <c r="G826" s="1">
        <f ca="1">IFERROR(__xludf.DUMMYFUNCTION("COUNTA(SPLIT(F826,"" ""))"),32)</f>
        <v>32</v>
      </c>
      <c r="H826" s="1">
        <v>32</v>
      </c>
      <c r="I826" s="1"/>
      <c r="J826" s="1"/>
      <c r="K826" s="1"/>
      <c r="L826" s="1"/>
      <c r="M826" s="1"/>
      <c r="N826" s="1"/>
      <c r="O826" s="1"/>
      <c r="P826" s="1"/>
      <c r="Q826" s="1"/>
      <c r="R826" s="1"/>
      <c r="S826" s="1"/>
      <c r="T826" s="1"/>
    </row>
    <row r="827" spans="1:20" ht="33.75" customHeight="1">
      <c r="A827" s="1" t="s">
        <v>2472</v>
      </c>
      <c r="B827" s="1" t="s">
        <v>2335</v>
      </c>
      <c r="C827" s="4">
        <v>39868.689583333333</v>
      </c>
      <c r="D827" s="1" t="s">
        <v>2452</v>
      </c>
      <c r="E827" s="1"/>
      <c r="F827" s="2" t="s">
        <v>2473</v>
      </c>
      <c r="G827" s="1">
        <f ca="1">IFERROR(__xludf.DUMMYFUNCTION("COUNTA(SPLIT(F827,"" ""))"),21)</f>
        <v>21</v>
      </c>
      <c r="H827" s="1">
        <v>21</v>
      </c>
      <c r="I827" s="1"/>
      <c r="J827" s="1"/>
      <c r="K827" s="1"/>
      <c r="L827" s="1"/>
      <c r="M827" s="1"/>
      <c r="N827" s="1"/>
      <c r="O827" s="1"/>
      <c r="P827" s="1"/>
      <c r="Q827" s="1"/>
      <c r="R827" s="1"/>
      <c r="S827" s="1"/>
      <c r="T827" s="1"/>
    </row>
    <row r="828" spans="1:20" ht="33.75" customHeight="1">
      <c r="A828" s="1" t="s">
        <v>2474</v>
      </c>
      <c r="B828" s="1" t="s">
        <v>2335</v>
      </c>
      <c r="C828" s="4">
        <v>39868.715277777781</v>
      </c>
      <c r="D828" s="1" t="s">
        <v>2452</v>
      </c>
      <c r="E828" s="1"/>
      <c r="F828" s="2" t="s">
        <v>2476</v>
      </c>
      <c r="G828" s="1">
        <f ca="1">IFERROR(__xludf.DUMMYFUNCTION("COUNTA(SPLIT(F828,"" ""))"),29)</f>
        <v>29</v>
      </c>
      <c r="H828" s="1">
        <v>29</v>
      </c>
      <c r="I828" s="1"/>
      <c r="J828" s="1"/>
      <c r="K828" s="1"/>
      <c r="L828" s="1"/>
      <c r="M828" s="1"/>
      <c r="N828" s="1"/>
      <c r="O828" s="1"/>
      <c r="P828" s="1"/>
      <c r="Q828" s="1"/>
      <c r="R828" s="1"/>
      <c r="S828" s="1"/>
      <c r="T828" s="1"/>
    </row>
    <row r="829" spans="1:20" ht="33.75" hidden="1" customHeight="1">
      <c r="A829" s="1" t="s">
        <v>2477</v>
      </c>
      <c r="B829" s="1" t="s">
        <v>2335</v>
      </c>
      <c r="C829" s="4">
        <v>39868.74722222222</v>
      </c>
      <c r="D829" s="1" t="s">
        <v>2452</v>
      </c>
      <c r="E829" s="1" t="s">
        <v>2478</v>
      </c>
      <c r="F829" s="2" t="s">
        <v>2480</v>
      </c>
      <c r="G829" s="1">
        <f ca="1">IFERROR(__xludf.DUMMYFUNCTION("COUNTA(SPLIT(F829,"" ""))"),456)</f>
        <v>456</v>
      </c>
      <c r="H829" s="1">
        <v>456</v>
      </c>
      <c r="I829" s="1"/>
      <c r="J829" s="1"/>
      <c r="K829" s="1"/>
      <c r="L829" s="1"/>
      <c r="M829" s="1"/>
      <c r="N829" s="1"/>
      <c r="O829" s="1"/>
      <c r="P829" s="1"/>
      <c r="Q829" s="1"/>
      <c r="R829" s="1"/>
      <c r="S829" s="1"/>
      <c r="T829" s="1"/>
    </row>
    <row r="830" spans="1:20" ht="33.75" customHeight="1">
      <c r="A830" s="1" t="s">
        <v>2481</v>
      </c>
      <c r="B830" s="1" t="s">
        <v>2335</v>
      </c>
      <c r="C830" s="4">
        <v>39868.782638888886</v>
      </c>
      <c r="D830" s="1" t="s">
        <v>14</v>
      </c>
      <c r="E830" s="1"/>
      <c r="F830" s="2" t="s">
        <v>2484</v>
      </c>
      <c r="G830" s="1">
        <f ca="1">IFERROR(__xludf.DUMMYFUNCTION("COUNTA(SPLIT(F830,"" ""))"),552)</f>
        <v>552</v>
      </c>
      <c r="H830" s="1">
        <v>552</v>
      </c>
      <c r="I830" s="1"/>
      <c r="J830" s="1"/>
      <c r="K830" s="1"/>
      <c r="L830" s="1"/>
      <c r="M830" s="1"/>
      <c r="N830" s="1"/>
      <c r="O830" s="1"/>
      <c r="P830" s="1"/>
      <c r="Q830" s="1"/>
      <c r="R830" s="1"/>
      <c r="S830" s="1"/>
      <c r="T830" s="1"/>
    </row>
    <row r="831" spans="1:20" ht="33.75" hidden="1" customHeight="1">
      <c r="A831" s="1" t="s">
        <v>2485</v>
      </c>
      <c r="B831" s="1" t="s">
        <v>2335</v>
      </c>
      <c r="C831" s="4">
        <v>39868.840277777781</v>
      </c>
      <c r="D831" s="1" t="s">
        <v>54</v>
      </c>
      <c r="E831" s="1" t="s">
        <v>2477</v>
      </c>
      <c r="F831" s="2" t="s">
        <v>2486</v>
      </c>
      <c r="G831" s="1">
        <f ca="1">IFERROR(__xludf.DUMMYFUNCTION("COUNTA(SPLIT(F831,"" ""))"),166)</f>
        <v>166</v>
      </c>
      <c r="H831" s="1">
        <v>166</v>
      </c>
      <c r="I831" s="1"/>
      <c r="J831" s="1"/>
      <c r="K831" s="1"/>
      <c r="L831" s="1"/>
      <c r="M831" s="1"/>
      <c r="N831" s="1"/>
      <c r="O831" s="1"/>
      <c r="P831" s="1"/>
      <c r="Q831" s="1"/>
      <c r="R831" s="1"/>
      <c r="S831" s="1"/>
      <c r="T831" s="1"/>
    </row>
    <row r="832" spans="1:20" ht="33.75" hidden="1" customHeight="1">
      <c r="A832" s="1" t="s">
        <v>2487</v>
      </c>
      <c r="B832" s="1" t="s">
        <v>2335</v>
      </c>
      <c r="C832" s="4">
        <v>39868.852083333331</v>
      </c>
      <c r="D832" s="1" t="s">
        <v>2452</v>
      </c>
      <c r="E832" s="1">
        <v>800</v>
      </c>
      <c r="F832" s="2" t="s">
        <v>2488</v>
      </c>
      <c r="G832" s="1">
        <f ca="1">IFERROR(__xludf.DUMMYFUNCTION("COUNTA(SPLIT(F832,"" ""))"),46)</f>
        <v>46</v>
      </c>
      <c r="H832" s="1">
        <v>46</v>
      </c>
      <c r="I832" s="1"/>
      <c r="J832" s="1"/>
      <c r="K832" s="1"/>
      <c r="L832" s="1"/>
      <c r="M832" s="1"/>
      <c r="N832" s="1"/>
      <c r="O832" s="1"/>
      <c r="P832" s="1"/>
      <c r="Q832" s="1"/>
      <c r="R832" s="1"/>
      <c r="S832" s="1"/>
      <c r="T832" s="1"/>
    </row>
    <row r="833" spans="1:20" ht="33.75" customHeight="1">
      <c r="A833" s="1" t="s">
        <v>2441</v>
      </c>
      <c r="B833" s="1" t="s">
        <v>2335</v>
      </c>
      <c r="C833" s="4">
        <v>39869.107638888891</v>
      </c>
      <c r="D833" s="1" t="s">
        <v>54</v>
      </c>
      <c r="E833" s="1"/>
      <c r="F833" s="2" t="s">
        <v>2490</v>
      </c>
      <c r="G833" s="1">
        <f ca="1">IFERROR(__xludf.DUMMYFUNCTION("COUNTA(SPLIT(F833,"" ""))"),1211)</f>
        <v>1211</v>
      </c>
      <c r="H833" s="1">
        <v>1211</v>
      </c>
      <c r="I833" s="1"/>
      <c r="J833" s="1"/>
      <c r="K833" s="1"/>
      <c r="L833" s="1"/>
      <c r="M833" s="1"/>
      <c r="N833" s="1"/>
      <c r="O833" s="1"/>
      <c r="P833" s="1"/>
      <c r="Q833" s="1"/>
      <c r="R833" s="1"/>
      <c r="S833" s="1"/>
      <c r="T833" s="1"/>
    </row>
    <row r="834" spans="1:20" ht="33.75" hidden="1" customHeight="1">
      <c r="A834" s="1" t="s">
        <v>2491</v>
      </c>
      <c r="B834" s="1" t="s">
        <v>2335</v>
      </c>
      <c r="C834" s="4">
        <v>39869.203472222223</v>
      </c>
      <c r="D834" s="1" t="s">
        <v>2452</v>
      </c>
      <c r="E834" s="1" t="s">
        <v>2492</v>
      </c>
      <c r="F834" s="2" t="s">
        <v>2494</v>
      </c>
      <c r="G834" s="1">
        <f ca="1">IFERROR(__xludf.DUMMYFUNCTION("COUNTA(SPLIT(F834,"" ""))"),374)</f>
        <v>374</v>
      </c>
      <c r="H834" s="1">
        <v>374</v>
      </c>
      <c r="I834" s="1"/>
      <c r="J834" s="1"/>
      <c r="K834" s="1"/>
      <c r="L834" s="1"/>
      <c r="M834" s="1"/>
      <c r="N834" s="1"/>
      <c r="O834" s="1"/>
      <c r="P834" s="1"/>
      <c r="Q834" s="1"/>
      <c r="R834" s="1"/>
      <c r="S834" s="1"/>
      <c r="T834" s="1"/>
    </row>
    <row r="835" spans="1:20" ht="33.75" customHeight="1">
      <c r="A835" s="1" t="s">
        <v>2495</v>
      </c>
      <c r="B835" s="1" t="s">
        <v>1814</v>
      </c>
      <c r="C835" s="4">
        <v>39869.407638888886</v>
      </c>
      <c r="D835" s="1" t="s">
        <v>54</v>
      </c>
      <c r="E835" s="1"/>
      <c r="F835" s="2" t="s">
        <v>2496</v>
      </c>
      <c r="G835" s="1">
        <f ca="1">IFERROR(__xludf.DUMMYFUNCTION("COUNTA(SPLIT(F835,"" ""))"),198)</f>
        <v>198</v>
      </c>
      <c r="H835" s="1">
        <v>198</v>
      </c>
      <c r="I835" s="1"/>
      <c r="J835" s="1"/>
      <c r="K835" s="1"/>
      <c r="L835" s="1"/>
      <c r="M835" s="1"/>
      <c r="N835" s="1"/>
      <c r="O835" s="1"/>
      <c r="P835" s="1"/>
      <c r="Q835" s="1"/>
      <c r="R835" s="1"/>
      <c r="S835" s="1"/>
      <c r="T835" s="1"/>
    </row>
    <row r="836" spans="1:20" ht="33.75" hidden="1" customHeight="1">
      <c r="A836" s="1" t="s">
        <v>2497</v>
      </c>
      <c r="B836" s="1" t="s">
        <v>1814</v>
      </c>
      <c r="C836" s="4">
        <v>39869.409722222219</v>
      </c>
      <c r="D836" s="1" t="s">
        <v>84</v>
      </c>
      <c r="E836" s="1">
        <v>212</v>
      </c>
      <c r="F836" s="2" t="s">
        <v>2499</v>
      </c>
      <c r="G836" s="1">
        <f ca="1">IFERROR(__xludf.DUMMYFUNCTION("COUNTA(SPLIT(F836,"" ""))"),270)</f>
        <v>270</v>
      </c>
      <c r="H836" s="1">
        <v>270</v>
      </c>
      <c r="I836" s="1"/>
      <c r="J836" s="1"/>
      <c r="K836" s="1"/>
      <c r="L836" s="1"/>
      <c r="M836" s="1"/>
      <c r="N836" s="1"/>
      <c r="O836" s="1"/>
      <c r="P836" s="1"/>
      <c r="Q836" s="1"/>
      <c r="R836" s="1"/>
      <c r="S836" s="1"/>
      <c r="T836" s="1"/>
    </row>
    <row r="837" spans="1:20" ht="33.75" customHeight="1">
      <c r="A837" s="1" t="s">
        <v>2500</v>
      </c>
      <c r="B837" s="1" t="s">
        <v>1519</v>
      </c>
      <c r="C837" s="4">
        <v>39869.484027777777</v>
      </c>
      <c r="D837" s="1" t="s">
        <v>54</v>
      </c>
      <c r="E837" s="1"/>
      <c r="F837" s="2" t="s">
        <v>2502</v>
      </c>
      <c r="G837" s="1">
        <f ca="1">IFERROR(__xludf.DUMMYFUNCTION("COUNTA(SPLIT(F837,"" ""))"),44)</f>
        <v>44</v>
      </c>
      <c r="H837" s="1">
        <v>44</v>
      </c>
      <c r="I837" s="1"/>
      <c r="J837" s="1"/>
      <c r="K837" s="1"/>
      <c r="L837" s="1"/>
      <c r="M837" s="1"/>
      <c r="N837" s="1"/>
      <c r="O837" s="1"/>
      <c r="P837" s="1"/>
      <c r="Q837" s="1"/>
      <c r="R837" s="1"/>
      <c r="S837" s="1"/>
      <c r="T837" s="1"/>
    </row>
    <row r="838" spans="1:20" ht="33.75" customHeight="1">
      <c r="A838" s="1" t="s">
        <v>2503</v>
      </c>
      <c r="B838" s="1" t="s">
        <v>1814</v>
      </c>
      <c r="C838" s="4">
        <v>39869.607638888891</v>
      </c>
      <c r="D838" s="1" t="s">
        <v>772</v>
      </c>
      <c r="E838" s="1"/>
      <c r="F838" s="2" t="s">
        <v>2504</v>
      </c>
      <c r="G838" s="1">
        <f ca="1">IFERROR(__xludf.DUMMYFUNCTION("COUNTA(SPLIT(F838,"" ""))"),209)</f>
        <v>209</v>
      </c>
      <c r="H838" s="1">
        <v>209</v>
      </c>
      <c r="I838" s="1"/>
      <c r="J838" s="1"/>
      <c r="K838" s="1"/>
      <c r="L838" s="1"/>
      <c r="M838" s="1"/>
      <c r="N838" s="1"/>
      <c r="O838" s="1"/>
      <c r="P838" s="1"/>
      <c r="Q838" s="1"/>
      <c r="R838" s="1"/>
      <c r="S838" s="1"/>
      <c r="T838" s="1"/>
    </row>
    <row r="839" spans="1:20" ht="33.75" hidden="1" customHeight="1">
      <c r="A839" s="1" t="s">
        <v>2505</v>
      </c>
      <c r="B839" s="1" t="s">
        <v>1814</v>
      </c>
      <c r="C839" s="4">
        <v>39869.633333333331</v>
      </c>
      <c r="D839" s="1" t="s">
        <v>54</v>
      </c>
      <c r="E839" s="1" t="s">
        <v>2503</v>
      </c>
      <c r="F839" s="2" t="s">
        <v>2506</v>
      </c>
      <c r="G839" s="1">
        <f ca="1">IFERROR(__xludf.DUMMYFUNCTION("COUNTA(SPLIT(F839,"" ""))"),86)</f>
        <v>86</v>
      </c>
      <c r="H839" s="1">
        <v>86</v>
      </c>
      <c r="I839" s="1"/>
      <c r="J839" s="1"/>
      <c r="K839" s="1"/>
      <c r="L839" s="1"/>
      <c r="M839" s="1"/>
      <c r="N839" s="1"/>
      <c r="O839" s="1"/>
      <c r="P839" s="1"/>
      <c r="Q839" s="1"/>
      <c r="R839" s="1"/>
      <c r="S839" s="1"/>
      <c r="T839" s="1"/>
    </row>
    <row r="840" spans="1:20" ht="33.75" customHeight="1">
      <c r="A840" s="1" t="s">
        <v>2507</v>
      </c>
      <c r="B840" s="1" t="s">
        <v>2335</v>
      </c>
      <c r="C840" s="4">
        <v>39871.936111111114</v>
      </c>
      <c r="D840" s="1" t="s">
        <v>1528</v>
      </c>
      <c r="E840" s="1"/>
      <c r="F840" s="2" t="s">
        <v>2509</v>
      </c>
      <c r="G840" s="1">
        <f ca="1">IFERROR(__xludf.DUMMYFUNCTION("COUNTA(SPLIT(F840,"" ""))"),985)</f>
        <v>985</v>
      </c>
      <c r="H840" s="1">
        <v>985</v>
      </c>
      <c r="I840" s="1"/>
      <c r="J840" s="1"/>
      <c r="K840" s="1"/>
      <c r="L840" s="1"/>
      <c r="M840" s="1"/>
      <c r="N840" s="1"/>
      <c r="O840" s="1"/>
      <c r="P840" s="1"/>
      <c r="Q840" s="1"/>
      <c r="R840" s="1"/>
      <c r="S840" s="1"/>
      <c r="T840" s="1"/>
    </row>
    <row r="841" spans="1:20" ht="33.75" customHeight="1">
      <c r="A841" s="1" t="s">
        <v>2510</v>
      </c>
      <c r="B841" s="1" t="s">
        <v>2335</v>
      </c>
      <c r="C841" s="4">
        <v>39869.780555555553</v>
      </c>
      <c r="D841" s="1" t="s">
        <v>14</v>
      </c>
      <c r="E841" s="1"/>
      <c r="F841" s="2" t="s">
        <v>2511</v>
      </c>
      <c r="G841" s="1">
        <f ca="1">IFERROR(__xludf.DUMMYFUNCTION("COUNTA(SPLIT(F841,"" ""))"),326)</f>
        <v>326</v>
      </c>
      <c r="H841" s="1">
        <v>326</v>
      </c>
      <c r="I841" s="1"/>
      <c r="J841" s="1"/>
      <c r="K841" s="1"/>
      <c r="L841" s="1"/>
      <c r="M841" s="1"/>
      <c r="N841" s="1"/>
      <c r="O841" s="1"/>
      <c r="P841" s="1"/>
      <c r="Q841" s="1"/>
      <c r="R841" s="1"/>
      <c r="S841" s="1"/>
      <c r="T841" s="1"/>
    </row>
    <row r="842" spans="1:20" ht="33.75" customHeight="1">
      <c r="A842" s="1" t="s">
        <v>2512</v>
      </c>
      <c r="B842" s="1" t="s">
        <v>1814</v>
      </c>
      <c r="C842" s="4">
        <v>39869.789583333331</v>
      </c>
      <c r="D842" s="1" t="s">
        <v>1089</v>
      </c>
      <c r="E842" s="1"/>
      <c r="F842" s="2" t="s">
        <v>2513</v>
      </c>
      <c r="G842" s="1">
        <f ca="1">IFERROR(__xludf.DUMMYFUNCTION("COUNTA(SPLIT(F842,"" ""))"),24)</f>
        <v>24</v>
      </c>
      <c r="H842" s="1">
        <v>24</v>
      </c>
      <c r="I842" s="1"/>
      <c r="J842" s="1"/>
      <c r="K842" s="1"/>
      <c r="L842" s="1"/>
      <c r="M842" s="1"/>
      <c r="N842" s="1"/>
      <c r="O842" s="1"/>
      <c r="P842" s="1"/>
      <c r="Q842" s="1"/>
      <c r="R842" s="1"/>
      <c r="S842" s="1"/>
      <c r="T842" s="1"/>
    </row>
    <row r="843" spans="1:20" ht="33.75" hidden="1" customHeight="1">
      <c r="A843" s="1" t="s">
        <v>2514</v>
      </c>
      <c r="B843" s="1" t="s">
        <v>2335</v>
      </c>
      <c r="C843" s="4">
        <v>39869.859722222223</v>
      </c>
      <c r="D843" s="1" t="s">
        <v>54</v>
      </c>
      <c r="E843" s="1" t="s">
        <v>2515</v>
      </c>
      <c r="F843" s="2" t="s">
        <v>2516</v>
      </c>
      <c r="G843" s="1">
        <f ca="1">IFERROR(__xludf.DUMMYFUNCTION("COUNTA(SPLIT(F843,"" ""))"),36)</f>
        <v>36</v>
      </c>
      <c r="H843" s="1">
        <v>36</v>
      </c>
      <c r="I843" s="1"/>
      <c r="J843" s="1"/>
      <c r="K843" s="1"/>
      <c r="L843" s="1"/>
      <c r="M843" s="1"/>
      <c r="N843" s="1"/>
      <c r="O843" s="1"/>
      <c r="P843" s="1"/>
      <c r="Q843" s="1"/>
      <c r="R843" s="1"/>
      <c r="S843" s="1"/>
      <c r="T843" s="1"/>
    </row>
    <row r="844" spans="1:20" ht="33.75" hidden="1" customHeight="1">
      <c r="A844" s="1" t="s">
        <v>2517</v>
      </c>
      <c r="B844" s="1" t="s">
        <v>2335</v>
      </c>
      <c r="C844" s="4">
        <v>39869.868055555555</v>
      </c>
      <c r="D844" s="1" t="s">
        <v>54</v>
      </c>
      <c r="E844" s="1" t="s">
        <v>2441</v>
      </c>
      <c r="F844" s="2" t="s">
        <v>2518</v>
      </c>
      <c r="G844" s="1">
        <f ca="1">IFERROR(__xludf.DUMMYFUNCTION("COUNTA(SPLIT(F844,"" ""))"),490)</f>
        <v>490</v>
      </c>
      <c r="H844" s="1">
        <v>490</v>
      </c>
      <c r="I844" s="1"/>
      <c r="J844" s="1"/>
      <c r="K844" s="1"/>
      <c r="L844" s="1"/>
      <c r="M844" s="1"/>
      <c r="N844" s="1"/>
      <c r="O844" s="1"/>
      <c r="P844" s="1"/>
      <c r="Q844" s="1"/>
      <c r="R844" s="1"/>
      <c r="S844" s="1"/>
      <c r="T844" s="1"/>
    </row>
    <row r="845" spans="1:20" ht="33.75" hidden="1" customHeight="1">
      <c r="A845" s="1" t="s">
        <v>2519</v>
      </c>
      <c r="B845" s="1" t="s">
        <v>2335</v>
      </c>
      <c r="C845" s="4">
        <v>39869.92291666667</v>
      </c>
      <c r="D845" s="1" t="s">
        <v>2452</v>
      </c>
      <c r="E845" s="1" t="s">
        <v>2491</v>
      </c>
      <c r="F845" s="2" t="s">
        <v>2520</v>
      </c>
      <c r="G845" s="1">
        <f ca="1">IFERROR(__xludf.DUMMYFUNCTION("COUNTA(SPLIT(F845,"" ""))"),58)</f>
        <v>58</v>
      </c>
      <c r="H845" s="1">
        <v>58</v>
      </c>
      <c r="I845" s="1"/>
      <c r="J845" s="1"/>
      <c r="K845" s="1"/>
      <c r="L845" s="1"/>
      <c r="M845" s="1"/>
      <c r="N845" s="1"/>
      <c r="O845" s="1"/>
      <c r="P845" s="1"/>
      <c r="Q845" s="1"/>
      <c r="R845" s="1"/>
      <c r="S845" s="1"/>
      <c r="T845" s="1"/>
    </row>
    <row r="846" spans="1:20" ht="33.75" customHeight="1">
      <c r="A846" s="1" t="s">
        <v>2521</v>
      </c>
      <c r="B846" s="1" t="s">
        <v>2335</v>
      </c>
      <c r="C846" s="4">
        <v>39869.924305555556</v>
      </c>
      <c r="D846" s="1" t="s">
        <v>2452</v>
      </c>
      <c r="E846" s="1"/>
      <c r="F846" s="2" t="s">
        <v>2522</v>
      </c>
      <c r="G846" s="1">
        <f ca="1">IFERROR(__xludf.DUMMYFUNCTION("COUNTA(SPLIT(F846,"" ""))"),162)</f>
        <v>162</v>
      </c>
      <c r="H846" s="1">
        <v>162</v>
      </c>
      <c r="I846" s="1"/>
      <c r="J846" s="1"/>
      <c r="K846" s="1"/>
      <c r="L846" s="1"/>
      <c r="M846" s="1"/>
      <c r="N846" s="1"/>
      <c r="O846" s="1"/>
      <c r="P846" s="1"/>
      <c r="Q846" s="1"/>
      <c r="R846" s="1"/>
      <c r="S846" s="1"/>
      <c r="T846" s="1"/>
    </row>
    <row r="847" spans="1:20" ht="33.75" customHeight="1">
      <c r="A847" s="1" t="s">
        <v>2523</v>
      </c>
      <c r="B847" s="1" t="s">
        <v>2335</v>
      </c>
      <c r="C847" s="4">
        <v>39869.925000000003</v>
      </c>
      <c r="D847" s="1" t="s">
        <v>2452</v>
      </c>
      <c r="E847" s="1"/>
      <c r="F847" s="2" t="s">
        <v>2524</v>
      </c>
      <c r="G847" s="1">
        <f ca="1">IFERROR(__xludf.DUMMYFUNCTION("COUNTA(SPLIT(F847,"" ""))"),539)</f>
        <v>539</v>
      </c>
      <c r="H847" s="1">
        <v>539</v>
      </c>
      <c r="I847" s="1"/>
      <c r="J847" s="1"/>
      <c r="K847" s="1"/>
      <c r="L847" s="1"/>
      <c r="M847" s="1"/>
      <c r="N847" s="1"/>
      <c r="O847" s="1"/>
      <c r="P847" s="1"/>
      <c r="Q847" s="1"/>
      <c r="R847" s="1"/>
      <c r="S847" s="1"/>
      <c r="T847" s="1"/>
    </row>
    <row r="848" spans="1:20" ht="33.75" hidden="1" customHeight="1">
      <c r="A848" s="1" t="s">
        <v>2525</v>
      </c>
      <c r="B848" s="1" t="s">
        <v>2335</v>
      </c>
      <c r="C848" s="4">
        <v>39869.949999999997</v>
      </c>
      <c r="D848" s="1" t="s">
        <v>54</v>
      </c>
      <c r="E848" s="1" t="s">
        <v>2523</v>
      </c>
      <c r="F848" s="2" t="s">
        <v>2527</v>
      </c>
      <c r="G848" s="1">
        <f ca="1">IFERROR(__xludf.DUMMYFUNCTION("COUNTA(SPLIT(F848,"" ""))"),267)</f>
        <v>267</v>
      </c>
      <c r="H848" s="1">
        <v>267</v>
      </c>
      <c r="I848" s="1"/>
      <c r="J848" s="1"/>
      <c r="K848" s="1"/>
      <c r="L848" s="1"/>
      <c r="M848" s="1"/>
      <c r="N848" s="1"/>
      <c r="O848" s="1"/>
      <c r="P848" s="1"/>
      <c r="Q848" s="1"/>
      <c r="R848" s="1"/>
      <c r="S848" s="1"/>
      <c r="T848" s="1"/>
    </row>
    <row r="849" spans="1:20" ht="33.75" hidden="1" customHeight="1">
      <c r="A849" s="1" t="s">
        <v>2528</v>
      </c>
      <c r="B849" s="1" t="s">
        <v>2335</v>
      </c>
      <c r="C849" s="4">
        <v>39870.041666666664</v>
      </c>
      <c r="D849" s="1" t="s">
        <v>2452</v>
      </c>
      <c r="E849" s="1" t="s">
        <v>2523</v>
      </c>
      <c r="F849" s="2" t="s">
        <v>2529</v>
      </c>
      <c r="G849" s="1">
        <f ca="1">IFERROR(__xludf.DUMMYFUNCTION("COUNTA(SPLIT(F849,"" ""))"),31)</f>
        <v>31</v>
      </c>
      <c r="H849" s="1">
        <v>31</v>
      </c>
      <c r="I849" s="1"/>
      <c r="J849" s="1"/>
      <c r="K849" s="1"/>
      <c r="L849" s="1"/>
      <c r="M849" s="1"/>
      <c r="N849" s="1"/>
      <c r="O849" s="1"/>
      <c r="P849" s="1"/>
      <c r="Q849" s="1"/>
      <c r="R849" s="1"/>
      <c r="S849" s="1"/>
      <c r="T849" s="1"/>
    </row>
    <row r="850" spans="1:20" ht="33.75" hidden="1" customHeight="1">
      <c r="A850" s="1" t="s">
        <v>2530</v>
      </c>
      <c r="B850" s="1" t="s">
        <v>2335</v>
      </c>
      <c r="C850" s="4">
        <v>39870.043055555558</v>
      </c>
      <c r="D850" s="1" t="s">
        <v>2452</v>
      </c>
      <c r="E850" s="1" t="s">
        <v>2510</v>
      </c>
      <c r="F850" s="2" t="s">
        <v>2531</v>
      </c>
      <c r="G850" s="1">
        <f ca="1">IFERROR(__xludf.DUMMYFUNCTION("COUNTA(SPLIT(F850,"" ""))"),77)</f>
        <v>77</v>
      </c>
      <c r="H850" s="1">
        <v>77</v>
      </c>
      <c r="I850" s="1"/>
      <c r="J850" s="1"/>
      <c r="K850" s="1"/>
      <c r="L850" s="1"/>
      <c r="M850" s="1"/>
      <c r="N850" s="1"/>
      <c r="O850" s="1"/>
      <c r="P850" s="1"/>
      <c r="Q850" s="1"/>
      <c r="R850" s="1"/>
      <c r="S850" s="1"/>
      <c r="T850" s="1"/>
    </row>
    <row r="851" spans="1:20" ht="33.75" hidden="1" customHeight="1">
      <c r="A851" s="1" t="s">
        <v>2532</v>
      </c>
      <c r="B851" s="1" t="s">
        <v>1814</v>
      </c>
      <c r="C851" s="4">
        <v>39870.06527777778</v>
      </c>
      <c r="D851" s="1" t="s">
        <v>1089</v>
      </c>
      <c r="E851" s="1" t="s">
        <v>2533</v>
      </c>
      <c r="F851" s="2" t="s">
        <v>2535</v>
      </c>
      <c r="G851" s="1">
        <f ca="1">IFERROR(__xludf.DUMMYFUNCTION("COUNTA(SPLIT(F851,"" ""))"),45)</f>
        <v>45</v>
      </c>
      <c r="H851" s="1">
        <v>45</v>
      </c>
      <c r="I851" s="1"/>
      <c r="J851" s="1"/>
      <c r="K851" s="1"/>
      <c r="L851" s="1"/>
      <c r="M851" s="1"/>
      <c r="N851" s="1"/>
      <c r="O851" s="1"/>
      <c r="P851" s="1"/>
      <c r="Q851" s="1"/>
      <c r="R851" s="1"/>
      <c r="S851" s="1"/>
      <c r="T851" s="1"/>
    </row>
    <row r="852" spans="1:20" ht="33.75" hidden="1" customHeight="1">
      <c r="A852" s="1" t="s">
        <v>2536</v>
      </c>
      <c r="B852" s="1" t="s">
        <v>2335</v>
      </c>
      <c r="C852" s="4">
        <v>39870.287499999999</v>
      </c>
      <c r="D852" s="1" t="s">
        <v>320</v>
      </c>
      <c r="E852" s="1">
        <v>821</v>
      </c>
      <c r="F852" s="2" t="s">
        <v>2538</v>
      </c>
      <c r="G852" s="1">
        <f ca="1">IFERROR(__xludf.DUMMYFUNCTION("COUNTA(SPLIT(F852,"" ""))"),126)</f>
        <v>126</v>
      </c>
      <c r="H852" s="1">
        <v>126</v>
      </c>
      <c r="I852" s="1"/>
      <c r="J852" s="1"/>
      <c r="K852" s="1"/>
      <c r="L852" s="1"/>
      <c r="M852" s="1"/>
      <c r="N852" s="1"/>
      <c r="O852" s="1"/>
      <c r="P852" s="1"/>
      <c r="Q852" s="1"/>
      <c r="R852" s="1"/>
      <c r="S852" s="1"/>
      <c r="T852" s="1"/>
    </row>
    <row r="853" spans="1:20" ht="33.75" hidden="1" customHeight="1">
      <c r="A853" s="1" t="s">
        <v>2539</v>
      </c>
      <c r="B853" s="1" t="s">
        <v>1814</v>
      </c>
      <c r="C853" s="4">
        <v>39870.322916666664</v>
      </c>
      <c r="D853" s="1" t="s">
        <v>54</v>
      </c>
      <c r="E853" s="1" t="s">
        <v>2532</v>
      </c>
      <c r="F853" s="2" t="s">
        <v>2540</v>
      </c>
      <c r="G853" s="1">
        <f ca="1">IFERROR(__xludf.DUMMYFUNCTION("COUNTA(SPLIT(F853,"" ""))"),43)</f>
        <v>43</v>
      </c>
      <c r="H853" s="1">
        <v>43</v>
      </c>
      <c r="I853" s="1"/>
      <c r="J853" s="1"/>
      <c r="K853" s="1"/>
      <c r="L853" s="1"/>
      <c r="M853" s="1"/>
      <c r="N853" s="1"/>
      <c r="O853" s="1"/>
      <c r="P853" s="1"/>
      <c r="Q853" s="1"/>
      <c r="R853" s="1"/>
      <c r="S853" s="1"/>
      <c r="T853" s="1"/>
    </row>
    <row r="854" spans="1:20" ht="33.75" hidden="1" customHeight="1">
      <c r="A854" s="1" t="s">
        <v>2541</v>
      </c>
      <c r="B854" s="1" t="s">
        <v>2335</v>
      </c>
      <c r="C854" s="4">
        <v>39870.426388888889</v>
      </c>
      <c r="D854" s="1" t="s">
        <v>14</v>
      </c>
      <c r="E854" s="1" t="s">
        <v>2510</v>
      </c>
      <c r="F854" s="2" t="s">
        <v>2542</v>
      </c>
      <c r="G854" s="1">
        <f ca="1">IFERROR(__xludf.DUMMYFUNCTION("COUNTA(SPLIT(F854,"" ""))"),67)</f>
        <v>67</v>
      </c>
      <c r="H854" s="1">
        <v>67</v>
      </c>
      <c r="I854" s="1"/>
      <c r="J854" s="1"/>
      <c r="K854" s="1"/>
      <c r="L854" s="1"/>
      <c r="M854" s="1"/>
      <c r="N854" s="1"/>
      <c r="O854" s="1"/>
      <c r="P854" s="1"/>
      <c r="Q854" s="1"/>
      <c r="R854" s="1"/>
      <c r="S854" s="1"/>
      <c r="T854" s="1"/>
    </row>
    <row r="855" spans="1:20" ht="33.75" customHeight="1">
      <c r="A855" s="1" t="s">
        <v>2543</v>
      </c>
      <c r="B855" s="1" t="s">
        <v>2335</v>
      </c>
      <c r="C855" s="4">
        <v>39870.491666666669</v>
      </c>
      <c r="D855" s="1" t="s">
        <v>14</v>
      </c>
      <c r="E855" s="1"/>
      <c r="F855" s="2" t="s">
        <v>2545</v>
      </c>
      <c r="G855" s="1">
        <f ca="1">IFERROR(__xludf.DUMMYFUNCTION("COUNTA(SPLIT(F855,"" ""))"),459)</f>
        <v>459</v>
      </c>
      <c r="H855" s="1">
        <v>459</v>
      </c>
      <c r="I855" s="1"/>
      <c r="J855" s="1"/>
      <c r="K855" s="1"/>
      <c r="L855" s="1"/>
      <c r="M855" s="1"/>
      <c r="N855" s="1"/>
      <c r="O855" s="1"/>
      <c r="P855" s="1"/>
      <c r="Q855" s="1"/>
      <c r="R855" s="1"/>
      <c r="S855" s="1"/>
      <c r="T855" s="1"/>
    </row>
    <row r="856" spans="1:20" ht="33.75" customHeight="1">
      <c r="A856" s="1" t="s">
        <v>2546</v>
      </c>
      <c r="B856" s="1" t="s">
        <v>1814</v>
      </c>
      <c r="C856" s="4">
        <v>39870.604166666664</v>
      </c>
      <c r="D856" s="1" t="s">
        <v>54</v>
      </c>
      <c r="E856" s="1"/>
      <c r="F856" s="2" t="s">
        <v>2547</v>
      </c>
      <c r="G856" s="1">
        <f ca="1">IFERROR(__xludf.DUMMYFUNCTION("COUNTA(SPLIT(F856,"" ""))"),530)</f>
        <v>530</v>
      </c>
      <c r="H856" s="1">
        <v>530</v>
      </c>
      <c r="I856" s="1"/>
      <c r="J856" s="1"/>
      <c r="K856" s="1"/>
      <c r="L856" s="1"/>
      <c r="M856" s="1"/>
      <c r="N856" s="1"/>
      <c r="O856" s="1"/>
      <c r="P856" s="1"/>
      <c r="Q856" s="1"/>
      <c r="R856" s="1"/>
      <c r="S856" s="1"/>
      <c r="T856" s="1"/>
    </row>
    <row r="857" spans="1:20" ht="33.75" customHeight="1">
      <c r="A857" s="1" t="s">
        <v>2548</v>
      </c>
      <c r="B857" s="1" t="s">
        <v>2335</v>
      </c>
      <c r="C857" s="4">
        <v>39870.730555555558</v>
      </c>
      <c r="D857" s="1" t="s">
        <v>14</v>
      </c>
      <c r="E857" s="1"/>
      <c r="F857" s="2" t="s">
        <v>2549</v>
      </c>
      <c r="G857" s="1">
        <f ca="1">IFERROR(__xludf.DUMMYFUNCTION("COUNTA(SPLIT(F857,"" ""))"),142)</f>
        <v>142</v>
      </c>
      <c r="H857" s="1">
        <v>142</v>
      </c>
      <c r="I857" s="1"/>
      <c r="J857" s="1"/>
      <c r="K857" s="1"/>
      <c r="L857" s="1"/>
      <c r="M857" s="1"/>
      <c r="N857" s="1"/>
      <c r="O857" s="1"/>
      <c r="P857" s="1"/>
      <c r="Q857" s="1"/>
      <c r="R857" s="1"/>
      <c r="S857" s="1"/>
      <c r="T857" s="1"/>
    </row>
    <row r="858" spans="1:20" ht="33.75" hidden="1" customHeight="1">
      <c r="A858" s="1" t="s">
        <v>2550</v>
      </c>
      <c r="B858" s="1" t="s">
        <v>2335</v>
      </c>
      <c r="C858" s="4">
        <v>39870.788888888892</v>
      </c>
      <c r="D858" s="1" t="s">
        <v>320</v>
      </c>
      <c r="E858" s="1" t="s">
        <v>2536</v>
      </c>
      <c r="F858" s="2" t="s">
        <v>2551</v>
      </c>
      <c r="G858" s="1">
        <f ca="1">IFERROR(__xludf.DUMMYFUNCTION("COUNTA(SPLIT(F858,"" ""))"),16)</f>
        <v>16</v>
      </c>
      <c r="H858" s="1">
        <v>16</v>
      </c>
      <c r="I858" s="1"/>
      <c r="J858" s="1"/>
      <c r="K858" s="1"/>
      <c r="L858" s="1"/>
      <c r="M858" s="1"/>
      <c r="N858" s="1"/>
      <c r="O858" s="1"/>
      <c r="P858" s="1"/>
      <c r="Q858" s="1"/>
      <c r="R858" s="1"/>
      <c r="S858" s="1"/>
      <c r="T858" s="1"/>
    </row>
    <row r="859" spans="1:20" ht="33.75" customHeight="1">
      <c r="A859" s="1" t="s">
        <v>2552</v>
      </c>
      <c r="B859" s="1" t="s">
        <v>2335</v>
      </c>
      <c r="C859" s="4">
        <v>39871.03125</v>
      </c>
      <c r="D859" s="1" t="s">
        <v>54</v>
      </c>
      <c r="E859" s="1"/>
      <c r="F859" s="2" t="s">
        <v>2553</v>
      </c>
      <c r="G859" s="1">
        <f ca="1">IFERROR(__xludf.DUMMYFUNCTION("COUNTA(SPLIT(F859,"" ""))"),318)</f>
        <v>318</v>
      </c>
      <c r="H859" s="1">
        <v>318</v>
      </c>
      <c r="I859" s="1"/>
      <c r="J859" s="1"/>
      <c r="K859" s="1"/>
      <c r="L859" s="1"/>
      <c r="M859" s="1"/>
      <c r="N859" s="1"/>
      <c r="O859" s="1"/>
      <c r="P859" s="1"/>
      <c r="Q859" s="1"/>
      <c r="R859" s="1"/>
      <c r="S859" s="1"/>
      <c r="T859" s="1"/>
    </row>
    <row r="860" spans="1:20" ht="33.75" customHeight="1">
      <c r="A860" s="1" t="s">
        <v>2554</v>
      </c>
      <c r="B860" s="1" t="s">
        <v>2335</v>
      </c>
      <c r="C860" s="4">
        <v>39871.031944444447</v>
      </c>
      <c r="D860" s="1" t="s">
        <v>54</v>
      </c>
      <c r="E860" s="1"/>
      <c r="F860" s="2" t="s">
        <v>2555</v>
      </c>
      <c r="G860" s="1">
        <f ca="1">IFERROR(__xludf.DUMMYFUNCTION("COUNTA(SPLIT(F860,"" ""))"),39)</f>
        <v>39</v>
      </c>
      <c r="H860" s="1">
        <v>39</v>
      </c>
      <c r="I860" s="1"/>
      <c r="J860" s="1"/>
      <c r="K860" s="1"/>
      <c r="L860" s="1"/>
      <c r="M860" s="1"/>
      <c r="N860" s="1"/>
      <c r="O860" s="1"/>
      <c r="P860" s="1"/>
      <c r="Q860" s="1"/>
      <c r="R860" s="1"/>
      <c r="S860" s="1"/>
      <c r="T860" s="1"/>
    </row>
    <row r="861" spans="1:20" ht="33.75" hidden="1" customHeight="1">
      <c r="A861" s="1" t="s">
        <v>2556</v>
      </c>
      <c r="B861" s="1" t="s">
        <v>2335</v>
      </c>
      <c r="C861" s="4">
        <v>39871.050000000003</v>
      </c>
      <c r="D861" s="1" t="s">
        <v>14</v>
      </c>
      <c r="E861" s="1" t="s">
        <v>2548</v>
      </c>
      <c r="F861" s="2" t="s">
        <v>2557</v>
      </c>
      <c r="G861" s="1">
        <f ca="1">IFERROR(__xludf.DUMMYFUNCTION("COUNTA(SPLIT(F861,"" ""))"),53)</f>
        <v>53</v>
      </c>
      <c r="H861" s="1">
        <v>53</v>
      </c>
      <c r="I861" s="1"/>
      <c r="J861" s="1"/>
      <c r="K861" s="1"/>
      <c r="L861" s="1"/>
      <c r="M861" s="1"/>
      <c r="N861" s="1"/>
      <c r="O861" s="1"/>
      <c r="P861" s="1"/>
      <c r="Q861" s="1"/>
      <c r="R861" s="1"/>
      <c r="S861" s="1"/>
      <c r="T861" s="1"/>
    </row>
    <row r="862" spans="1:20" ht="33.75" customHeight="1">
      <c r="A862" s="1" t="s">
        <v>2558</v>
      </c>
      <c r="B862" s="1" t="s">
        <v>1814</v>
      </c>
      <c r="C862" s="4">
        <v>39871.332638888889</v>
      </c>
      <c r="D862" s="1" t="s">
        <v>381</v>
      </c>
      <c r="E862" s="1"/>
      <c r="F862" s="2" t="s">
        <v>2560</v>
      </c>
      <c r="G862" s="1">
        <f ca="1">IFERROR(__xludf.DUMMYFUNCTION("COUNTA(SPLIT(F862,"" ""))"),143)</f>
        <v>143</v>
      </c>
      <c r="H862" s="1">
        <v>143</v>
      </c>
      <c r="I862" s="1"/>
      <c r="J862" s="1"/>
      <c r="K862" s="1"/>
      <c r="L862" s="1"/>
      <c r="M862" s="1"/>
      <c r="N862" s="1"/>
      <c r="O862" s="1"/>
      <c r="P862" s="1"/>
      <c r="Q862" s="1"/>
      <c r="R862" s="1"/>
      <c r="S862" s="1"/>
      <c r="T862" s="1"/>
    </row>
    <row r="863" spans="1:20" ht="33.75" hidden="1" customHeight="1">
      <c r="A863" s="1" t="s">
        <v>2561</v>
      </c>
      <c r="B863" s="1" t="s">
        <v>2335</v>
      </c>
      <c r="C863" s="4">
        <v>39871.572222222225</v>
      </c>
      <c r="D863" s="1" t="s">
        <v>14</v>
      </c>
      <c r="E863" s="1" t="s">
        <v>2548</v>
      </c>
      <c r="F863" s="2" t="s">
        <v>2563</v>
      </c>
      <c r="G863" s="1">
        <f ca="1">IFERROR(__xludf.DUMMYFUNCTION("COUNTA(SPLIT(F863,"" ""))"),536)</f>
        <v>536</v>
      </c>
      <c r="H863" s="1">
        <v>536</v>
      </c>
      <c r="I863" s="1"/>
      <c r="J863" s="1"/>
      <c r="K863" s="1"/>
      <c r="L863" s="1"/>
      <c r="M863" s="1"/>
      <c r="N863" s="1"/>
      <c r="O863" s="1"/>
      <c r="P863" s="1"/>
      <c r="Q863" s="1"/>
      <c r="R863" s="1"/>
      <c r="S863" s="1"/>
      <c r="T863" s="1"/>
    </row>
    <row r="864" spans="1:20" ht="33.75" customHeight="1">
      <c r="A864" s="1" t="s">
        <v>2564</v>
      </c>
      <c r="B864" s="1" t="s">
        <v>1814</v>
      </c>
      <c r="C864" s="4">
        <v>39871.579861111109</v>
      </c>
      <c r="D864" s="1" t="s">
        <v>772</v>
      </c>
      <c r="E864" s="1"/>
      <c r="F864" s="2" t="s">
        <v>2565</v>
      </c>
      <c r="G864" s="1">
        <f ca="1">IFERROR(__xludf.DUMMYFUNCTION("COUNTA(SPLIT(F864,"" ""))"),435)</f>
        <v>435</v>
      </c>
      <c r="H864" s="1">
        <v>435</v>
      </c>
      <c r="I864" s="1"/>
      <c r="J864" s="1"/>
      <c r="K864" s="1"/>
      <c r="L864" s="1"/>
      <c r="M864" s="1"/>
      <c r="N864" s="1"/>
      <c r="O864" s="1"/>
      <c r="P864" s="1"/>
      <c r="Q864" s="1"/>
      <c r="R864" s="1"/>
      <c r="S864" s="1"/>
      <c r="T864" s="1"/>
    </row>
    <row r="865" spans="1:20" ht="33.75" hidden="1" customHeight="1">
      <c r="A865" s="1" t="s">
        <v>2566</v>
      </c>
      <c r="B865" s="1" t="s">
        <v>2335</v>
      </c>
      <c r="C865" s="4">
        <v>39871.68472222222</v>
      </c>
      <c r="D865" s="1" t="s">
        <v>320</v>
      </c>
      <c r="E865" s="1" t="s">
        <v>2561</v>
      </c>
      <c r="F865" s="2" t="s">
        <v>2568</v>
      </c>
      <c r="G865" s="1">
        <f ca="1">IFERROR(__xludf.DUMMYFUNCTION("COUNTA(SPLIT(F865,"" ""))"),10)</f>
        <v>10</v>
      </c>
      <c r="H865" s="1">
        <v>10</v>
      </c>
      <c r="I865" s="1"/>
      <c r="J865" s="1"/>
      <c r="K865" s="1"/>
      <c r="L865" s="1"/>
      <c r="M865" s="1"/>
      <c r="N865" s="1"/>
      <c r="O865" s="1"/>
      <c r="P865" s="1"/>
      <c r="Q865" s="1"/>
      <c r="R865" s="1"/>
      <c r="S865" s="1"/>
      <c r="T865" s="1"/>
    </row>
    <row r="866" spans="1:20" ht="33.75" hidden="1" customHeight="1">
      <c r="A866" s="1" t="s">
        <v>2569</v>
      </c>
      <c r="B866" s="1" t="s">
        <v>2335</v>
      </c>
      <c r="C866" s="4">
        <v>39871.701388888891</v>
      </c>
      <c r="D866" s="1" t="s">
        <v>14</v>
      </c>
      <c r="E866" s="1" t="s">
        <v>2561</v>
      </c>
      <c r="F866" s="2" t="s">
        <v>2570</v>
      </c>
      <c r="G866" s="1">
        <f ca="1">IFERROR(__xludf.DUMMYFUNCTION("COUNTA(SPLIT(F866,"" ""))"),51)</f>
        <v>51</v>
      </c>
      <c r="H866" s="1">
        <v>51</v>
      </c>
      <c r="I866" s="1"/>
      <c r="J866" s="1"/>
      <c r="K866" s="1"/>
      <c r="L866" s="1"/>
      <c r="M866" s="1"/>
      <c r="N866" s="1"/>
      <c r="O866" s="1"/>
      <c r="P866" s="1"/>
      <c r="Q866" s="1"/>
      <c r="R866" s="1"/>
      <c r="S866" s="1"/>
      <c r="T866" s="1"/>
    </row>
    <row r="867" spans="1:20" ht="33.75" hidden="1" customHeight="1">
      <c r="A867" s="1" t="s">
        <v>2571</v>
      </c>
      <c r="B867" s="1" t="s">
        <v>2335</v>
      </c>
      <c r="C867" s="4">
        <v>39871.728472222225</v>
      </c>
      <c r="D867" s="1" t="s">
        <v>54</v>
      </c>
      <c r="E867" s="1" t="s">
        <v>2561</v>
      </c>
      <c r="F867" s="2" t="s">
        <v>2573</v>
      </c>
      <c r="G867" s="1">
        <f ca="1">IFERROR(__xludf.DUMMYFUNCTION("COUNTA(SPLIT(F867,"" ""))"),61)</f>
        <v>61</v>
      </c>
      <c r="H867" s="1">
        <v>61</v>
      </c>
      <c r="I867" s="1"/>
      <c r="J867" s="1"/>
      <c r="K867" s="1"/>
      <c r="L867" s="1"/>
      <c r="M867" s="1"/>
      <c r="N867" s="1"/>
      <c r="O867" s="1"/>
      <c r="P867" s="1"/>
      <c r="Q867" s="1"/>
      <c r="R867" s="1"/>
      <c r="S867" s="1"/>
      <c r="T867" s="1"/>
    </row>
    <row r="868" spans="1:20" ht="33.75" hidden="1" customHeight="1">
      <c r="A868" s="1" t="s">
        <v>2574</v>
      </c>
      <c r="B868" s="1" t="s">
        <v>2335</v>
      </c>
      <c r="C868" s="4">
        <v>39871.731249999997</v>
      </c>
      <c r="D868" s="1" t="s">
        <v>54</v>
      </c>
      <c r="E868" s="1" t="s">
        <v>2561</v>
      </c>
      <c r="F868" s="2" t="s">
        <v>2575</v>
      </c>
      <c r="G868" s="1">
        <f ca="1">IFERROR(__xludf.DUMMYFUNCTION("COUNTA(SPLIT(F868,"" ""))"),186)</f>
        <v>186</v>
      </c>
      <c r="H868" s="1">
        <v>186</v>
      </c>
      <c r="I868" s="1"/>
      <c r="J868" s="1"/>
      <c r="K868" s="1"/>
      <c r="L868" s="1"/>
      <c r="M868" s="1"/>
      <c r="N868" s="1"/>
      <c r="O868" s="1"/>
      <c r="P868" s="1"/>
      <c r="Q868" s="1"/>
      <c r="R868" s="1"/>
      <c r="S868" s="1"/>
      <c r="T868" s="1"/>
    </row>
    <row r="869" spans="1:20" ht="33.75" hidden="1" customHeight="1">
      <c r="A869" s="1" t="s">
        <v>2576</v>
      </c>
      <c r="B869" s="1" t="s">
        <v>2335</v>
      </c>
      <c r="C869" s="4">
        <v>39871.744444444441</v>
      </c>
      <c r="D869" s="1" t="s">
        <v>320</v>
      </c>
      <c r="E869" s="1" t="s">
        <v>2561</v>
      </c>
      <c r="F869" s="2" t="s">
        <v>2577</v>
      </c>
      <c r="G869" s="1">
        <f ca="1">IFERROR(__xludf.DUMMYFUNCTION("COUNTA(SPLIT(F869,"" ""))"),63)</f>
        <v>63</v>
      </c>
      <c r="H869" s="1">
        <v>63</v>
      </c>
      <c r="I869" s="1"/>
      <c r="J869" s="1"/>
      <c r="K869" s="1"/>
      <c r="L869" s="1"/>
      <c r="M869" s="1"/>
      <c r="N869" s="1"/>
      <c r="O869" s="1"/>
      <c r="P869" s="1"/>
      <c r="Q869" s="1"/>
      <c r="R869" s="1"/>
      <c r="S869" s="1"/>
      <c r="T869" s="1"/>
    </row>
    <row r="870" spans="1:20" ht="33.75" customHeight="1">
      <c r="A870" s="1" t="s">
        <v>2578</v>
      </c>
      <c r="B870" s="1" t="s">
        <v>2335</v>
      </c>
      <c r="C870" s="4">
        <v>39871.775694444441</v>
      </c>
      <c r="D870" s="1" t="s">
        <v>14</v>
      </c>
      <c r="E870" s="1"/>
      <c r="F870" s="2" t="s">
        <v>2580</v>
      </c>
      <c r="G870" s="1">
        <f ca="1">IFERROR(__xludf.DUMMYFUNCTION("COUNTA(SPLIT(F870,"" ""))"),733)</f>
        <v>733</v>
      </c>
      <c r="H870" s="1">
        <v>733</v>
      </c>
      <c r="I870" s="1"/>
      <c r="J870" s="1"/>
      <c r="K870" s="1"/>
      <c r="L870" s="1"/>
      <c r="M870" s="1"/>
      <c r="N870" s="1"/>
      <c r="O870" s="1"/>
      <c r="P870" s="1"/>
      <c r="Q870" s="1"/>
      <c r="R870" s="1"/>
      <c r="S870" s="1"/>
      <c r="T870" s="1"/>
    </row>
    <row r="871" spans="1:20" ht="33.75" hidden="1" customHeight="1">
      <c r="A871" s="1" t="s">
        <v>2581</v>
      </c>
      <c r="B871" s="1" t="s">
        <v>2335</v>
      </c>
      <c r="C871" s="4">
        <v>39871.826388888891</v>
      </c>
      <c r="D871" s="1" t="s">
        <v>320</v>
      </c>
      <c r="E871" s="1" t="s">
        <v>2561</v>
      </c>
      <c r="F871" s="2" t="s">
        <v>2582</v>
      </c>
      <c r="G871" s="1">
        <f ca="1">IFERROR(__xludf.DUMMYFUNCTION("COUNTA(SPLIT(F871,"" ""))"),65)</f>
        <v>65</v>
      </c>
      <c r="H871" s="1">
        <v>65</v>
      </c>
      <c r="I871" s="1"/>
      <c r="J871" s="1"/>
      <c r="K871" s="1"/>
      <c r="L871" s="1"/>
      <c r="M871" s="1"/>
      <c r="N871" s="1"/>
      <c r="O871" s="1"/>
      <c r="P871" s="1"/>
      <c r="Q871" s="1"/>
      <c r="R871" s="1"/>
      <c r="S871" s="1"/>
      <c r="T871" s="1"/>
    </row>
    <row r="872" spans="1:20" ht="33.75" hidden="1" customHeight="1">
      <c r="A872" s="1" t="s">
        <v>2583</v>
      </c>
      <c r="B872" s="1" t="s">
        <v>2335</v>
      </c>
      <c r="C872" s="4">
        <v>39871.843055555553</v>
      </c>
      <c r="D872" s="1" t="s">
        <v>14</v>
      </c>
      <c r="E872" s="1" t="s">
        <v>2581</v>
      </c>
      <c r="F872" s="2" t="s">
        <v>2585</v>
      </c>
      <c r="G872" s="1">
        <f ca="1">IFERROR(__xludf.DUMMYFUNCTION("COUNTA(SPLIT(F872,"" ""))"),70)</f>
        <v>70</v>
      </c>
      <c r="H872" s="1">
        <v>70</v>
      </c>
      <c r="I872" s="1"/>
      <c r="J872" s="1"/>
      <c r="K872" s="1"/>
      <c r="L872" s="1"/>
      <c r="M872" s="1"/>
      <c r="N872" s="1"/>
      <c r="O872" s="1"/>
      <c r="P872" s="1"/>
      <c r="Q872" s="1"/>
      <c r="R872" s="1"/>
      <c r="S872" s="1"/>
      <c r="T872" s="1"/>
    </row>
    <row r="873" spans="1:20" ht="33.75" hidden="1" customHeight="1">
      <c r="A873" s="1" t="s">
        <v>2586</v>
      </c>
      <c r="B873" s="1" t="s">
        <v>1814</v>
      </c>
      <c r="C873" s="4">
        <v>39871.867361111108</v>
      </c>
      <c r="D873" s="1" t="s">
        <v>54</v>
      </c>
      <c r="E873" s="1" t="s">
        <v>2587</v>
      </c>
      <c r="F873" s="2" t="s">
        <v>2588</v>
      </c>
      <c r="G873" s="1">
        <f ca="1">IFERROR(__xludf.DUMMYFUNCTION("COUNTA(SPLIT(F873,"" ""))"),45)</f>
        <v>45</v>
      </c>
      <c r="H873" s="1">
        <v>45</v>
      </c>
      <c r="I873" s="1"/>
      <c r="J873" s="1"/>
      <c r="K873" s="1"/>
      <c r="L873" s="1"/>
      <c r="M873" s="1"/>
      <c r="N873" s="1"/>
      <c r="O873" s="1"/>
      <c r="P873" s="1"/>
      <c r="Q873" s="1"/>
      <c r="R873" s="1"/>
      <c r="S873" s="1"/>
      <c r="T873" s="1"/>
    </row>
    <row r="874" spans="1:20" ht="33.75" hidden="1" customHeight="1">
      <c r="A874" s="1" t="s">
        <v>2589</v>
      </c>
      <c r="B874" s="1" t="s">
        <v>2335</v>
      </c>
      <c r="C874" s="4">
        <v>39871.962500000001</v>
      </c>
      <c r="D874" s="1" t="s">
        <v>1528</v>
      </c>
      <c r="E874" s="1" t="s">
        <v>2507</v>
      </c>
      <c r="F874" s="2" t="s">
        <v>2591</v>
      </c>
      <c r="G874" s="1">
        <f ca="1">IFERROR(__xludf.DUMMYFUNCTION("COUNTA(SPLIT(F874,"" ""))"),81)</f>
        <v>81</v>
      </c>
      <c r="H874" s="1">
        <v>81</v>
      </c>
      <c r="I874" s="1"/>
      <c r="J874" s="1"/>
      <c r="K874" s="1"/>
      <c r="L874" s="1"/>
      <c r="M874" s="1"/>
      <c r="N874" s="1"/>
      <c r="O874" s="1"/>
      <c r="P874" s="1"/>
      <c r="Q874" s="1"/>
      <c r="R874" s="1"/>
      <c r="S874" s="1"/>
      <c r="T874" s="1"/>
    </row>
    <row r="875" spans="1:20" ht="33.75" hidden="1" customHeight="1">
      <c r="A875" s="1" t="s">
        <v>2592</v>
      </c>
      <c r="B875" s="1" t="s">
        <v>2335</v>
      </c>
      <c r="C875" s="4">
        <v>39871.941666666666</v>
      </c>
      <c r="D875" s="1" t="s">
        <v>320</v>
      </c>
      <c r="E875" s="1">
        <v>830</v>
      </c>
      <c r="F875" s="2" t="s">
        <v>2593</v>
      </c>
      <c r="G875" s="1">
        <f ca="1">IFERROR(__xludf.DUMMYFUNCTION("COUNTA(SPLIT(F875,"" ""))"),300)</f>
        <v>300</v>
      </c>
      <c r="H875" s="1">
        <v>300</v>
      </c>
      <c r="I875" s="1"/>
      <c r="J875" s="1"/>
      <c r="K875" s="1"/>
      <c r="L875" s="1"/>
      <c r="M875" s="1"/>
      <c r="N875" s="1"/>
      <c r="O875" s="1"/>
      <c r="P875" s="1"/>
      <c r="Q875" s="1"/>
      <c r="R875" s="1"/>
      <c r="S875" s="1"/>
      <c r="T875" s="1"/>
    </row>
    <row r="876" spans="1:20" ht="33.75" hidden="1" customHeight="1">
      <c r="A876" s="1" t="s">
        <v>2594</v>
      </c>
      <c r="B876" s="1" t="s">
        <v>2335</v>
      </c>
      <c r="C876" s="4">
        <v>39871.954861111109</v>
      </c>
      <c r="D876" s="1" t="s">
        <v>54</v>
      </c>
      <c r="E876" s="1" t="s">
        <v>2595</v>
      </c>
      <c r="F876" s="2" t="s">
        <v>2597</v>
      </c>
      <c r="G876" s="1">
        <f ca="1">IFERROR(__xludf.DUMMYFUNCTION("COUNTA(SPLIT(F876,"" ""))"),273)</f>
        <v>273</v>
      </c>
      <c r="H876" s="1">
        <v>273</v>
      </c>
      <c r="I876" s="1"/>
      <c r="J876" s="1"/>
      <c r="K876" s="1"/>
      <c r="L876" s="1"/>
      <c r="M876" s="1"/>
      <c r="N876" s="1"/>
      <c r="O876" s="1"/>
      <c r="P876" s="1"/>
      <c r="Q876" s="1"/>
      <c r="R876" s="1"/>
      <c r="S876" s="1"/>
      <c r="T876" s="1"/>
    </row>
    <row r="877" spans="1:20" ht="33.75" customHeight="1">
      <c r="A877" s="1" t="s">
        <v>2598</v>
      </c>
      <c r="B877" s="1" t="s">
        <v>2335</v>
      </c>
      <c r="C877" s="4">
        <v>39871.957638888889</v>
      </c>
      <c r="D877" s="1" t="s">
        <v>54</v>
      </c>
      <c r="E877" s="1"/>
      <c r="F877" s="2" t="s">
        <v>2599</v>
      </c>
      <c r="G877" s="1">
        <f ca="1">IFERROR(__xludf.DUMMYFUNCTION("COUNTA(SPLIT(F877,"" ""))"),63)</f>
        <v>63</v>
      </c>
      <c r="H877" s="1">
        <v>63</v>
      </c>
      <c r="I877" s="1"/>
      <c r="J877" s="1"/>
      <c r="K877" s="1"/>
      <c r="L877" s="1"/>
      <c r="M877" s="1"/>
      <c r="N877" s="1"/>
      <c r="O877" s="1"/>
      <c r="P877" s="1"/>
      <c r="Q877" s="1"/>
      <c r="R877" s="1"/>
      <c r="S877" s="1"/>
      <c r="T877" s="1"/>
    </row>
    <row r="878" spans="1:20" ht="33.75" customHeight="1">
      <c r="A878" s="1" t="s">
        <v>2600</v>
      </c>
      <c r="B878" s="1" t="s">
        <v>2335</v>
      </c>
      <c r="C878" s="4">
        <v>39871.962500000001</v>
      </c>
      <c r="D878" s="1" t="s">
        <v>84</v>
      </c>
      <c r="E878" s="1"/>
      <c r="F878" s="2" t="s">
        <v>2601</v>
      </c>
      <c r="G878" s="1">
        <f ca="1">IFERROR(__xludf.DUMMYFUNCTION("COUNTA(SPLIT(F878,"" ""))"),41)</f>
        <v>41</v>
      </c>
      <c r="H878" s="1">
        <v>41</v>
      </c>
      <c r="I878" s="1"/>
      <c r="J878" s="1"/>
      <c r="K878" s="1"/>
      <c r="L878" s="1"/>
      <c r="M878" s="1"/>
      <c r="N878" s="1"/>
      <c r="O878" s="1"/>
      <c r="P878" s="1"/>
      <c r="Q878" s="1"/>
      <c r="R878" s="1"/>
      <c r="S878" s="1"/>
      <c r="T878" s="1"/>
    </row>
    <row r="879" spans="1:20" ht="33.75" hidden="1" customHeight="1">
      <c r="A879" s="1" t="s">
        <v>2602</v>
      </c>
      <c r="B879" s="1" t="s">
        <v>2335</v>
      </c>
      <c r="C879" s="4">
        <v>39872.724999999999</v>
      </c>
      <c r="D879" s="1" t="s">
        <v>1528</v>
      </c>
      <c r="E879" s="1" t="s">
        <v>2603</v>
      </c>
      <c r="F879" s="2" t="s">
        <v>2604</v>
      </c>
      <c r="G879" s="1">
        <f ca="1">IFERROR(__xludf.DUMMYFUNCTION("COUNTA(SPLIT(F879,"" ""))"),186)</f>
        <v>186</v>
      </c>
      <c r="H879" s="1">
        <v>186</v>
      </c>
      <c r="I879" s="1"/>
      <c r="J879" s="1"/>
      <c r="K879" s="1"/>
      <c r="L879" s="1"/>
      <c r="M879" s="1"/>
      <c r="N879" s="1"/>
      <c r="O879" s="1"/>
      <c r="P879" s="1"/>
      <c r="Q879" s="1"/>
      <c r="R879" s="1"/>
      <c r="S879" s="1"/>
      <c r="T879" s="1"/>
    </row>
    <row r="880" spans="1:20" ht="33.75" customHeight="1">
      <c r="A880" s="1" t="s">
        <v>2605</v>
      </c>
      <c r="B880" s="1" t="s">
        <v>2335</v>
      </c>
      <c r="C880" s="4">
        <v>39871.976388888892</v>
      </c>
      <c r="D880" s="1" t="s">
        <v>84</v>
      </c>
      <c r="E880" s="1"/>
      <c r="F880" s="2" t="s">
        <v>2606</v>
      </c>
      <c r="G880" s="1">
        <f ca="1">IFERROR(__xludf.DUMMYFUNCTION("COUNTA(SPLIT(F880,"" ""))"),77)</f>
        <v>77</v>
      </c>
      <c r="H880" s="1">
        <v>77</v>
      </c>
      <c r="I880" s="1"/>
      <c r="J880" s="1"/>
      <c r="K880" s="1"/>
      <c r="L880" s="1"/>
      <c r="M880" s="1"/>
      <c r="N880" s="1"/>
      <c r="O880" s="1"/>
      <c r="P880" s="1"/>
      <c r="Q880" s="1"/>
      <c r="R880" s="1"/>
      <c r="S880" s="1"/>
      <c r="T880" s="1"/>
    </row>
    <row r="881" spans="1:20" ht="33.75" customHeight="1">
      <c r="A881" s="1" t="s">
        <v>2607</v>
      </c>
      <c r="B881" s="1" t="s">
        <v>2335</v>
      </c>
      <c r="C881" s="4">
        <v>39871.978472222225</v>
      </c>
      <c r="D881" s="1" t="s">
        <v>84</v>
      </c>
      <c r="E881" s="1"/>
      <c r="F881" s="2" t="s">
        <v>2609</v>
      </c>
      <c r="G881" s="1">
        <f ca="1">IFERROR(__xludf.DUMMYFUNCTION("COUNTA(SPLIT(F881,"" ""))"),22)</f>
        <v>22</v>
      </c>
      <c r="H881" s="1">
        <v>22</v>
      </c>
      <c r="I881" s="1"/>
      <c r="J881" s="1"/>
      <c r="K881" s="1"/>
      <c r="L881" s="1"/>
      <c r="M881" s="1"/>
      <c r="N881" s="1"/>
      <c r="O881" s="1"/>
      <c r="P881" s="1"/>
      <c r="Q881" s="1"/>
      <c r="R881" s="1"/>
      <c r="S881" s="1"/>
      <c r="T881" s="1"/>
    </row>
    <row r="882" spans="1:20" ht="33.75" hidden="1" customHeight="1">
      <c r="A882" s="1" t="s">
        <v>2610</v>
      </c>
      <c r="B882" s="1" t="s">
        <v>2335</v>
      </c>
      <c r="C882" s="4">
        <v>39871.98541666667</v>
      </c>
      <c r="D882" s="1" t="s">
        <v>54</v>
      </c>
      <c r="E882" s="1" t="s">
        <v>2507</v>
      </c>
      <c r="F882" s="2" t="s">
        <v>2612</v>
      </c>
      <c r="G882" s="1">
        <f ca="1">IFERROR(__xludf.DUMMYFUNCTION("COUNTA(SPLIT(F882,"" ""))"),246)</f>
        <v>246</v>
      </c>
      <c r="H882" s="1">
        <v>246</v>
      </c>
      <c r="I882" s="1"/>
      <c r="J882" s="1"/>
      <c r="K882" s="1"/>
      <c r="L882" s="1"/>
      <c r="M882" s="1"/>
      <c r="N882" s="1"/>
      <c r="O882" s="1"/>
      <c r="P882" s="1"/>
      <c r="Q882" s="1"/>
      <c r="R882" s="1"/>
      <c r="S882" s="1"/>
      <c r="T882" s="1"/>
    </row>
    <row r="883" spans="1:20" ht="33.75" customHeight="1">
      <c r="A883" s="1" t="s">
        <v>2613</v>
      </c>
      <c r="B883" s="1" t="s">
        <v>1814</v>
      </c>
      <c r="C883" s="4">
        <v>39872.034722222219</v>
      </c>
      <c r="D883" s="1" t="s">
        <v>1241</v>
      </c>
      <c r="E883" s="1"/>
      <c r="F883" s="2" t="s">
        <v>2614</v>
      </c>
      <c r="G883" s="1">
        <f ca="1">IFERROR(__xludf.DUMMYFUNCTION("COUNTA(SPLIT(F883,"" ""))"),108)</f>
        <v>108</v>
      </c>
      <c r="H883" s="1">
        <v>108</v>
      </c>
      <c r="I883" s="1"/>
      <c r="J883" s="1"/>
      <c r="K883" s="1"/>
      <c r="L883" s="1"/>
      <c r="M883" s="1"/>
      <c r="N883" s="1"/>
      <c r="O883" s="1"/>
      <c r="P883" s="1"/>
      <c r="Q883" s="1"/>
      <c r="R883" s="1"/>
      <c r="S883" s="1"/>
      <c r="T883" s="1"/>
    </row>
    <row r="884" spans="1:20" ht="33.75" customHeight="1">
      <c r="A884" s="1" t="s">
        <v>2615</v>
      </c>
      <c r="B884" s="1" t="s">
        <v>2335</v>
      </c>
      <c r="C884" s="4">
        <v>39872.069444444445</v>
      </c>
      <c r="D884" s="1" t="s">
        <v>14</v>
      </c>
      <c r="E884" s="1"/>
      <c r="F884" s="2" t="s">
        <v>2616</v>
      </c>
      <c r="G884" s="1">
        <f ca="1">IFERROR(__xludf.DUMMYFUNCTION("COUNTA(SPLIT(F884,"" ""))"),185)</f>
        <v>185</v>
      </c>
      <c r="H884" s="1">
        <v>185</v>
      </c>
      <c r="I884" s="1"/>
      <c r="J884" s="1"/>
      <c r="K884" s="1"/>
      <c r="L884" s="1"/>
      <c r="M884" s="1"/>
      <c r="N884" s="1"/>
      <c r="O884" s="1"/>
      <c r="P884" s="1"/>
      <c r="Q884" s="1"/>
      <c r="R884" s="1"/>
      <c r="S884" s="1"/>
      <c r="T884" s="1"/>
    </row>
    <row r="885" spans="1:20" ht="33.75" hidden="1" customHeight="1">
      <c r="A885" s="1"/>
      <c r="B885" s="1" t="s">
        <v>2335</v>
      </c>
      <c r="C885" s="4">
        <v>39872.213194444441</v>
      </c>
      <c r="D885" s="1" t="s">
        <v>54</v>
      </c>
      <c r="E885" s="1" t="s">
        <v>2617</v>
      </c>
      <c r="F885" s="2" t="s">
        <v>2618</v>
      </c>
      <c r="G885" s="1">
        <f ca="1">IFERROR(__xludf.DUMMYFUNCTION("COUNTA(SPLIT(F885,"" ""))"),226)</f>
        <v>226</v>
      </c>
      <c r="H885" s="1">
        <v>226</v>
      </c>
      <c r="I885" s="1"/>
      <c r="J885" s="1"/>
      <c r="K885" s="1"/>
      <c r="L885" s="1"/>
      <c r="M885" s="1"/>
      <c r="N885" s="1"/>
      <c r="O885" s="1"/>
      <c r="P885" s="1"/>
      <c r="Q885" s="1"/>
      <c r="R885" s="1"/>
      <c r="S885" s="1"/>
      <c r="T885" s="1"/>
    </row>
    <row r="886" spans="1:20" ht="33.75" hidden="1" customHeight="1">
      <c r="A886" s="1" t="s">
        <v>2619</v>
      </c>
      <c r="B886" s="1" t="s">
        <v>2335</v>
      </c>
      <c r="C886" s="4">
        <v>39872.399305555555</v>
      </c>
      <c r="D886" s="1" t="s">
        <v>14</v>
      </c>
      <c r="E886" s="1" t="s">
        <v>2620</v>
      </c>
      <c r="F886" s="2" t="s">
        <v>2621</v>
      </c>
      <c r="G886" s="1">
        <f ca="1">IFERROR(__xludf.DUMMYFUNCTION("COUNTA(SPLIT(F886,"" ""))"),878)</f>
        <v>878</v>
      </c>
      <c r="H886" s="1">
        <v>878</v>
      </c>
      <c r="I886" s="1"/>
      <c r="J886" s="1"/>
      <c r="K886" s="1"/>
      <c r="L886" s="1"/>
      <c r="M886" s="1"/>
      <c r="N886" s="1"/>
      <c r="O886" s="1"/>
      <c r="P886" s="1"/>
      <c r="Q886" s="1"/>
      <c r="R886" s="1"/>
      <c r="S886" s="1"/>
      <c r="T886" s="1"/>
    </row>
    <row r="887" spans="1:20" ht="33.75" hidden="1" customHeight="1">
      <c r="A887" s="1" t="s">
        <v>2622</v>
      </c>
      <c r="B887" s="1" t="s">
        <v>2335</v>
      </c>
      <c r="C887" s="4">
        <v>39872.484027777777</v>
      </c>
      <c r="D887" s="1" t="s">
        <v>14</v>
      </c>
      <c r="E887" s="1" t="s">
        <v>2619</v>
      </c>
      <c r="F887" s="2" t="s">
        <v>2623</v>
      </c>
      <c r="G887" s="1">
        <f ca="1">IFERROR(__xludf.DUMMYFUNCTION("COUNTA(SPLIT(F887,"" ""))"),91)</f>
        <v>91</v>
      </c>
      <c r="H887" s="1">
        <v>91</v>
      </c>
      <c r="I887" s="1"/>
      <c r="J887" s="1"/>
      <c r="K887" s="1"/>
      <c r="L887" s="1"/>
      <c r="M887" s="1"/>
      <c r="N887" s="1"/>
      <c r="O887" s="1"/>
      <c r="P887" s="1"/>
      <c r="Q887" s="1"/>
      <c r="R887" s="1"/>
      <c r="S887" s="1"/>
      <c r="T887" s="1"/>
    </row>
    <row r="888" spans="1:20" ht="33.75" customHeight="1">
      <c r="A888" s="1" t="s">
        <v>2624</v>
      </c>
      <c r="B888" s="1" t="s">
        <v>1814</v>
      </c>
      <c r="C888" s="4">
        <v>39872.493055555555</v>
      </c>
      <c r="D888" s="1" t="s">
        <v>1887</v>
      </c>
      <c r="E888" s="1"/>
      <c r="F888" s="2" t="s">
        <v>2625</v>
      </c>
      <c r="G888" s="1">
        <f ca="1">IFERROR(__xludf.DUMMYFUNCTION("COUNTA(SPLIT(F888,"" ""))"),74)</f>
        <v>74</v>
      </c>
      <c r="H888" s="1">
        <v>74</v>
      </c>
      <c r="I888" s="1"/>
      <c r="J888" s="1"/>
      <c r="K888" s="1"/>
      <c r="L888" s="1"/>
      <c r="M888" s="1"/>
      <c r="N888" s="1"/>
      <c r="O888" s="1"/>
      <c r="P888" s="1"/>
      <c r="Q888" s="1"/>
      <c r="R888" s="1"/>
      <c r="S888" s="1"/>
      <c r="T888" s="1"/>
    </row>
    <row r="889" spans="1:20" ht="33.75" hidden="1" customHeight="1">
      <c r="A889" s="1" t="s">
        <v>2626</v>
      </c>
      <c r="B889" s="1" t="s">
        <v>1814</v>
      </c>
      <c r="C889" s="4">
        <v>39872.54791666667</v>
      </c>
      <c r="D889" s="1" t="s">
        <v>54</v>
      </c>
      <c r="E889" s="1" t="s">
        <v>2627</v>
      </c>
      <c r="F889" s="2" t="s">
        <v>2628</v>
      </c>
      <c r="G889" s="1">
        <f ca="1">IFERROR(__xludf.DUMMYFUNCTION("COUNTA(SPLIT(F889,"" ""))"),215)</f>
        <v>215</v>
      </c>
      <c r="H889" s="1">
        <v>215</v>
      </c>
      <c r="I889" s="1"/>
      <c r="J889" s="1"/>
      <c r="K889" s="1"/>
      <c r="L889" s="1"/>
      <c r="M889" s="1"/>
      <c r="N889" s="1"/>
      <c r="O889" s="1"/>
      <c r="P889" s="1"/>
      <c r="Q889" s="1"/>
      <c r="R889" s="1"/>
      <c r="S889" s="1"/>
      <c r="T889" s="1"/>
    </row>
    <row r="890" spans="1:20" ht="33.75" customHeight="1">
      <c r="A890" s="1" t="s">
        <v>2629</v>
      </c>
      <c r="B890" s="1" t="s">
        <v>1814</v>
      </c>
      <c r="C890" s="4">
        <v>39872.651388888888</v>
      </c>
      <c r="D890" s="1" t="s">
        <v>1887</v>
      </c>
      <c r="E890" s="1"/>
      <c r="F890" s="2" t="s">
        <v>2630</v>
      </c>
      <c r="G890" s="1">
        <f ca="1">IFERROR(__xludf.DUMMYFUNCTION("COUNTA(SPLIT(F890,"" ""))"),43)</f>
        <v>43</v>
      </c>
      <c r="H890" s="1">
        <v>43</v>
      </c>
      <c r="I890" s="1"/>
      <c r="J890" s="1"/>
      <c r="K890" s="1"/>
      <c r="L890" s="1"/>
      <c r="M890" s="1"/>
      <c r="N890" s="1"/>
      <c r="O890" s="1"/>
      <c r="P890" s="1"/>
      <c r="Q890" s="1"/>
      <c r="R890" s="1"/>
      <c r="S890" s="1"/>
      <c r="T890" s="1"/>
    </row>
    <row r="891" spans="1:20" ht="33.75" customHeight="1">
      <c r="A891" s="1" t="s">
        <v>2631</v>
      </c>
      <c r="B891" s="1" t="s">
        <v>2335</v>
      </c>
      <c r="C891" s="4">
        <v>39872.682638888888</v>
      </c>
      <c r="D891" s="1" t="s">
        <v>84</v>
      </c>
      <c r="E891" s="1"/>
      <c r="F891" s="2" t="s">
        <v>2632</v>
      </c>
      <c r="G891" s="1">
        <f ca="1">IFERROR(__xludf.DUMMYFUNCTION("COUNTA(SPLIT(F891,"" ""))"),62)</f>
        <v>62</v>
      </c>
      <c r="H891" s="1">
        <v>62</v>
      </c>
      <c r="I891" s="1"/>
      <c r="J891" s="1"/>
      <c r="K891" s="1"/>
      <c r="L891" s="1"/>
      <c r="M891" s="1"/>
      <c r="N891" s="1"/>
      <c r="O891" s="1"/>
      <c r="P891" s="1"/>
      <c r="Q891" s="1"/>
      <c r="R891" s="1"/>
      <c r="S891" s="1"/>
      <c r="T891" s="1"/>
    </row>
    <row r="892" spans="1:20" ht="33.75" hidden="1" customHeight="1">
      <c r="A892" s="1" t="s">
        <v>2633</v>
      </c>
      <c r="B892" s="1" t="s">
        <v>2335</v>
      </c>
      <c r="C892" s="4">
        <v>39872.711111111108</v>
      </c>
      <c r="D892" s="1" t="s">
        <v>14</v>
      </c>
      <c r="E892" s="1" t="s">
        <v>2619</v>
      </c>
      <c r="F892" s="2" t="s">
        <v>2634</v>
      </c>
      <c r="G892" s="1">
        <f ca="1">IFERROR(__xludf.DUMMYFUNCTION("COUNTA(SPLIT(F892,"" ""))"),12)</f>
        <v>12</v>
      </c>
      <c r="H892" s="1">
        <v>12</v>
      </c>
      <c r="I892" s="1"/>
      <c r="J892" s="1"/>
      <c r="K892" s="1"/>
      <c r="L892" s="1"/>
      <c r="M892" s="1"/>
      <c r="N892" s="1"/>
      <c r="O892" s="1"/>
      <c r="P892" s="1"/>
      <c r="Q892" s="1"/>
      <c r="R892" s="1"/>
      <c r="S892" s="1"/>
      <c r="T892" s="1"/>
    </row>
    <row r="893" spans="1:20" ht="33.75" customHeight="1">
      <c r="A893" s="1" t="s">
        <v>2635</v>
      </c>
      <c r="B893" s="1" t="s">
        <v>2636</v>
      </c>
      <c r="C893" s="4">
        <v>39874.866666666669</v>
      </c>
      <c r="D893" s="1" t="s">
        <v>1528</v>
      </c>
      <c r="E893" s="1"/>
      <c r="F893" s="2" t="s">
        <v>2638</v>
      </c>
      <c r="G893" s="1">
        <f ca="1">IFERROR(__xludf.DUMMYFUNCTION("COUNTA(SPLIT(F893,"" ""))"),53)</f>
        <v>53</v>
      </c>
      <c r="H893" s="1">
        <v>53</v>
      </c>
      <c r="I893" s="1"/>
      <c r="J893" s="1"/>
      <c r="K893" s="1"/>
      <c r="L893" s="1"/>
      <c r="M893" s="1"/>
      <c r="N893" s="1"/>
      <c r="O893" s="1"/>
      <c r="P893" s="1"/>
      <c r="Q893" s="1"/>
      <c r="R893" s="1"/>
      <c r="S893" s="1"/>
      <c r="T893" s="1"/>
    </row>
    <row r="894" spans="1:20" ht="33.75" customHeight="1">
      <c r="A894" s="1" t="s">
        <v>2639</v>
      </c>
      <c r="B894" s="1" t="s">
        <v>2335</v>
      </c>
      <c r="C894" s="4">
        <v>39872.724999999999</v>
      </c>
      <c r="D894" s="1" t="s">
        <v>14</v>
      </c>
      <c r="E894" s="1"/>
      <c r="F894" s="2" t="s">
        <v>2641</v>
      </c>
      <c r="G894" s="1">
        <f ca="1">IFERROR(__xludf.DUMMYFUNCTION("COUNTA(SPLIT(F894,"" ""))"),405)</f>
        <v>405</v>
      </c>
      <c r="H894" s="1">
        <v>405</v>
      </c>
      <c r="I894" s="1"/>
      <c r="J894" s="1"/>
      <c r="K894" s="1"/>
      <c r="L894" s="1"/>
      <c r="M894" s="1"/>
      <c r="N894" s="1"/>
      <c r="O894" s="1"/>
      <c r="P894" s="1"/>
      <c r="Q894" s="1"/>
      <c r="R894" s="1"/>
      <c r="S894" s="1"/>
      <c r="T894" s="1"/>
    </row>
    <row r="895" spans="1:20" ht="33.75" hidden="1" customHeight="1">
      <c r="A895" s="1" t="s">
        <v>2642</v>
      </c>
      <c r="B895" s="1" t="s">
        <v>2335</v>
      </c>
      <c r="C895" s="4">
        <v>39872.741666666669</v>
      </c>
      <c r="D895" s="1" t="s">
        <v>14</v>
      </c>
      <c r="E895" s="1" t="s">
        <v>2639</v>
      </c>
      <c r="F895" s="2" t="s">
        <v>2643</v>
      </c>
      <c r="G895" s="1">
        <f ca="1">IFERROR(__xludf.DUMMYFUNCTION("COUNTA(SPLIT(F895,"" ""))"),40)</f>
        <v>40</v>
      </c>
      <c r="H895" s="1">
        <v>40</v>
      </c>
      <c r="I895" s="1"/>
      <c r="J895" s="1"/>
      <c r="K895" s="1"/>
      <c r="L895" s="1"/>
      <c r="M895" s="1"/>
      <c r="N895" s="1"/>
      <c r="O895" s="1"/>
      <c r="P895" s="1"/>
      <c r="Q895" s="1"/>
      <c r="R895" s="1"/>
      <c r="S895" s="1"/>
      <c r="T895" s="1"/>
    </row>
    <row r="896" spans="1:20" ht="33.75" customHeight="1">
      <c r="A896" s="1" t="s">
        <v>2644</v>
      </c>
      <c r="B896" s="1" t="s">
        <v>2335</v>
      </c>
      <c r="C896" s="4">
        <v>39872.8125</v>
      </c>
      <c r="D896" s="1" t="s">
        <v>54</v>
      </c>
      <c r="E896" s="1"/>
      <c r="F896" s="2" t="s">
        <v>2646</v>
      </c>
      <c r="G896" s="1">
        <f ca="1">IFERROR(__xludf.DUMMYFUNCTION("COUNTA(SPLIT(F896,"" ""))"),197)</f>
        <v>197</v>
      </c>
      <c r="H896" s="1">
        <v>197</v>
      </c>
      <c r="I896" s="1"/>
      <c r="J896" s="1"/>
      <c r="K896" s="1"/>
      <c r="L896" s="1"/>
      <c r="M896" s="1"/>
      <c r="N896" s="1"/>
      <c r="O896" s="1"/>
      <c r="P896" s="1"/>
      <c r="Q896" s="1"/>
      <c r="R896" s="1"/>
      <c r="S896" s="1"/>
      <c r="T896" s="1"/>
    </row>
    <row r="897" spans="1:20" ht="33.75" hidden="1" customHeight="1">
      <c r="A897" s="1" t="s">
        <v>2647</v>
      </c>
      <c r="B897" s="1" t="s">
        <v>2335</v>
      </c>
      <c r="C897" s="4">
        <v>39872.820833333331</v>
      </c>
      <c r="D897" s="1" t="s">
        <v>54</v>
      </c>
      <c r="E897" s="1" t="s">
        <v>2644</v>
      </c>
      <c r="F897" s="2" t="s">
        <v>2648</v>
      </c>
      <c r="G897" s="1">
        <f ca="1">IFERROR(__xludf.DUMMYFUNCTION("COUNTA(SPLIT(F897,"" ""))"),29)</f>
        <v>29</v>
      </c>
      <c r="H897" s="1">
        <v>29</v>
      </c>
      <c r="I897" s="1"/>
      <c r="J897" s="1"/>
      <c r="K897" s="1"/>
      <c r="L897" s="1"/>
      <c r="M897" s="1"/>
      <c r="N897" s="1"/>
      <c r="O897" s="1"/>
      <c r="P897" s="1"/>
      <c r="Q897" s="1"/>
      <c r="R897" s="1"/>
      <c r="S897" s="1"/>
      <c r="T897" s="1"/>
    </row>
    <row r="898" spans="1:20" ht="33.75" hidden="1" customHeight="1">
      <c r="A898" s="1" t="s">
        <v>2649</v>
      </c>
      <c r="B898" s="1" t="s">
        <v>2335</v>
      </c>
      <c r="C898" s="4">
        <v>39872.822222222225</v>
      </c>
      <c r="D898" s="1" t="s">
        <v>84</v>
      </c>
      <c r="E898" s="1" t="s">
        <v>2619</v>
      </c>
      <c r="F898" s="2" t="s">
        <v>2651</v>
      </c>
      <c r="G898" s="1">
        <f ca="1">IFERROR(__xludf.DUMMYFUNCTION("COUNTA(SPLIT(F898,"" ""))"),85)</f>
        <v>85</v>
      </c>
      <c r="H898" s="1">
        <v>85</v>
      </c>
      <c r="I898" s="1"/>
      <c r="J898" s="1"/>
      <c r="K898" s="1"/>
      <c r="L898" s="1"/>
      <c r="M898" s="1"/>
      <c r="N898" s="1"/>
      <c r="O898" s="1"/>
      <c r="P898" s="1"/>
      <c r="Q898" s="1"/>
      <c r="R898" s="1"/>
      <c r="S898" s="1"/>
      <c r="T898" s="1"/>
    </row>
    <row r="899" spans="1:20" ht="33.75" customHeight="1">
      <c r="A899" s="1" t="s">
        <v>2652</v>
      </c>
      <c r="B899" s="1" t="s">
        <v>2335</v>
      </c>
      <c r="C899" s="4">
        <v>39872.82708333333</v>
      </c>
      <c r="D899" s="1" t="s">
        <v>54</v>
      </c>
      <c r="E899" s="1"/>
      <c r="F899" s="2" t="s">
        <v>2655</v>
      </c>
      <c r="G899" s="1">
        <f ca="1">IFERROR(__xludf.DUMMYFUNCTION("COUNTA(SPLIT(F899,"" ""))"),504)</f>
        <v>504</v>
      </c>
      <c r="H899" s="1">
        <v>504</v>
      </c>
      <c r="I899" s="1"/>
      <c r="J899" s="1"/>
      <c r="K899" s="1"/>
      <c r="L899" s="1"/>
      <c r="M899" s="1"/>
      <c r="N899" s="1"/>
      <c r="O899" s="1"/>
      <c r="P899" s="1"/>
      <c r="Q899" s="1"/>
      <c r="R899" s="1"/>
      <c r="S899" s="1"/>
      <c r="T899" s="1"/>
    </row>
    <row r="900" spans="1:20" ht="33.75" hidden="1" customHeight="1">
      <c r="A900" s="1" t="s">
        <v>2656</v>
      </c>
      <c r="B900" s="1" t="s">
        <v>2335</v>
      </c>
      <c r="C900" s="4">
        <v>39872.827777777777</v>
      </c>
      <c r="D900" s="1" t="s">
        <v>54</v>
      </c>
      <c r="E900" s="1" t="s">
        <v>2657</v>
      </c>
      <c r="F900" s="2" t="s">
        <v>2659</v>
      </c>
      <c r="G900" s="1">
        <f ca="1">IFERROR(__xludf.DUMMYFUNCTION("COUNTA(SPLIT(F900,"" ""))"),24)</f>
        <v>24</v>
      </c>
      <c r="H900" s="1">
        <v>24</v>
      </c>
      <c r="I900" s="1"/>
      <c r="J900" s="1"/>
      <c r="K900" s="1"/>
      <c r="L900" s="1"/>
      <c r="M900" s="1"/>
      <c r="N900" s="1"/>
      <c r="O900" s="1"/>
      <c r="P900" s="1"/>
      <c r="Q900" s="1"/>
      <c r="R900" s="1"/>
      <c r="S900" s="1"/>
      <c r="T900" s="1"/>
    </row>
    <row r="901" spans="1:20" ht="33.75" hidden="1" customHeight="1">
      <c r="A901" s="1" t="s">
        <v>2660</v>
      </c>
      <c r="B901" s="1" t="s">
        <v>2335</v>
      </c>
      <c r="C901" s="4">
        <v>39872.840277777781</v>
      </c>
      <c r="D901" s="1" t="s">
        <v>54</v>
      </c>
      <c r="E901" s="1" t="s">
        <v>2652</v>
      </c>
      <c r="F901" s="2" t="s">
        <v>2661</v>
      </c>
      <c r="G901" s="1">
        <f ca="1">IFERROR(__xludf.DUMMYFUNCTION("COUNTA(SPLIT(F901,"" ""))"),372)</f>
        <v>372</v>
      </c>
      <c r="H901" s="1">
        <v>372</v>
      </c>
      <c r="I901" s="1"/>
      <c r="J901" s="1"/>
      <c r="K901" s="1"/>
      <c r="L901" s="1"/>
      <c r="M901" s="1"/>
      <c r="N901" s="1"/>
      <c r="O901" s="1"/>
      <c r="P901" s="1"/>
      <c r="Q901" s="1"/>
      <c r="R901" s="1"/>
      <c r="S901" s="1"/>
      <c r="T901" s="1"/>
    </row>
    <row r="902" spans="1:20" ht="33.75" customHeight="1">
      <c r="A902" s="1" t="s">
        <v>2662</v>
      </c>
      <c r="B902" s="1" t="s">
        <v>2335</v>
      </c>
      <c r="C902" s="4">
        <v>39872.845833333333</v>
      </c>
      <c r="D902" s="1" t="s">
        <v>54</v>
      </c>
      <c r="E902" s="1"/>
      <c r="F902" s="2" t="s">
        <v>2663</v>
      </c>
      <c r="G902" s="1">
        <f ca="1">IFERROR(__xludf.DUMMYFUNCTION("COUNTA(SPLIT(F902,"" ""))"),37)</f>
        <v>37</v>
      </c>
      <c r="H902" s="1">
        <v>37</v>
      </c>
      <c r="I902" s="1"/>
      <c r="J902" s="1"/>
      <c r="K902" s="1"/>
      <c r="L902" s="1"/>
      <c r="M902" s="1"/>
      <c r="N902" s="1"/>
      <c r="O902" s="1"/>
      <c r="P902" s="1"/>
      <c r="Q902" s="1"/>
      <c r="R902" s="1"/>
      <c r="S902" s="1"/>
      <c r="T902" s="1"/>
    </row>
    <row r="903" spans="1:20" ht="33.75" hidden="1" customHeight="1">
      <c r="A903" s="1" t="s">
        <v>2664</v>
      </c>
      <c r="B903" s="1" t="s">
        <v>2335</v>
      </c>
      <c r="C903" s="4">
        <v>39872.898611111108</v>
      </c>
      <c r="D903" s="1" t="s">
        <v>320</v>
      </c>
      <c r="E903" s="1" t="s">
        <v>2665</v>
      </c>
      <c r="F903" s="2" t="s">
        <v>2666</v>
      </c>
      <c r="G903" s="1">
        <f ca="1">IFERROR(__xludf.DUMMYFUNCTION("COUNTA(SPLIT(F903,"" ""))"),31)</f>
        <v>31</v>
      </c>
      <c r="H903" s="1">
        <v>31</v>
      </c>
      <c r="I903" s="1"/>
      <c r="J903" s="1"/>
      <c r="K903" s="1"/>
      <c r="L903" s="1"/>
      <c r="M903" s="1"/>
      <c r="N903" s="1"/>
      <c r="O903" s="1"/>
      <c r="P903" s="1"/>
      <c r="Q903" s="1"/>
      <c r="R903" s="1"/>
      <c r="S903" s="1"/>
      <c r="T903" s="1"/>
    </row>
    <row r="904" spans="1:20" ht="33.75" customHeight="1">
      <c r="A904" s="1" t="s">
        <v>2667</v>
      </c>
      <c r="B904" s="1" t="s">
        <v>2335</v>
      </c>
      <c r="C904" s="4">
        <v>39872.949999999997</v>
      </c>
      <c r="D904" s="1" t="s">
        <v>320</v>
      </c>
      <c r="E904" s="1"/>
      <c r="F904" s="2" t="s">
        <v>2668</v>
      </c>
      <c r="G904" s="1">
        <f ca="1">IFERROR(__xludf.DUMMYFUNCTION("COUNTA(SPLIT(F904,"" ""))"),187)</f>
        <v>187</v>
      </c>
      <c r="H904" s="1">
        <v>187</v>
      </c>
      <c r="I904" s="1"/>
      <c r="J904" s="1"/>
      <c r="K904" s="1"/>
      <c r="L904" s="1"/>
      <c r="M904" s="1"/>
      <c r="N904" s="1"/>
      <c r="O904" s="1"/>
      <c r="P904" s="1"/>
      <c r="Q904" s="1"/>
      <c r="R904" s="1"/>
      <c r="S904" s="1"/>
      <c r="T904" s="1"/>
    </row>
    <row r="905" spans="1:20" ht="33.75" hidden="1" customHeight="1">
      <c r="A905" s="1" t="s">
        <v>2669</v>
      </c>
      <c r="B905" s="1" t="s">
        <v>2335</v>
      </c>
      <c r="C905" s="4">
        <v>39872.950694444444</v>
      </c>
      <c r="D905" s="1" t="s">
        <v>320</v>
      </c>
      <c r="E905" s="1" t="s">
        <v>2667</v>
      </c>
      <c r="F905" s="2" t="s">
        <v>2670</v>
      </c>
      <c r="G905" s="1">
        <f ca="1">IFERROR(__xludf.DUMMYFUNCTION("COUNTA(SPLIT(F905,"" ""))"),11)</f>
        <v>11</v>
      </c>
      <c r="H905" s="1">
        <v>11</v>
      </c>
      <c r="I905" s="1"/>
      <c r="J905" s="1"/>
      <c r="K905" s="1"/>
      <c r="L905" s="1"/>
      <c r="M905" s="1"/>
      <c r="N905" s="1"/>
      <c r="O905" s="1"/>
      <c r="P905" s="1"/>
      <c r="Q905" s="1"/>
      <c r="R905" s="1"/>
      <c r="S905" s="1"/>
      <c r="T905" s="1"/>
    </row>
    <row r="906" spans="1:20" ht="33.75" hidden="1" customHeight="1">
      <c r="A906" s="1" t="s">
        <v>2671</v>
      </c>
      <c r="B906" s="1" t="s">
        <v>2335</v>
      </c>
      <c r="C906" s="4">
        <v>39872.960416666669</v>
      </c>
      <c r="D906" s="1" t="s">
        <v>54</v>
      </c>
      <c r="E906" s="1" t="s">
        <v>2667</v>
      </c>
      <c r="F906" s="2" t="s">
        <v>2672</v>
      </c>
      <c r="G906" s="1">
        <f ca="1">IFERROR(__xludf.DUMMYFUNCTION("COUNTA(SPLIT(F906,"" ""))"),128)</f>
        <v>128</v>
      </c>
      <c r="H906" s="1">
        <v>128</v>
      </c>
      <c r="I906" s="1"/>
      <c r="J906" s="1"/>
      <c r="K906" s="1"/>
      <c r="L906" s="1"/>
      <c r="M906" s="1"/>
      <c r="N906" s="1"/>
      <c r="O906" s="1"/>
      <c r="P906" s="1"/>
      <c r="Q906" s="1"/>
      <c r="R906" s="1"/>
      <c r="S906" s="1"/>
      <c r="T906" s="1"/>
    </row>
    <row r="907" spans="1:20" ht="33.75" hidden="1" customHeight="1">
      <c r="A907" s="1" t="s">
        <v>2673</v>
      </c>
      <c r="B907" s="1" t="s">
        <v>2335</v>
      </c>
      <c r="C907" s="4">
        <v>39872.961111111108</v>
      </c>
      <c r="D907" s="1" t="s">
        <v>320</v>
      </c>
      <c r="E907" s="1" t="s">
        <v>2674</v>
      </c>
      <c r="F907" s="2" t="s">
        <v>2675</v>
      </c>
      <c r="G907" s="1">
        <f ca="1">IFERROR(__xludf.DUMMYFUNCTION("COUNTA(SPLIT(F907,"" ""))"),143)</f>
        <v>143</v>
      </c>
      <c r="H907" s="1">
        <v>143</v>
      </c>
      <c r="I907" s="1"/>
      <c r="J907" s="1"/>
      <c r="K907" s="1"/>
      <c r="L907" s="1"/>
      <c r="M907" s="1"/>
      <c r="N907" s="1"/>
      <c r="O907" s="1"/>
      <c r="P907" s="1"/>
      <c r="Q907" s="1"/>
      <c r="R907" s="1"/>
      <c r="S907" s="1"/>
      <c r="T907" s="1"/>
    </row>
    <row r="908" spans="1:20" ht="33.75" customHeight="1">
      <c r="A908" s="1" t="s">
        <v>2676</v>
      </c>
      <c r="B908" s="1" t="s">
        <v>2335</v>
      </c>
      <c r="C908" s="4">
        <v>39872.962500000001</v>
      </c>
      <c r="D908" s="1" t="s">
        <v>54</v>
      </c>
      <c r="E908" s="1"/>
      <c r="F908" s="2" t="s">
        <v>2678</v>
      </c>
      <c r="G908" s="1">
        <f ca="1">IFERROR(__xludf.DUMMYFUNCTION("COUNTA(SPLIT(F908,"" ""))"),55)</f>
        <v>55</v>
      </c>
      <c r="H908" s="1">
        <v>55</v>
      </c>
      <c r="I908" s="1"/>
      <c r="J908" s="1"/>
      <c r="K908" s="1"/>
      <c r="L908" s="1"/>
      <c r="M908" s="1"/>
      <c r="N908" s="1"/>
      <c r="O908" s="1"/>
      <c r="P908" s="1"/>
      <c r="Q908" s="1"/>
      <c r="R908" s="1"/>
      <c r="S908" s="1"/>
      <c r="T908" s="1"/>
    </row>
    <row r="909" spans="1:20" ht="33.75" customHeight="1">
      <c r="A909" s="1" t="s">
        <v>2679</v>
      </c>
      <c r="B909" s="1" t="s">
        <v>2335</v>
      </c>
      <c r="C909" s="4">
        <v>39872.974305555559</v>
      </c>
      <c r="D909" s="1" t="s">
        <v>320</v>
      </c>
      <c r="E909" s="1"/>
      <c r="F909" s="2" t="s">
        <v>2681</v>
      </c>
      <c r="G909" s="1">
        <f ca="1">IFERROR(__xludf.DUMMYFUNCTION("COUNTA(SPLIT(F909,"" ""))"),316)</f>
        <v>316</v>
      </c>
      <c r="H909" s="1">
        <v>316</v>
      </c>
      <c r="I909" s="1"/>
      <c r="J909" s="1"/>
      <c r="K909" s="1"/>
      <c r="L909" s="1"/>
      <c r="M909" s="1"/>
      <c r="N909" s="1"/>
      <c r="O909" s="1"/>
      <c r="P909" s="1"/>
      <c r="Q909" s="1"/>
      <c r="R909" s="1"/>
      <c r="S909" s="1"/>
      <c r="T909" s="1"/>
    </row>
    <row r="910" spans="1:20" ht="33.75" customHeight="1">
      <c r="A910" s="1" t="s">
        <v>2682</v>
      </c>
      <c r="B910" s="1" t="s">
        <v>2335</v>
      </c>
      <c r="C910" s="4">
        <v>39873.291666666664</v>
      </c>
      <c r="D910" s="1" t="s">
        <v>314</v>
      </c>
      <c r="E910" s="1"/>
      <c r="F910" s="2" t="s">
        <v>2684</v>
      </c>
      <c r="G910" s="1">
        <f ca="1">IFERROR(__xludf.DUMMYFUNCTION("COUNTA(SPLIT(F910,"" ""))"),154)</f>
        <v>154</v>
      </c>
      <c r="H910" s="1">
        <v>154</v>
      </c>
      <c r="I910" s="1"/>
      <c r="J910" s="1"/>
      <c r="K910" s="1"/>
      <c r="L910" s="1"/>
      <c r="M910" s="1"/>
      <c r="N910" s="1"/>
      <c r="O910" s="1"/>
      <c r="P910" s="1"/>
      <c r="Q910" s="1"/>
      <c r="R910" s="1"/>
      <c r="S910" s="1"/>
      <c r="T910" s="1"/>
    </row>
    <row r="911" spans="1:20" ht="33.75" customHeight="1">
      <c r="A911" s="1" t="s">
        <v>2685</v>
      </c>
      <c r="B911" s="1" t="s">
        <v>1814</v>
      </c>
      <c r="C911" s="4">
        <v>39873.42291666667</v>
      </c>
      <c r="D911" s="1" t="s">
        <v>1887</v>
      </c>
      <c r="E911" s="1"/>
      <c r="F911" s="2" t="s">
        <v>2687</v>
      </c>
      <c r="G911" s="1">
        <f ca="1">IFERROR(__xludf.DUMMYFUNCTION("COUNTA(SPLIT(F911,"" ""))"),46)</f>
        <v>46</v>
      </c>
      <c r="H911" s="1">
        <v>46</v>
      </c>
      <c r="I911" s="1"/>
      <c r="J911" s="1"/>
      <c r="K911" s="1"/>
      <c r="L911" s="1"/>
      <c r="M911" s="1"/>
      <c r="N911" s="1"/>
      <c r="O911" s="1"/>
      <c r="P911" s="1"/>
      <c r="Q911" s="1"/>
      <c r="R911" s="1"/>
      <c r="S911" s="1"/>
      <c r="T911" s="1"/>
    </row>
    <row r="912" spans="1:20" ht="33.75" hidden="1" customHeight="1">
      <c r="A912" s="1" t="s">
        <v>2688</v>
      </c>
      <c r="B912" s="1" t="s">
        <v>2335</v>
      </c>
      <c r="C912" s="4">
        <v>39873.49722222222</v>
      </c>
      <c r="D912" s="1" t="s">
        <v>14</v>
      </c>
      <c r="E912" s="1" t="s">
        <v>2679</v>
      </c>
      <c r="F912" s="2" t="s">
        <v>2690</v>
      </c>
      <c r="G912" s="1">
        <f ca="1">IFERROR(__xludf.DUMMYFUNCTION("COUNTA(SPLIT(F912,"" ""))"),188)</f>
        <v>188</v>
      </c>
      <c r="H912" s="1">
        <v>188</v>
      </c>
      <c r="I912" s="1"/>
      <c r="J912" s="1"/>
      <c r="K912" s="1"/>
      <c r="L912" s="1"/>
      <c r="M912" s="1"/>
      <c r="N912" s="1"/>
      <c r="O912" s="1"/>
      <c r="P912" s="1"/>
      <c r="Q912" s="1"/>
      <c r="R912" s="1"/>
      <c r="S912" s="1"/>
      <c r="T912" s="1"/>
    </row>
    <row r="913" spans="1:20" ht="33.75" hidden="1" customHeight="1">
      <c r="A913" s="1" t="s">
        <v>2691</v>
      </c>
      <c r="B913" s="1" t="s">
        <v>2335</v>
      </c>
      <c r="C913" s="4">
        <v>39873.5</v>
      </c>
      <c r="D913" s="1" t="s">
        <v>14</v>
      </c>
      <c r="E913" s="1" t="s">
        <v>2692</v>
      </c>
      <c r="F913" s="2" t="s">
        <v>2694</v>
      </c>
      <c r="G913" s="1">
        <f ca="1">IFERROR(__xludf.DUMMYFUNCTION("COUNTA(SPLIT(F913,"" ""))"),67)</f>
        <v>67</v>
      </c>
      <c r="H913" s="1">
        <v>67</v>
      </c>
      <c r="I913" s="1"/>
      <c r="J913" s="1"/>
      <c r="K913" s="1"/>
      <c r="L913" s="1"/>
      <c r="M913" s="1"/>
      <c r="N913" s="1"/>
      <c r="O913" s="1"/>
      <c r="P913" s="1"/>
      <c r="Q913" s="1"/>
      <c r="R913" s="1"/>
      <c r="S913" s="1"/>
      <c r="T913" s="1"/>
    </row>
    <row r="914" spans="1:20" ht="33.75" hidden="1" customHeight="1">
      <c r="A914" s="1" t="s">
        <v>2695</v>
      </c>
      <c r="B914" s="1" t="s">
        <v>2335</v>
      </c>
      <c r="C914" s="4">
        <v>39873.519444444442</v>
      </c>
      <c r="D914" s="1" t="s">
        <v>14</v>
      </c>
      <c r="E914" s="1" t="s">
        <v>2696</v>
      </c>
      <c r="F914" s="2" t="s">
        <v>2697</v>
      </c>
      <c r="G914" s="1">
        <f ca="1">IFERROR(__xludf.DUMMYFUNCTION("COUNTA(SPLIT(F914,"" ""))"),246)</f>
        <v>246</v>
      </c>
      <c r="H914" s="1">
        <v>246</v>
      </c>
      <c r="I914" s="1"/>
      <c r="J914" s="1"/>
      <c r="K914" s="1"/>
      <c r="L914" s="1"/>
      <c r="M914" s="1"/>
      <c r="N914" s="1"/>
      <c r="O914" s="1"/>
      <c r="P914" s="1"/>
      <c r="Q914" s="1"/>
      <c r="R914" s="1"/>
      <c r="S914" s="1"/>
      <c r="T914" s="1"/>
    </row>
    <row r="915" spans="1:20" ht="33.75" customHeight="1">
      <c r="A915" s="1" t="s">
        <v>2698</v>
      </c>
      <c r="B915" s="1" t="s">
        <v>1814</v>
      </c>
      <c r="C915" s="4">
        <v>39873.561805555553</v>
      </c>
      <c r="D915" s="1" t="s">
        <v>772</v>
      </c>
      <c r="E915" s="1"/>
      <c r="F915" s="2" t="s">
        <v>2699</v>
      </c>
      <c r="G915" s="1">
        <f ca="1">IFERROR(__xludf.DUMMYFUNCTION("COUNTA(SPLIT(F915,"" ""))"),549)</f>
        <v>549</v>
      </c>
      <c r="H915" s="1">
        <v>549</v>
      </c>
      <c r="I915" s="1"/>
      <c r="J915" s="1"/>
      <c r="K915" s="1"/>
      <c r="L915" s="1"/>
      <c r="M915" s="1"/>
      <c r="N915" s="1"/>
      <c r="O915" s="1"/>
      <c r="P915" s="1"/>
      <c r="Q915" s="1"/>
      <c r="R915" s="1"/>
      <c r="S915" s="1"/>
      <c r="T915" s="1"/>
    </row>
    <row r="916" spans="1:20" ht="33.75" hidden="1" customHeight="1">
      <c r="A916" s="1" t="s">
        <v>2700</v>
      </c>
      <c r="B916" s="1" t="s">
        <v>1814</v>
      </c>
      <c r="C916" s="4">
        <v>39873.674305555556</v>
      </c>
      <c r="D916" s="1" t="s">
        <v>54</v>
      </c>
      <c r="E916" s="1" t="s">
        <v>2698</v>
      </c>
      <c r="F916" s="2" t="s">
        <v>2701</v>
      </c>
      <c r="G916" s="1">
        <f ca="1">IFERROR(__xludf.DUMMYFUNCTION("COUNTA(SPLIT(F916,"" ""))"),248)</f>
        <v>248</v>
      </c>
      <c r="H916" s="1">
        <v>248</v>
      </c>
      <c r="I916" s="1"/>
      <c r="J916" s="1"/>
      <c r="K916" s="1"/>
      <c r="L916" s="1"/>
      <c r="M916" s="1"/>
      <c r="N916" s="1"/>
      <c r="O916" s="1"/>
      <c r="P916" s="1"/>
      <c r="Q916" s="1"/>
      <c r="R916" s="1"/>
      <c r="S916" s="1"/>
      <c r="T916" s="1"/>
    </row>
    <row r="917" spans="1:20" ht="33.75" hidden="1" customHeight="1">
      <c r="A917" s="1" t="s">
        <v>2702</v>
      </c>
      <c r="B917" s="1" t="s">
        <v>2335</v>
      </c>
      <c r="C917" s="4">
        <v>39873.725694444445</v>
      </c>
      <c r="D917" s="1" t="s">
        <v>320</v>
      </c>
      <c r="E917" s="1" t="s">
        <v>2703</v>
      </c>
      <c r="F917" s="2" t="s">
        <v>2705</v>
      </c>
      <c r="G917" s="1">
        <f ca="1">IFERROR(__xludf.DUMMYFUNCTION("COUNTA(SPLIT(F917,"" ""))"),113)</f>
        <v>113</v>
      </c>
      <c r="H917" s="1">
        <v>113</v>
      </c>
      <c r="I917" s="1"/>
      <c r="J917" s="1"/>
      <c r="K917" s="1"/>
      <c r="L917" s="1"/>
      <c r="M917" s="1"/>
      <c r="N917" s="1"/>
      <c r="O917" s="1"/>
      <c r="P917" s="1"/>
      <c r="Q917" s="1"/>
      <c r="R917" s="1"/>
      <c r="S917" s="1"/>
      <c r="T917" s="1"/>
    </row>
    <row r="918" spans="1:20" ht="33.75" hidden="1" customHeight="1">
      <c r="A918" s="1" t="s">
        <v>2706</v>
      </c>
      <c r="B918" s="1" t="s">
        <v>2335</v>
      </c>
      <c r="C918" s="4">
        <v>39873.728472222225</v>
      </c>
      <c r="D918" s="1" t="s">
        <v>320</v>
      </c>
      <c r="E918" s="1">
        <v>828</v>
      </c>
      <c r="F918" s="2" t="s">
        <v>2707</v>
      </c>
      <c r="G918" s="1">
        <f ca="1">IFERROR(__xludf.DUMMYFUNCTION("COUNTA(SPLIT(F918,"" ""))"),98)</f>
        <v>98</v>
      </c>
      <c r="H918" s="1">
        <v>98</v>
      </c>
      <c r="I918" s="1"/>
      <c r="J918" s="1"/>
      <c r="K918" s="1"/>
      <c r="L918" s="1"/>
      <c r="M918" s="1"/>
      <c r="N918" s="1"/>
      <c r="O918" s="1"/>
      <c r="P918" s="1"/>
      <c r="Q918" s="1"/>
      <c r="R918" s="1"/>
      <c r="S918" s="1"/>
      <c r="T918" s="1"/>
    </row>
    <row r="919" spans="1:20" ht="33.75" customHeight="1">
      <c r="A919" s="1" t="s">
        <v>2708</v>
      </c>
      <c r="B919" s="1" t="s">
        <v>2335</v>
      </c>
      <c r="C919" s="4">
        <v>39873.748611111114</v>
      </c>
      <c r="D919" s="1" t="s">
        <v>54</v>
      </c>
      <c r="E919" s="1"/>
      <c r="F919" s="2" t="s">
        <v>2710</v>
      </c>
      <c r="G919" s="1">
        <f ca="1">IFERROR(__xludf.DUMMYFUNCTION("COUNTA(SPLIT(F919,"" ""))"),23)</f>
        <v>23</v>
      </c>
      <c r="H919" s="1">
        <v>23</v>
      </c>
      <c r="I919" s="1"/>
      <c r="J919" s="1"/>
      <c r="K919" s="1"/>
      <c r="L919" s="1"/>
      <c r="M919" s="1"/>
      <c r="N919" s="1"/>
      <c r="O919" s="1"/>
      <c r="P919" s="1"/>
      <c r="Q919" s="1"/>
      <c r="R919" s="1"/>
      <c r="S919" s="1"/>
      <c r="T919" s="1"/>
    </row>
    <row r="920" spans="1:20" ht="33.75" customHeight="1">
      <c r="A920" s="1" t="s">
        <v>2711</v>
      </c>
      <c r="B920" s="1" t="s">
        <v>1814</v>
      </c>
      <c r="C920" s="4">
        <v>39873.763194444444</v>
      </c>
      <c r="D920" s="1" t="s">
        <v>1089</v>
      </c>
      <c r="E920" s="1"/>
      <c r="F920" s="2" t="s">
        <v>2712</v>
      </c>
      <c r="G920" s="1">
        <f ca="1">IFERROR(__xludf.DUMMYFUNCTION("COUNTA(SPLIT(F920,"" ""))"),82)</f>
        <v>82</v>
      </c>
      <c r="H920" s="1">
        <v>82</v>
      </c>
      <c r="I920" s="1"/>
      <c r="J920" s="1"/>
      <c r="K920" s="1"/>
      <c r="L920" s="1"/>
      <c r="M920" s="1"/>
      <c r="N920" s="1"/>
      <c r="O920" s="1"/>
      <c r="P920" s="1"/>
      <c r="Q920" s="1"/>
      <c r="R920" s="1"/>
      <c r="S920" s="1"/>
      <c r="T920" s="1"/>
    </row>
    <row r="921" spans="1:20" ht="33.75" hidden="1" customHeight="1">
      <c r="A921" s="1" t="s">
        <v>2713</v>
      </c>
      <c r="B921" s="1" t="s">
        <v>2335</v>
      </c>
      <c r="C921" s="4">
        <v>39873.79583333333</v>
      </c>
      <c r="D921" s="1" t="s">
        <v>196</v>
      </c>
      <c r="E921" s="1">
        <v>842</v>
      </c>
      <c r="F921" s="2" t="s">
        <v>2714</v>
      </c>
      <c r="G921" s="1">
        <f ca="1">IFERROR(__xludf.DUMMYFUNCTION("COUNTA(SPLIT(F921,"" ""))"),147)</f>
        <v>147</v>
      </c>
      <c r="H921" s="1">
        <v>147</v>
      </c>
      <c r="I921" s="1"/>
      <c r="J921" s="1"/>
      <c r="K921" s="1"/>
      <c r="L921" s="1"/>
      <c r="M921" s="1"/>
      <c r="N921" s="1"/>
      <c r="O921" s="1"/>
      <c r="P921" s="1"/>
      <c r="Q921" s="1"/>
      <c r="R921" s="1"/>
      <c r="S921" s="1"/>
      <c r="T921" s="1"/>
    </row>
    <row r="922" spans="1:20" ht="33.75" hidden="1" customHeight="1">
      <c r="A922" s="1" t="s">
        <v>2715</v>
      </c>
      <c r="B922" s="1" t="s">
        <v>2335</v>
      </c>
      <c r="C922" s="4">
        <v>39873.799305555556</v>
      </c>
      <c r="D922" s="1" t="s">
        <v>196</v>
      </c>
      <c r="E922" s="1" t="s">
        <v>2713</v>
      </c>
      <c r="F922" s="2" t="s">
        <v>2716</v>
      </c>
      <c r="G922" s="1">
        <f ca="1">IFERROR(__xludf.DUMMYFUNCTION("COUNTA(SPLIT(F922,"" ""))"),12)</f>
        <v>12</v>
      </c>
      <c r="H922" s="1">
        <v>12</v>
      </c>
      <c r="I922" s="1"/>
      <c r="J922" s="1"/>
      <c r="K922" s="1"/>
      <c r="L922" s="1"/>
      <c r="M922" s="1"/>
      <c r="N922" s="1"/>
      <c r="O922" s="1"/>
      <c r="P922" s="1"/>
      <c r="Q922" s="1"/>
      <c r="R922" s="1"/>
      <c r="S922" s="1"/>
      <c r="T922" s="1"/>
    </row>
    <row r="923" spans="1:20" ht="33.75" hidden="1" customHeight="1">
      <c r="A923" s="1" t="s">
        <v>2717</v>
      </c>
      <c r="B923" s="1" t="s">
        <v>2335</v>
      </c>
      <c r="C923" s="4">
        <v>39873.80972222222</v>
      </c>
      <c r="D923" s="1" t="s">
        <v>196</v>
      </c>
      <c r="E923" s="1" t="s">
        <v>2713</v>
      </c>
      <c r="F923" s="2" t="s">
        <v>2718</v>
      </c>
      <c r="G923" s="1">
        <f ca="1">IFERROR(__xludf.DUMMYFUNCTION("COUNTA(SPLIT(F923,"" ""))"),77)</f>
        <v>77</v>
      </c>
      <c r="H923" s="1">
        <v>77</v>
      </c>
      <c r="I923" s="1"/>
      <c r="J923" s="1"/>
      <c r="K923" s="1"/>
      <c r="L923" s="1"/>
      <c r="M923" s="1"/>
      <c r="N923" s="1"/>
      <c r="O923" s="1"/>
      <c r="P923" s="1"/>
      <c r="Q923" s="1"/>
      <c r="R923" s="1"/>
      <c r="S923" s="1"/>
      <c r="T923" s="1"/>
    </row>
    <row r="924" spans="1:20" ht="33.75" hidden="1" customHeight="1">
      <c r="A924" s="1" t="s">
        <v>2719</v>
      </c>
      <c r="B924" s="1" t="s">
        <v>2335</v>
      </c>
      <c r="C924" s="4">
        <v>39873.811805555553</v>
      </c>
      <c r="D924" s="1" t="s">
        <v>196</v>
      </c>
      <c r="E924" s="1" t="s">
        <v>2717</v>
      </c>
      <c r="F924" s="2" t="s">
        <v>2720</v>
      </c>
      <c r="G924" s="1">
        <f ca="1">IFERROR(__xludf.DUMMYFUNCTION("COUNTA(SPLIT(F924,"" ""))"),12)</f>
        <v>12</v>
      </c>
      <c r="H924" s="1">
        <v>12</v>
      </c>
      <c r="I924" s="1"/>
      <c r="J924" s="1"/>
      <c r="K924" s="1"/>
      <c r="L924" s="1"/>
      <c r="M924" s="1"/>
      <c r="N924" s="1"/>
      <c r="O924" s="1"/>
      <c r="P924" s="1"/>
      <c r="Q924" s="1"/>
      <c r="R924" s="1"/>
      <c r="S924" s="1"/>
      <c r="T924" s="1"/>
    </row>
    <row r="925" spans="1:20" ht="33.75" hidden="1" customHeight="1">
      <c r="A925" s="1" t="s">
        <v>2721</v>
      </c>
      <c r="B925" s="1" t="s">
        <v>2335</v>
      </c>
      <c r="C925" s="4">
        <v>39873.816666666666</v>
      </c>
      <c r="D925" s="1" t="s">
        <v>320</v>
      </c>
      <c r="E925" s="1" t="s">
        <v>2706</v>
      </c>
      <c r="F925" s="2" t="s">
        <v>2723</v>
      </c>
      <c r="G925" s="1">
        <f ca="1">IFERROR(__xludf.DUMMYFUNCTION("COUNTA(SPLIT(F925,"" ""))"),17)</f>
        <v>17</v>
      </c>
      <c r="H925" s="1">
        <v>17</v>
      </c>
      <c r="I925" s="1"/>
      <c r="J925" s="1"/>
      <c r="K925" s="1"/>
      <c r="L925" s="1"/>
      <c r="M925" s="1"/>
      <c r="N925" s="1"/>
      <c r="O925" s="1"/>
      <c r="P925" s="1"/>
      <c r="Q925" s="1"/>
      <c r="R925" s="1"/>
      <c r="S925" s="1"/>
      <c r="T925" s="1"/>
    </row>
    <row r="926" spans="1:20" ht="33.75" hidden="1" customHeight="1">
      <c r="A926" s="1" t="s">
        <v>2724</v>
      </c>
      <c r="B926" s="1" t="s">
        <v>1814</v>
      </c>
      <c r="C926" s="4">
        <v>39873.822916666664</v>
      </c>
      <c r="D926" s="1" t="s">
        <v>54</v>
      </c>
      <c r="E926" s="1" t="s">
        <v>2711</v>
      </c>
      <c r="F926" s="2" t="s">
        <v>2725</v>
      </c>
      <c r="G926" s="1">
        <f ca="1">IFERROR(__xludf.DUMMYFUNCTION("COUNTA(SPLIT(F926,"" ""))"),26)</f>
        <v>26</v>
      </c>
      <c r="H926" s="1">
        <v>26</v>
      </c>
      <c r="I926" s="1"/>
      <c r="J926" s="1"/>
      <c r="K926" s="1"/>
      <c r="L926" s="1"/>
      <c r="M926" s="1"/>
      <c r="N926" s="1"/>
      <c r="O926" s="1"/>
      <c r="P926" s="1"/>
      <c r="Q926" s="1"/>
      <c r="R926" s="1"/>
      <c r="S926" s="1"/>
      <c r="T926" s="1"/>
    </row>
    <row r="927" spans="1:20" ht="33.75" hidden="1" customHeight="1">
      <c r="A927" s="1" t="s">
        <v>2726</v>
      </c>
      <c r="B927" s="1" t="s">
        <v>2335</v>
      </c>
      <c r="C927" s="4">
        <v>39873.830555555556</v>
      </c>
      <c r="D927" s="1" t="s">
        <v>196</v>
      </c>
      <c r="E927" s="1" t="s">
        <v>2717</v>
      </c>
      <c r="F927" s="2" t="s">
        <v>2727</v>
      </c>
      <c r="G927" s="1">
        <f ca="1">IFERROR(__xludf.DUMMYFUNCTION("COUNTA(SPLIT(F927,"" ""))"),108)</f>
        <v>108</v>
      </c>
      <c r="H927" s="1">
        <v>108</v>
      </c>
      <c r="I927" s="1"/>
      <c r="J927" s="1"/>
      <c r="K927" s="1"/>
      <c r="L927" s="1"/>
      <c r="M927" s="1"/>
      <c r="N927" s="1"/>
      <c r="O927" s="1"/>
      <c r="P927" s="1"/>
      <c r="Q927" s="1"/>
      <c r="R927" s="1"/>
      <c r="S927" s="1"/>
      <c r="T927" s="1"/>
    </row>
    <row r="928" spans="1:20" ht="33.75" customHeight="1">
      <c r="A928" s="1" t="s">
        <v>2728</v>
      </c>
      <c r="B928" s="1" t="s">
        <v>2335</v>
      </c>
      <c r="C928" s="4">
        <v>39873.895138888889</v>
      </c>
      <c r="D928" s="1" t="s">
        <v>196</v>
      </c>
      <c r="E928" s="1"/>
      <c r="F928" s="2" t="s">
        <v>2729</v>
      </c>
      <c r="G928" s="1">
        <f ca="1">IFERROR(__xludf.DUMMYFUNCTION("COUNTA(SPLIT(F928,"" ""))"),286)</f>
        <v>286</v>
      </c>
      <c r="H928" s="1">
        <v>286</v>
      </c>
      <c r="I928" s="1"/>
      <c r="J928" s="1"/>
      <c r="K928" s="1"/>
      <c r="L928" s="1"/>
      <c r="M928" s="1"/>
      <c r="N928" s="1"/>
      <c r="O928" s="1"/>
      <c r="P928" s="1"/>
      <c r="Q928" s="1"/>
      <c r="R928" s="1"/>
      <c r="S928" s="1"/>
      <c r="T928" s="1"/>
    </row>
    <row r="929" spans="1:20" ht="33.75" hidden="1" customHeight="1">
      <c r="A929" s="1" t="s">
        <v>2730</v>
      </c>
      <c r="B929" s="1" t="s">
        <v>2335</v>
      </c>
      <c r="C929" s="4">
        <v>39873.945138888892</v>
      </c>
      <c r="D929" s="1" t="s">
        <v>196</v>
      </c>
      <c r="E929" s="1" t="s">
        <v>2728</v>
      </c>
      <c r="F929" s="2" t="s">
        <v>2731</v>
      </c>
      <c r="G929" s="1">
        <f ca="1">IFERROR(__xludf.DUMMYFUNCTION("COUNTA(SPLIT(F929,"" ""))"),281)</f>
        <v>281</v>
      </c>
      <c r="H929" s="1">
        <v>281</v>
      </c>
      <c r="I929" s="1"/>
      <c r="J929" s="1"/>
      <c r="K929" s="1"/>
      <c r="L929" s="1"/>
      <c r="M929" s="1"/>
      <c r="N929" s="1"/>
      <c r="O929" s="1"/>
      <c r="P929" s="1"/>
      <c r="Q929" s="1"/>
      <c r="R929" s="1"/>
      <c r="S929" s="1"/>
      <c r="T929" s="1"/>
    </row>
    <row r="930" spans="1:20" ht="33.75" customHeight="1">
      <c r="A930" s="1" t="s">
        <v>12</v>
      </c>
      <c r="B930" s="1" t="s">
        <v>2636</v>
      </c>
      <c r="C930" s="4">
        <v>39873.984710648147</v>
      </c>
      <c r="D930" s="1" t="s">
        <v>14</v>
      </c>
      <c r="E930" s="1"/>
      <c r="F930" s="2" t="s">
        <v>2734</v>
      </c>
      <c r="G930" s="1">
        <f ca="1">IFERROR(__xludf.DUMMYFUNCTION("COUNTA(SPLIT(F930,"" ""))"),227)</f>
        <v>227</v>
      </c>
      <c r="H930" s="1">
        <v>227</v>
      </c>
      <c r="I930" s="1"/>
      <c r="J930" s="1"/>
      <c r="K930" s="1"/>
      <c r="L930" s="1"/>
      <c r="M930" s="1"/>
      <c r="N930" s="1"/>
      <c r="O930" s="1"/>
      <c r="P930" s="1"/>
      <c r="Q930" s="1"/>
      <c r="R930" s="1"/>
      <c r="S930" s="1"/>
      <c r="T930" s="1"/>
    </row>
    <row r="931" spans="1:20" ht="33.75" hidden="1" customHeight="1">
      <c r="A931" s="1" t="s">
        <v>2735</v>
      </c>
      <c r="B931" s="1" t="s">
        <v>2335</v>
      </c>
      <c r="C931" s="4">
        <v>39874.012499999997</v>
      </c>
      <c r="D931" s="1" t="s">
        <v>14</v>
      </c>
      <c r="E931" s="1" t="s">
        <v>2736</v>
      </c>
      <c r="F931" s="2" t="s">
        <v>2737</v>
      </c>
      <c r="G931" s="1">
        <f ca="1">IFERROR(__xludf.DUMMYFUNCTION("COUNTA(SPLIT(F931,"" ""))"),117)</f>
        <v>117</v>
      </c>
      <c r="H931" s="1">
        <v>117</v>
      </c>
      <c r="I931" s="1"/>
      <c r="J931" s="1"/>
      <c r="K931" s="1"/>
      <c r="L931" s="1"/>
      <c r="M931" s="1"/>
      <c r="N931" s="1"/>
      <c r="O931" s="1"/>
      <c r="P931" s="1"/>
      <c r="Q931" s="1"/>
      <c r="R931" s="1"/>
      <c r="S931" s="1"/>
      <c r="T931" s="1"/>
    </row>
    <row r="932" spans="1:20" ht="33.75" hidden="1" customHeight="1">
      <c r="A932" s="1" t="s">
        <v>2738</v>
      </c>
      <c r="B932" s="1" t="s">
        <v>2335</v>
      </c>
      <c r="C932" s="4">
        <v>39874.013194444444</v>
      </c>
      <c r="D932" s="1" t="s">
        <v>14</v>
      </c>
      <c r="E932" s="1" t="s">
        <v>2739</v>
      </c>
      <c r="F932" s="2" t="s">
        <v>2740</v>
      </c>
      <c r="G932" s="1">
        <f ca="1">IFERROR(__xludf.DUMMYFUNCTION("COUNTA(SPLIT(F932,"" ""))"),144)</f>
        <v>144</v>
      </c>
      <c r="H932" s="1">
        <v>144</v>
      </c>
      <c r="I932" s="1"/>
      <c r="J932" s="1"/>
      <c r="K932" s="1"/>
      <c r="L932" s="1"/>
      <c r="M932" s="1"/>
      <c r="N932" s="1"/>
      <c r="O932" s="1"/>
      <c r="P932" s="1"/>
      <c r="Q932" s="1"/>
      <c r="R932" s="1"/>
      <c r="S932" s="1"/>
      <c r="T932" s="1"/>
    </row>
    <row r="933" spans="1:20" ht="33.75" customHeight="1">
      <c r="A933" s="1" t="s">
        <v>2741</v>
      </c>
      <c r="B933" s="1" t="s">
        <v>2335</v>
      </c>
      <c r="C933" s="4">
        <v>39874.013888888891</v>
      </c>
      <c r="D933" s="1" t="s">
        <v>14</v>
      </c>
      <c r="E933" s="1"/>
      <c r="F933" s="2" t="s">
        <v>2742</v>
      </c>
      <c r="G933" s="1">
        <f ca="1">IFERROR(__xludf.DUMMYFUNCTION("COUNTA(SPLIT(F933,"" ""))"),218)</f>
        <v>218</v>
      </c>
      <c r="H933" s="1">
        <v>218</v>
      </c>
      <c r="I933" s="1"/>
      <c r="J933" s="1"/>
      <c r="K933" s="1"/>
      <c r="L933" s="1"/>
      <c r="M933" s="1"/>
      <c r="N933" s="1"/>
      <c r="O933" s="1"/>
      <c r="P933" s="1"/>
      <c r="Q933" s="1"/>
      <c r="R933" s="1"/>
      <c r="S933" s="1"/>
      <c r="T933" s="1"/>
    </row>
    <row r="934" spans="1:20" ht="33.75" customHeight="1">
      <c r="A934" s="1" t="s">
        <v>2743</v>
      </c>
      <c r="B934" s="1" t="s">
        <v>2335</v>
      </c>
      <c r="C934" s="4">
        <v>39874.015277777777</v>
      </c>
      <c r="D934" s="1" t="s">
        <v>14</v>
      </c>
      <c r="E934" s="1"/>
      <c r="F934" s="2" t="s">
        <v>2744</v>
      </c>
      <c r="G934" s="1">
        <f ca="1">IFERROR(__xludf.DUMMYFUNCTION("COUNTA(SPLIT(F934,"" ""))"),28)</f>
        <v>28</v>
      </c>
      <c r="H934" s="1">
        <v>28</v>
      </c>
      <c r="I934" s="1"/>
      <c r="J934" s="1"/>
      <c r="K934" s="1"/>
      <c r="L934" s="1"/>
      <c r="M934" s="1"/>
      <c r="N934" s="1"/>
      <c r="O934" s="1"/>
      <c r="P934" s="1"/>
      <c r="Q934" s="1"/>
      <c r="R934" s="1"/>
      <c r="S934" s="1"/>
      <c r="T934" s="1"/>
    </row>
    <row r="935" spans="1:20" ht="33.75" hidden="1" customHeight="1">
      <c r="A935" s="1" t="s">
        <v>2745</v>
      </c>
      <c r="B935" s="1" t="s">
        <v>2636</v>
      </c>
      <c r="C935" s="4">
        <v>39874.085416666669</v>
      </c>
      <c r="D935" s="1" t="s">
        <v>54</v>
      </c>
      <c r="E935" s="1" t="s">
        <v>2735</v>
      </c>
      <c r="F935" s="2" t="s">
        <v>2746</v>
      </c>
      <c r="G935" s="1">
        <f ca="1">IFERROR(__xludf.DUMMYFUNCTION("COUNTA(SPLIT(F935,"" ""))"),584)</f>
        <v>584</v>
      </c>
      <c r="H935" s="1">
        <v>584</v>
      </c>
      <c r="I935" s="1"/>
      <c r="J935" s="1"/>
      <c r="K935" s="1"/>
      <c r="L935" s="1"/>
      <c r="M935" s="1"/>
      <c r="N935" s="1"/>
      <c r="O935" s="1"/>
      <c r="P935" s="1"/>
      <c r="Q935" s="1"/>
      <c r="R935" s="1"/>
      <c r="S935" s="1"/>
      <c r="T935" s="1"/>
    </row>
    <row r="936" spans="1:20" ht="33.75" hidden="1" customHeight="1">
      <c r="A936" s="1" t="s">
        <v>2747</v>
      </c>
      <c r="B936" s="1" t="s">
        <v>2636</v>
      </c>
      <c r="C936" s="4">
        <v>39874.087500000001</v>
      </c>
      <c r="D936" s="1" t="s">
        <v>54</v>
      </c>
      <c r="E936" s="1" t="s">
        <v>2745</v>
      </c>
      <c r="F936" s="2" t="s">
        <v>2748</v>
      </c>
      <c r="G936" s="1">
        <f ca="1">IFERROR(__xludf.DUMMYFUNCTION("COUNTA(SPLIT(F936,"" ""))"),108)</f>
        <v>108</v>
      </c>
      <c r="H936" s="1">
        <v>108</v>
      </c>
      <c r="I936" s="1"/>
      <c r="J936" s="1"/>
      <c r="K936" s="1"/>
      <c r="L936" s="1"/>
      <c r="M936" s="1"/>
      <c r="N936" s="1"/>
      <c r="O936" s="1"/>
      <c r="P936" s="1"/>
      <c r="Q936" s="1"/>
      <c r="R936" s="1"/>
      <c r="S936" s="1"/>
      <c r="T936" s="1"/>
    </row>
    <row r="937" spans="1:20" ht="33.75" hidden="1" customHeight="1">
      <c r="A937" s="1" t="s">
        <v>2749</v>
      </c>
      <c r="B937" s="1" t="s">
        <v>2636</v>
      </c>
      <c r="C937" s="4">
        <v>39874.172222222223</v>
      </c>
      <c r="D937" s="1" t="s">
        <v>320</v>
      </c>
      <c r="E937" s="1" t="s">
        <v>2738</v>
      </c>
      <c r="F937" s="2" t="s">
        <v>2750</v>
      </c>
      <c r="G937" s="1">
        <f ca="1">IFERROR(__xludf.DUMMYFUNCTION("COUNTA(SPLIT(F937,"" ""))"),41)</f>
        <v>41</v>
      </c>
      <c r="H937" s="1">
        <v>41</v>
      </c>
      <c r="I937" s="1"/>
      <c r="J937" s="1"/>
      <c r="K937" s="1"/>
      <c r="L937" s="1"/>
      <c r="M937" s="1"/>
      <c r="N937" s="1"/>
      <c r="O937" s="1"/>
      <c r="P937" s="1"/>
      <c r="Q937" s="1"/>
      <c r="R937" s="1"/>
      <c r="S937" s="1"/>
      <c r="T937" s="1"/>
    </row>
    <row r="938" spans="1:20" ht="33.75" customHeight="1">
      <c r="A938" s="1" t="s">
        <v>2751</v>
      </c>
      <c r="B938" s="1" t="s">
        <v>2636</v>
      </c>
      <c r="C938" s="4">
        <v>39874.261805555558</v>
      </c>
      <c r="D938" s="1" t="s">
        <v>54</v>
      </c>
      <c r="E938" s="1"/>
      <c r="F938" s="2" t="s">
        <v>2753</v>
      </c>
      <c r="G938" s="1">
        <f ca="1">IFERROR(__xludf.DUMMYFUNCTION("COUNTA(SPLIT(F938,"" ""))"),40)</f>
        <v>40</v>
      </c>
      <c r="H938" s="1">
        <v>40</v>
      </c>
      <c r="I938" s="1"/>
      <c r="J938" s="1"/>
      <c r="K938" s="1"/>
      <c r="L938" s="1"/>
      <c r="M938" s="1"/>
      <c r="N938" s="1"/>
      <c r="O938" s="1"/>
      <c r="P938" s="1"/>
      <c r="Q938" s="1"/>
      <c r="R938" s="1"/>
      <c r="S938" s="1"/>
      <c r="T938" s="1"/>
    </row>
    <row r="939" spans="1:20" ht="33.75" customHeight="1">
      <c r="A939" s="1" t="s">
        <v>2754</v>
      </c>
      <c r="B939" s="1" t="s">
        <v>2636</v>
      </c>
      <c r="C939" s="4">
        <v>39874.336805555555</v>
      </c>
      <c r="D939" s="1" t="s">
        <v>54</v>
      </c>
      <c r="E939" s="1"/>
      <c r="F939" s="2" t="s">
        <v>2755</v>
      </c>
      <c r="G939" s="1">
        <f ca="1">IFERROR(__xludf.DUMMYFUNCTION("COUNTA(SPLIT(F939,"" ""))"),264)</f>
        <v>264</v>
      </c>
      <c r="H939" s="1">
        <v>264</v>
      </c>
      <c r="I939" s="1"/>
      <c r="J939" s="1"/>
      <c r="K939" s="1"/>
      <c r="L939" s="1"/>
      <c r="M939" s="1"/>
      <c r="N939" s="1"/>
      <c r="O939" s="1"/>
      <c r="P939" s="1"/>
      <c r="Q939" s="1"/>
      <c r="R939" s="1"/>
      <c r="S939" s="1"/>
      <c r="T939" s="1"/>
    </row>
    <row r="940" spans="1:20" ht="33.75" hidden="1" customHeight="1">
      <c r="A940" s="1" t="s">
        <v>2756</v>
      </c>
      <c r="B940" s="1" t="s">
        <v>2636</v>
      </c>
      <c r="C940" s="4">
        <v>39874.37777777778</v>
      </c>
      <c r="D940" s="1" t="s">
        <v>14</v>
      </c>
      <c r="E940" s="1" t="s">
        <v>2745</v>
      </c>
      <c r="F940" s="2" t="s">
        <v>2757</v>
      </c>
      <c r="G940" s="1">
        <f ca="1">IFERROR(__xludf.DUMMYFUNCTION("COUNTA(SPLIT(F940,"" ""))"),182)</f>
        <v>182</v>
      </c>
      <c r="H940" s="1">
        <v>182</v>
      </c>
      <c r="I940" s="1"/>
      <c r="J940" s="1"/>
      <c r="K940" s="1"/>
      <c r="L940" s="1"/>
      <c r="M940" s="1"/>
      <c r="N940" s="1"/>
      <c r="O940" s="1"/>
      <c r="P940" s="1"/>
      <c r="Q940" s="1"/>
      <c r="R940" s="1"/>
      <c r="S940" s="1"/>
      <c r="T940" s="1"/>
    </row>
    <row r="941" spans="1:20" ht="33.75" customHeight="1">
      <c r="A941" s="1" t="s">
        <v>2758</v>
      </c>
      <c r="B941" s="1" t="s">
        <v>2636</v>
      </c>
      <c r="C941" s="4">
        <v>39874.42291666667</v>
      </c>
      <c r="D941" s="1" t="s">
        <v>14</v>
      </c>
      <c r="E941" s="1"/>
      <c r="F941" s="2" t="s">
        <v>2759</v>
      </c>
      <c r="G941" s="1">
        <f ca="1">IFERROR(__xludf.DUMMYFUNCTION("COUNTA(SPLIT(F941,"" ""))"),591)</f>
        <v>591</v>
      </c>
      <c r="H941" s="1">
        <v>591</v>
      </c>
      <c r="I941" s="1"/>
      <c r="J941" s="1"/>
      <c r="K941" s="1"/>
      <c r="L941" s="1"/>
      <c r="M941" s="1"/>
      <c r="N941" s="1"/>
      <c r="O941" s="1"/>
      <c r="P941" s="1"/>
      <c r="Q941" s="1"/>
      <c r="R941" s="1"/>
      <c r="S941" s="1"/>
      <c r="T941" s="1"/>
    </row>
    <row r="942" spans="1:20" ht="33.75" customHeight="1">
      <c r="A942" s="1" t="s">
        <v>2760</v>
      </c>
      <c r="B942" s="1" t="s">
        <v>2636</v>
      </c>
      <c r="C942" s="4">
        <v>39874.427777777775</v>
      </c>
      <c r="D942" s="1" t="s">
        <v>14</v>
      </c>
      <c r="E942" s="1"/>
      <c r="F942" s="2" t="s">
        <v>2762</v>
      </c>
      <c r="G942" s="1">
        <f ca="1">IFERROR(__xludf.DUMMYFUNCTION("COUNTA(SPLIT(F942,"" ""))"),334)</f>
        <v>334</v>
      </c>
      <c r="H942" s="1">
        <v>334</v>
      </c>
      <c r="I942" s="1"/>
      <c r="J942" s="1"/>
      <c r="K942" s="1"/>
      <c r="L942" s="1"/>
      <c r="M942" s="1"/>
      <c r="N942" s="1"/>
      <c r="O942" s="1"/>
      <c r="P942" s="1"/>
      <c r="Q942" s="1"/>
      <c r="R942" s="1"/>
      <c r="S942" s="1"/>
      <c r="T942" s="1"/>
    </row>
    <row r="943" spans="1:20" ht="33.75" customHeight="1">
      <c r="A943" s="1"/>
      <c r="B943" s="1" t="s">
        <v>2636</v>
      </c>
      <c r="C943" s="4">
        <v>39874.772916666669</v>
      </c>
      <c r="D943" s="1" t="s">
        <v>14</v>
      </c>
      <c r="E943" s="1"/>
      <c r="F943" s="2" t="s">
        <v>2764</v>
      </c>
      <c r="G943" s="1">
        <f ca="1">IFERROR(__xludf.DUMMYFUNCTION("COUNTA(SPLIT(F943,"" ""))"),456)</f>
        <v>456</v>
      </c>
      <c r="H943" s="1">
        <v>456</v>
      </c>
      <c r="I943" s="1"/>
      <c r="J943" s="1"/>
      <c r="K943" s="1"/>
      <c r="L943" s="1"/>
      <c r="M943" s="1"/>
      <c r="N943" s="1"/>
      <c r="O943" s="1"/>
      <c r="P943" s="1"/>
      <c r="Q943" s="1"/>
      <c r="R943" s="1"/>
      <c r="S943" s="1"/>
      <c r="T943" s="1"/>
    </row>
    <row r="944" spans="1:20" ht="33.75" hidden="1" customHeight="1">
      <c r="A944" s="1" t="s">
        <v>2765</v>
      </c>
      <c r="B944" s="1" t="s">
        <v>2636</v>
      </c>
      <c r="C944" s="4">
        <v>39874.779166666667</v>
      </c>
      <c r="D944" s="1" t="s">
        <v>320</v>
      </c>
      <c r="E944" s="1">
        <v>837.2</v>
      </c>
      <c r="F944" s="2" t="s">
        <v>2766</v>
      </c>
      <c r="G944" s="1">
        <f ca="1">IFERROR(__xludf.DUMMYFUNCTION("COUNTA(SPLIT(F944,"" ""))"),197)</f>
        <v>197</v>
      </c>
      <c r="H944" s="1">
        <v>197</v>
      </c>
      <c r="I944" s="1"/>
      <c r="J944" s="1"/>
      <c r="K944" s="1"/>
      <c r="L944" s="1"/>
      <c r="M944" s="1"/>
      <c r="N944" s="1"/>
      <c r="O944" s="1"/>
      <c r="P944" s="1"/>
      <c r="Q944" s="1"/>
      <c r="R944" s="1"/>
      <c r="S944" s="1"/>
      <c r="T944" s="1"/>
    </row>
    <row r="945" spans="1:20" ht="33.75" hidden="1" customHeight="1">
      <c r="A945" s="1" t="s">
        <v>2767</v>
      </c>
      <c r="B945" s="1" t="s">
        <v>2636</v>
      </c>
      <c r="C945" s="4">
        <v>39874.779861111114</v>
      </c>
      <c r="D945" s="1" t="s">
        <v>320</v>
      </c>
      <c r="E945" s="1" t="s">
        <v>2765</v>
      </c>
      <c r="F945" s="2" t="s">
        <v>2768</v>
      </c>
      <c r="G945" s="1">
        <f ca="1">IFERROR(__xludf.DUMMYFUNCTION("COUNTA(SPLIT(F945,"" ""))"),19)</f>
        <v>19</v>
      </c>
      <c r="H945" s="1">
        <v>19</v>
      </c>
      <c r="I945" s="1"/>
      <c r="J945" s="1"/>
      <c r="K945" s="1"/>
      <c r="L945" s="1"/>
      <c r="M945" s="1"/>
      <c r="N945" s="1"/>
      <c r="O945" s="1"/>
      <c r="P945" s="1"/>
      <c r="Q945" s="1"/>
      <c r="R945" s="1"/>
      <c r="S945" s="1"/>
      <c r="T945" s="1"/>
    </row>
    <row r="946" spans="1:20" ht="33.75" hidden="1" customHeight="1">
      <c r="A946" s="1" t="s">
        <v>2769</v>
      </c>
      <c r="B946" s="1" t="s">
        <v>2636</v>
      </c>
      <c r="C946" s="4">
        <v>39874.783333333333</v>
      </c>
      <c r="D946" s="1" t="s">
        <v>320</v>
      </c>
      <c r="E946" s="1" t="s">
        <v>2770</v>
      </c>
      <c r="F946" s="2" t="s">
        <v>2772</v>
      </c>
      <c r="G946" s="1">
        <f ca="1">IFERROR(__xludf.DUMMYFUNCTION("COUNTA(SPLIT(F946,"" ""))"),101)</f>
        <v>101</v>
      </c>
      <c r="H946" s="1">
        <v>101</v>
      </c>
      <c r="I946" s="1"/>
      <c r="J946" s="1"/>
      <c r="K946" s="1"/>
      <c r="L946" s="1"/>
      <c r="M946" s="1"/>
      <c r="N946" s="1"/>
      <c r="O946" s="1"/>
      <c r="P946" s="1"/>
      <c r="Q946" s="1"/>
      <c r="R946" s="1"/>
      <c r="S946" s="1"/>
      <c r="T946" s="1"/>
    </row>
    <row r="947" spans="1:20" ht="33.75" hidden="1" customHeight="1">
      <c r="A947" s="1" t="s">
        <v>2773</v>
      </c>
      <c r="B947" s="1" t="s">
        <v>2636</v>
      </c>
      <c r="C947" s="4">
        <v>39874.821527777778</v>
      </c>
      <c r="D947" s="1" t="s">
        <v>14</v>
      </c>
      <c r="E947" s="1" t="s">
        <v>2769</v>
      </c>
      <c r="F947" s="2" t="s">
        <v>2774</v>
      </c>
      <c r="G947" s="1">
        <f ca="1">IFERROR(__xludf.DUMMYFUNCTION("COUNTA(SPLIT(F947,"" ""))"),212)</f>
        <v>212</v>
      </c>
      <c r="H947" s="1">
        <v>212</v>
      </c>
      <c r="I947" s="1"/>
      <c r="J947" s="1"/>
      <c r="K947" s="1"/>
      <c r="L947" s="1"/>
      <c r="M947" s="1"/>
      <c r="N947" s="1"/>
      <c r="O947" s="1"/>
      <c r="P947" s="1"/>
      <c r="Q947" s="1"/>
      <c r="R947" s="1"/>
      <c r="S947" s="1"/>
      <c r="T947" s="1"/>
    </row>
    <row r="948" spans="1:20" ht="33.75" customHeight="1">
      <c r="A948" s="1" t="s">
        <v>2775</v>
      </c>
      <c r="B948" s="1" t="s">
        <v>2636</v>
      </c>
      <c r="C948" s="4">
        <v>39874.857638888891</v>
      </c>
      <c r="D948" s="1" t="s">
        <v>14</v>
      </c>
      <c r="E948" s="1"/>
      <c r="F948" s="2" t="s">
        <v>2776</v>
      </c>
      <c r="G948" s="1">
        <f ca="1">IFERROR(__xludf.DUMMYFUNCTION("COUNTA(SPLIT(F948,"" ""))"),484)</f>
        <v>484</v>
      </c>
      <c r="H948" s="1">
        <v>484</v>
      </c>
      <c r="I948" s="1"/>
      <c r="J948" s="1"/>
      <c r="K948" s="1"/>
      <c r="L948" s="1"/>
      <c r="M948" s="1"/>
      <c r="N948" s="1"/>
      <c r="O948" s="1"/>
      <c r="P948" s="1"/>
      <c r="Q948" s="1"/>
      <c r="R948" s="1"/>
      <c r="S948" s="1"/>
      <c r="T948" s="1"/>
    </row>
    <row r="949" spans="1:20" ht="33.75" hidden="1" customHeight="1">
      <c r="A949" s="1" t="s">
        <v>2777</v>
      </c>
      <c r="B949" s="1" t="s">
        <v>2636</v>
      </c>
      <c r="C949" s="4">
        <v>39874.863888888889</v>
      </c>
      <c r="D949" s="1" t="s">
        <v>54</v>
      </c>
      <c r="E949" s="1" t="s">
        <v>2778</v>
      </c>
      <c r="F949" s="2" t="s">
        <v>2779</v>
      </c>
      <c r="G949" s="1">
        <f ca="1">IFERROR(__xludf.DUMMYFUNCTION("COUNTA(SPLIT(F949,"" ""))"),624)</f>
        <v>624</v>
      </c>
      <c r="H949" s="1">
        <v>624</v>
      </c>
      <c r="I949" s="1"/>
      <c r="J949" s="1"/>
      <c r="K949" s="1"/>
      <c r="L949" s="1"/>
      <c r="M949" s="1"/>
      <c r="N949" s="1"/>
      <c r="O949" s="1"/>
      <c r="P949" s="1"/>
      <c r="Q949" s="1"/>
      <c r="R949" s="1"/>
      <c r="S949" s="1"/>
      <c r="T949" s="1"/>
    </row>
    <row r="950" spans="1:20" ht="33.75" hidden="1" customHeight="1">
      <c r="A950" s="1" t="s">
        <v>2780</v>
      </c>
      <c r="B950" s="1" t="s">
        <v>2636</v>
      </c>
      <c r="C950" s="4">
        <v>39875.864583333336</v>
      </c>
      <c r="D950" s="1" t="s">
        <v>1528</v>
      </c>
      <c r="E950" s="1">
        <v>862</v>
      </c>
      <c r="F950" s="2" t="s">
        <v>2781</v>
      </c>
      <c r="G950" s="1">
        <f ca="1">IFERROR(__xludf.DUMMYFUNCTION("COUNTA(SPLIT(F950,"" ""))"),625)</f>
        <v>625</v>
      </c>
      <c r="H950" s="1">
        <v>625</v>
      </c>
      <c r="I950" s="1"/>
      <c r="J950" s="1"/>
      <c r="K950" s="1"/>
      <c r="L950" s="1"/>
      <c r="M950" s="1"/>
      <c r="N950" s="1"/>
      <c r="O950" s="1"/>
      <c r="P950" s="1"/>
      <c r="Q950" s="1"/>
      <c r="R950" s="1"/>
      <c r="S950" s="1"/>
      <c r="T950" s="1"/>
    </row>
    <row r="951" spans="1:20" ht="33.75" hidden="1" customHeight="1">
      <c r="A951" s="1" t="s">
        <v>2782</v>
      </c>
      <c r="B951" s="1" t="s">
        <v>2636</v>
      </c>
      <c r="C951" s="4">
        <v>39874.868750000001</v>
      </c>
      <c r="D951" s="1" t="s">
        <v>54</v>
      </c>
      <c r="E951" s="1" t="s">
        <v>2783</v>
      </c>
      <c r="F951" s="2" t="s">
        <v>2784</v>
      </c>
      <c r="G951" s="1">
        <f ca="1">IFERROR(__xludf.DUMMYFUNCTION("COUNTA(SPLIT(F951,"" ""))"),64)</f>
        <v>64</v>
      </c>
      <c r="H951" s="1">
        <v>64</v>
      </c>
      <c r="I951" s="1"/>
      <c r="J951" s="1"/>
      <c r="K951" s="1"/>
      <c r="L951" s="1"/>
      <c r="M951" s="1"/>
      <c r="N951" s="1"/>
      <c r="O951" s="1"/>
      <c r="P951" s="1"/>
      <c r="Q951" s="1"/>
      <c r="R951" s="1"/>
      <c r="S951" s="1"/>
      <c r="T951" s="1"/>
    </row>
    <row r="952" spans="1:20" ht="33.75" customHeight="1">
      <c r="A952" s="1" t="s">
        <v>2785</v>
      </c>
      <c r="B952" s="1" t="s">
        <v>2636</v>
      </c>
      <c r="C952" s="4">
        <v>39874.873611111114</v>
      </c>
      <c r="D952" s="1" t="s">
        <v>54</v>
      </c>
      <c r="E952" s="1"/>
      <c r="F952" s="2" t="s">
        <v>2786</v>
      </c>
      <c r="G952" s="1">
        <f ca="1">IFERROR(__xludf.DUMMYFUNCTION("COUNTA(SPLIT(F952,"" ""))"),600)</f>
        <v>600</v>
      </c>
      <c r="H952" s="1">
        <v>600</v>
      </c>
      <c r="I952" s="1"/>
      <c r="J952" s="1"/>
      <c r="K952" s="1"/>
      <c r="L952" s="1"/>
      <c r="M952" s="1"/>
      <c r="N952" s="1"/>
      <c r="O952" s="1"/>
      <c r="P952" s="1"/>
      <c r="Q952" s="1"/>
      <c r="R952" s="1"/>
      <c r="S952" s="1"/>
      <c r="T952" s="1"/>
    </row>
    <row r="953" spans="1:20" ht="33.75" customHeight="1">
      <c r="A953" s="1" t="s">
        <v>2787</v>
      </c>
      <c r="B953" s="1" t="s">
        <v>2636</v>
      </c>
      <c r="C953" s="4">
        <v>39874.875</v>
      </c>
      <c r="D953" s="1" t="s">
        <v>54</v>
      </c>
      <c r="E953" s="1"/>
      <c r="F953" s="2" t="s">
        <v>2789</v>
      </c>
      <c r="G953" s="1">
        <f ca="1">IFERROR(__xludf.DUMMYFUNCTION("COUNTA(SPLIT(F953,"" ""))"),49)</f>
        <v>49</v>
      </c>
      <c r="H953" s="1">
        <v>49</v>
      </c>
      <c r="I953" s="1"/>
      <c r="J953" s="1"/>
      <c r="K953" s="1"/>
      <c r="L953" s="1"/>
      <c r="M953" s="1"/>
      <c r="N953" s="1"/>
      <c r="O953" s="1"/>
      <c r="P953" s="1"/>
      <c r="Q953" s="1"/>
      <c r="R953" s="1"/>
      <c r="S953" s="1"/>
      <c r="T953" s="1"/>
    </row>
    <row r="954" spans="1:20" ht="33.75" hidden="1" customHeight="1">
      <c r="A954" s="1" t="s">
        <v>2790</v>
      </c>
      <c r="B954" s="1" t="s">
        <v>2636</v>
      </c>
      <c r="C954" s="4">
        <v>39874.880555555559</v>
      </c>
      <c r="D954" s="1" t="s">
        <v>54</v>
      </c>
      <c r="E954" s="1" t="s">
        <v>2760</v>
      </c>
      <c r="F954" s="2" t="s">
        <v>2791</v>
      </c>
      <c r="G954" s="1">
        <f ca="1">IFERROR(__xludf.DUMMYFUNCTION("COUNTA(SPLIT(F954,"" ""))"),196)</f>
        <v>196</v>
      </c>
      <c r="H954" s="1">
        <v>196</v>
      </c>
      <c r="I954" s="1"/>
      <c r="J954" s="1"/>
      <c r="K954" s="1"/>
      <c r="L954" s="1"/>
      <c r="M954" s="1"/>
      <c r="N954" s="1"/>
      <c r="O954" s="1"/>
      <c r="P954" s="1"/>
      <c r="Q954" s="1"/>
      <c r="R954" s="1"/>
      <c r="S954" s="1"/>
      <c r="T954" s="1"/>
    </row>
    <row r="955" spans="1:20" ht="33.75" customHeight="1">
      <c r="A955" s="1" t="s">
        <v>2792</v>
      </c>
      <c r="B955" s="1" t="s">
        <v>2636</v>
      </c>
      <c r="C955" s="4">
        <v>39874.943749999999</v>
      </c>
      <c r="D955" s="1" t="s">
        <v>196</v>
      </c>
      <c r="E955" s="1"/>
      <c r="F955" s="2" t="s">
        <v>2793</v>
      </c>
      <c r="G955" s="1">
        <f ca="1">IFERROR(__xludf.DUMMYFUNCTION("COUNTA(SPLIT(F955,"" ""))"),73)</f>
        <v>73</v>
      </c>
      <c r="H955" s="1">
        <v>73</v>
      </c>
      <c r="I955" s="1"/>
      <c r="J955" s="1"/>
      <c r="K955" s="1"/>
      <c r="L955" s="1"/>
      <c r="M955" s="1"/>
      <c r="N955" s="1"/>
      <c r="O955" s="1"/>
      <c r="P955" s="1"/>
      <c r="Q955" s="1"/>
      <c r="R955" s="1"/>
      <c r="S955" s="1"/>
      <c r="T955" s="1"/>
    </row>
    <row r="956" spans="1:20" ht="33.75" hidden="1" customHeight="1">
      <c r="A956" s="1" t="s">
        <v>2794</v>
      </c>
      <c r="B956" s="1" t="s">
        <v>2636</v>
      </c>
      <c r="C956" s="4">
        <v>39874.966666666667</v>
      </c>
      <c r="D956" s="1" t="s">
        <v>54</v>
      </c>
      <c r="E956" s="1" t="s">
        <v>2792</v>
      </c>
      <c r="F956" s="2" t="s">
        <v>2795</v>
      </c>
      <c r="G956" s="1">
        <f ca="1">IFERROR(__xludf.DUMMYFUNCTION("COUNTA(SPLIT(F956,"" ""))"),247)</f>
        <v>247</v>
      </c>
      <c r="H956" s="1">
        <v>247</v>
      </c>
      <c r="I956" s="1"/>
      <c r="J956" s="1"/>
      <c r="K956" s="1"/>
      <c r="L956" s="1"/>
      <c r="M956" s="1"/>
      <c r="N956" s="1"/>
      <c r="O956" s="1"/>
      <c r="P956" s="1"/>
      <c r="Q956" s="1"/>
      <c r="R956" s="1"/>
      <c r="S956" s="1"/>
      <c r="T956" s="1"/>
    </row>
    <row r="957" spans="1:20" ht="33.75" customHeight="1">
      <c r="A957" s="1" t="s">
        <v>2796</v>
      </c>
      <c r="B957" s="1" t="s">
        <v>2636</v>
      </c>
      <c r="C957" s="4">
        <v>39874.980555555558</v>
      </c>
      <c r="D957" s="1" t="s">
        <v>196</v>
      </c>
      <c r="E957" s="1"/>
      <c r="F957" s="2" t="s">
        <v>2797</v>
      </c>
      <c r="G957" s="1">
        <f ca="1">IFERROR(__xludf.DUMMYFUNCTION("COUNTA(SPLIT(F957,"" ""))"),3)</f>
        <v>3</v>
      </c>
      <c r="H957" s="1">
        <v>3</v>
      </c>
      <c r="I957" s="1"/>
      <c r="J957" s="1"/>
      <c r="K957" s="1"/>
      <c r="L957" s="1"/>
      <c r="M957" s="1"/>
      <c r="N957" s="1"/>
      <c r="O957" s="1"/>
      <c r="P957" s="1"/>
      <c r="Q957" s="1"/>
      <c r="R957" s="1"/>
      <c r="S957" s="1"/>
      <c r="T957" s="1"/>
    </row>
    <row r="958" spans="1:20" ht="33.75" customHeight="1">
      <c r="A958" s="1" t="s">
        <v>2798</v>
      </c>
      <c r="B958" s="1" t="s">
        <v>2636</v>
      </c>
      <c r="C958" s="4">
        <v>39875.004166666666</v>
      </c>
      <c r="D958" s="1" t="s">
        <v>14</v>
      </c>
      <c r="E958" s="1"/>
      <c r="F958" s="2" t="s">
        <v>2799</v>
      </c>
      <c r="G958" s="1">
        <f ca="1">IFERROR(__xludf.DUMMYFUNCTION("COUNTA(SPLIT(F958,"" ""))"),1368)</f>
        <v>1368</v>
      </c>
      <c r="H958" s="1">
        <v>1368</v>
      </c>
      <c r="I958" s="1"/>
      <c r="J958" s="1"/>
      <c r="K958" s="1"/>
      <c r="L958" s="1"/>
      <c r="M958" s="1"/>
      <c r="N958" s="1"/>
      <c r="O958" s="1"/>
      <c r="P958" s="1"/>
      <c r="Q958" s="1"/>
      <c r="R958" s="1"/>
      <c r="S958" s="1"/>
      <c r="T958" s="1"/>
    </row>
    <row r="959" spans="1:20" ht="33.75" hidden="1" customHeight="1">
      <c r="A959" s="1" t="s">
        <v>2800</v>
      </c>
      <c r="B959" s="1" t="s">
        <v>2636</v>
      </c>
      <c r="C959" s="4">
        <v>39875.024305555555</v>
      </c>
      <c r="D959" s="1" t="s">
        <v>54</v>
      </c>
      <c r="E959" s="1" t="s">
        <v>2798</v>
      </c>
      <c r="F959" s="2" t="s">
        <v>2801</v>
      </c>
      <c r="G959" s="1">
        <f ca="1">IFERROR(__xludf.DUMMYFUNCTION("COUNTA(SPLIT(F959,"" ""))"),146)</f>
        <v>146</v>
      </c>
      <c r="H959" s="1">
        <v>146</v>
      </c>
      <c r="I959" s="1"/>
      <c r="J959" s="1"/>
      <c r="K959" s="1"/>
      <c r="L959" s="1"/>
      <c r="M959" s="1"/>
      <c r="N959" s="1"/>
      <c r="O959" s="1"/>
      <c r="P959" s="1"/>
      <c r="Q959" s="1"/>
      <c r="R959" s="1"/>
      <c r="S959" s="1"/>
      <c r="T959" s="1"/>
    </row>
    <row r="960" spans="1:20" ht="33.75" hidden="1" customHeight="1">
      <c r="A960" s="1" t="s">
        <v>2802</v>
      </c>
      <c r="B960" s="1" t="s">
        <v>2636</v>
      </c>
      <c r="C960" s="4">
        <v>39875.02847222222</v>
      </c>
      <c r="D960" s="1" t="s">
        <v>54</v>
      </c>
      <c r="E960" s="1" t="s">
        <v>2803</v>
      </c>
      <c r="F960" s="2" t="s">
        <v>2804</v>
      </c>
      <c r="G960" s="1">
        <f ca="1">IFERROR(__xludf.DUMMYFUNCTION("COUNTA(SPLIT(F960,"" ""))"),155)</f>
        <v>155</v>
      </c>
      <c r="H960" s="1">
        <v>155</v>
      </c>
      <c r="I960" s="1"/>
      <c r="J960" s="1"/>
      <c r="K960" s="1"/>
      <c r="L960" s="1"/>
      <c r="M960" s="1"/>
      <c r="N960" s="1"/>
      <c r="O960" s="1"/>
      <c r="P960" s="1"/>
      <c r="Q960" s="1"/>
      <c r="R960" s="1"/>
      <c r="S960" s="1"/>
      <c r="T960" s="1"/>
    </row>
    <row r="961" spans="1:20" ht="33.75" customHeight="1">
      <c r="A961" s="1" t="s">
        <v>2805</v>
      </c>
      <c r="B961" s="1" t="s">
        <v>2636</v>
      </c>
      <c r="C961" s="4">
        <v>39875.061111111114</v>
      </c>
      <c r="D961" s="1" t="s">
        <v>14</v>
      </c>
      <c r="E961" s="1"/>
      <c r="F961" s="2" t="s">
        <v>2806</v>
      </c>
      <c r="G961" s="1">
        <f ca="1">IFERROR(__xludf.DUMMYFUNCTION("COUNTA(SPLIT(F961,"" ""))"),559)</f>
        <v>559</v>
      </c>
      <c r="H961" s="1">
        <v>559</v>
      </c>
      <c r="I961" s="1"/>
      <c r="J961" s="1"/>
      <c r="K961" s="1"/>
      <c r="L961" s="1"/>
      <c r="M961" s="1"/>
      <c r="N961" s="1"/>
      <c r="O961" s="1"/>
      <c r="P961" s="1"/>
      <c r="Q961" s="1"/>
      <c r="R961" s="1"/>
      <c r="S961" s="1"/>
      <c r="T961" s="1"/>
    </row>
    <row r="962" spans="1:20" ht="33.75" customHeight="1">
      <c r="A962" s="1" t="s">
        <v>2807</v>
      </c>
      <c r="B962" s="1" t="s">
        <v>1814</v>
      </c>
      <c r="C962" s="4">
        <v>39875.340277777781</v>
      </c>
      <c r="D962" s="1" t="s">
        <v>84</v>
      </c>
      <c r="E962" s="1"/>
      <c r="F962" s="2" t="s">
        <v>2808</v>
      </c>
      <c r="G962" s="1">
        <f ca="1">IFERROR(__xludf.DUMMYFUNCTION("COUNTA(SPLIT(F962,"" ""))"),397)</f>
        <v>397</v>
      </c>
      <c r="H962" s="1">
        <v>397</v>
      </c>
      <c r="I962" s="1"/>
      <c r="J962" s="1"/>
      <c r="K962" s="1"/>
      <c r="L962" s="1"/>
      <c r="M962" s="1"/>
      <c r="N962" s="1"/>
      <c r="O962" s="1"/>
      <c r="P962" s="1"/>
      <c r="Q962" s="1"/>
      <c r="R962" s="1"/>
      <c r="S962" s="1"/>
      <c r="T962" s="1"/>
    </row>
    <row r="963" spans="1:20" ht="33.75" customHeight="1">
      <c r="A963" s="1" t="s">
        <v>2809</v>
      </c>
      <c r="B963" s="1" t="s">
        <v>1814</v>
      </c>
      <c r="C963" s="4">
        <v>39875.570833333331</v>
      </c>
      <c r="D963" s="1" t="s">
        <v>772</v>
      </c>
      <c r="E963" s="1"/>
      <c r="F963" s="2" t="s">
        <v>2810</v>
      </c>
      <c r="G963" s="1">
        <f ca="1">IFERROR(__xludf.DUMMYFUNCTION("COUNTA(SPLIT(F963,"" ""))"),183)</f>
        <v>183</v>
      </c>
      <c r="H963" s="1">
        <v>183</v>
      </c>
      <c r="I963" s="1"/>
      <c r="J963" s="1"/>
      <c r="K963" s="1"/>
      <c r="L963" s="1"/>
      <c r="M963" s="1"/>
      <c r="N963" s="1"/>
      <c r="O963" s="1"/>
      <c r="P963" s="1"/>
      <c r="Q963" s="1"/>
      <c r="R963" s="1"/>
      <c r="S963" s="1"/>
      <c r="T963" s="1"/>
    </row>
    <row r="964" spans="1:20" ht="33.75" hidden="1" customHeight="1">
      <c r="A964" s="1" t="s">
        <v>2811</v>
      </c>
      <c r="B964" s="1" t="s">
        <v>2636</v>
      </c>
      <c r="C964" s="4">
        <v>39875.622916666667</v>
      </c>
      <c r="D964" s="1" t="s">
        <v>14</v>
      </c>
      <c r="E964" s="1" t="s">
        <v>2805</v>
      </c>
      <c r="F964" s="2" t="s">
        <v>2812</v>
      </c>
      <c r="G964" s="1">
        <f ca="1">IFERROR(__xludf.DUMMYFUNCTION("COUNTA(SPLIT(F964,"" ""))"),440)</f>
        <v>440</v>
      </c>
      <c r="H964" s="1">
        <v>440</v>
      </c>
      <c r="I964" s="1"/>
      <c r="J964" s="1"/>
      <c r="K964" s="1"/>
      <c r="L964" s="1"/>
      <c r="M964" s="1"/>
      <c r="N964" s="1"/>
      <c r="O964" s="1"/>
      <c r="P964" s="1"/>
      <c r="Q964" s="1"/>
      <c r="R964" s="1"/>
      <c r="S964" s="1"/>
      <c r="T964" s="1"/>
    </row>
    <row r="965" spans="1:20" ht="33.75" hidden="1" customHeight="1">
      <c r="A965" s="1" t="s">
        <v>2813</v>
      </c>
      <c r="B965" s="1" t="s">
        <v>2636</v>
      </c>
      <c r="C965" s="4">
        <v>39876.148611111108</v>
      </c>
      <c r="D965" s="1" t="s">
        <v>1528</v>
      </c>
      <c r="E965" s="1" t="s">
        <v>2780</v>
      </c>
      <c r="F965" s="2" t="s">
        <v>2814</v>
      </c>
      <c r="G965" s="1">
        <f ca="1">IFERROR(__xludf.DUMMYFUNCTION("COUNTA(SPLIT(F965,"" ""))"),113)</f>
        <v>113</v>
      </c>
      <c r="H965" s="1">
        <v>113</v>
      </c>
      <c r="I965" s="1"/>
      <c r="J965" s="1"/>
      <c r="K965" s="1"/>
      <c r="L965" s="1"/>
      <c r="M965" s="1"/>
      <c r="N965" s="1"/>
      <c r="O965" s="1"/>
      <c r="P965" s="1"/>
      <c r="Q965" s="1"/>
      <c r="R965" s="1"/>
      <c r="S965" s="1"/>
      <c r="T965" s="1"/>
    </row>
    <row r="966" spans="1:20" ht="33.75" hidden="1" customHeight="1">
      <c r="A966" s="1" t="s">
        <v>2815</v>
      </c>
      <c r="B966" s="1" t="s">
        <v>2636</v>
      </c>
      <c r="C966" s="4">
        <v>39876.019444444442</v>
      </c>
      <c r="D966" s="1" t="s">
        <v>54</v>
      </c>
      <c r="E966" s="1" t="s">
        <v>2816</v>
      </c>
      <c r="F966" s="2" t="s">
        <v>2817</v>
      </c>
      <c r="G966" s="1">
        <f ca="1">IFERROR(__xludf.DUMMYFUNCTION("COUNTA(SPLIT(F966,"" ""))"),140)</f>
        <v>140</v>
      </c>
      <c r="H966" s="1">
        <v>140</v>
      </c>
      <c r="I966" s="1"/>
      <c r="J966" s="1"/>
      <c r="K966" s="1"/>
      <c r="L966" s="1"/>
      <c r="M966" s="1"/>
      <c r="N966" s="1"/>
      <c r="O966" s="1"/>
      <c r="P966" s="1"/>
      <c r="Q966" s="1"/>
      <c r="R966" s="1"/>
      <c r="S966" s="1"/>
      <c r="T966" s="1"/>
    </row>
    <row r="967" spans="1:20" ht="33.75" customHeight="1">
      <c r="A967" s="1" t="s">
        <v>2818</v>
      </c>
      <c r="B967" s="1" t="s">
        <v>2636</v>
      </c>
      <c r="C967" s="4">
        <v>39876.070138888892</v>
      </c>
      <c r="D967" s="1" t="s">
        <v>320</v>
      </c>
      <c r="E967" s="1"/>
      <c r="F967" s="2" t="s">
        <v>2819</v>
      </c>
      <c r="G967" s="1">
        <f ca="1">IFERROR(__xludf.DUMMYFUNCTION("COUNTA(SPLIT(F967,"" ""))"),875)</f>
        <v>875</v>
      </c>
      <c r="H967" s="1">
        <v>875</v>
      </c>
      <c r="I967" s="1"/>
      <c r="J967" s="1"/>
      <c r="K967" s="1"/>
      <c r="L967" s="1"/>
      <c r="M967" s="1"/>
      <c r="N967" s="1"/>
      <c r="O967" s="1"/>
      <c r="P967" s="1"/>
      <c r="Q967" s="1"/>
      <c r="R967" s="1"/>
      <c r="S967" s="1"/>
      <c r="T967" s="1"/>
    </row>
    <row r="968" spans="1:20" ht="33.75" hidden="1" customHeight="1">
      <c r="A968" s="1" t="s">
        <v>2820</v>
      </c>
      <c r="B968" s="1" t="s">
        <v>2636</v>
      </c>
      <c r="C968" s="4">
        <v>39876.092361111114</v>
      </c>
      <c r="D968" s="1" t="s">
        <v>14</v>
      </c>
      <c r="E968" s="1" t="s">
        <v>2811</v>
      </c>
      <c r="F968" s="2" t="s">
        <v>2821</v>
      </c>
      <c r="G968" s="1">
        <f ca="1">IFERROR(__xludf.DUMMYFUNCTION("COUNTA(SPLIT(F968,"" ""))"),202)</f>
        <v>202</v>
      </c>
      <c r="H968" s="1">
        <v>202</v>
      </c>
      <c r="I968" s="1"/>
      <c r="J968" s="1"/>
      <c r="K968" s="1"/>
      <c r="L968" s="1"/>
      <c r="M968" s="1"/>
      <c r="N968" s="1"/>
      <c r="O968" s="1"/>
      <c r="P968" s="1"/>
      <c r="Q968" s="1"/>
      <c r="R968" s="1"/>
      <c r="S968" s="1"/>
      <c r="T968" s="1"/>
    </row>
    <row r="969" spans="1:20" ht="33.75" customHeight="1">
      <c r="A969" s="1" t="s">
        <v>2822</v>
      </c>
      <c r="B969" s="1" t="s">
        <v>1814</v>
      </c>
      <c r="C969" s="4">
        <v>39876.144444444442</v>
      </c>
      <c r="D969" s="1" t="s">
        <v>1887</v>
      </c>
      <c r="E969" s="1"/>
      <c r="F969" s="2" t="s">
        <v>2823</v>
      </c>
      <c r="G969" s="1">
        <f ca="1">IFERROR(__xludf.DUMMYFUNCTION("COUNTA(SPLIT(F969,"" ""))"),57)</f>
        <v>57</v>
      </c>
      <c r="H969" s="1">
        <v>57</v>
      </c>
      <c r="I969" s="1"/>
      <c r="J969" s="1"/>
      <c r="K969" s="1"/>
      <c r="L969" s="1"/>
      <c r="M969" s="1"/>
      <c r="N969" s="1"/>
      <c r="O969" s="1"/>
      <c r="P969" s="1"/>
      <c r="Q969" s="1"/>
      <c r="R969" s="1"/>
      <c r="S969" s="1"/>
      <c r="T969" s="1"/>
    </row>
    <row r="970" spans="1:20" ht="33.75" customHeight="1">
      <c r="A970" s="1" t="s">
        <v>2824</v>
      </c>
      <c r="B970" s="1" t="s">
        <v>1814</v>
      </c>
      <c r="C970" s="4">
        <v>39876.145138888889</v>
      </c>
      <c r="D970" s="1" t="s">
        <v>1887</v>
      </c>
      <c r="E970" s="1"/>
      <c r="F970" s="2" t="s">
        <v>2825</v>
      </c>
      <c r="G970" s="1">
        <f ca="1">IFERROR(__xludf.DUMMYFUNCTION("COUNTA(SPLIT(F970,"" ""))"),14)</f>
        <v>14</v>
      </c>
      <c r="H970" s="1">
        <v>14</v>
      </c>
      <c r="I970" s="1"/>
      <c r="J970" s="1"/>
      <c r="K970" s="1"/>
      <c r="L970" s="1"/>
      <c r="M970" s="1"/>
      <c r="N970" s="1"/>
      <c r="O970" s="1"/>
      <c r="P970" s="1"/>
      <c r="Q970" s="1"/>
      <c r="R970" s="1"/>
      <c r="S970" s="1"/>
      <c r="T970" s="1"/>
    </row>
    <row r="971" spans="1:20" ht="33.75" hidden="1" customHeight="1">
      <c r="A971" s="1" t="s">
        <v>2826</v>
      </c>
      <c r="B971" s="1" t="s">
        <v>2636</v>
      </c>
      <c r="C971" s="4">
        <v>39876.15</v>
      </c>
      <c r="D971" s="1" t="s">
        <v>1528</v>
      </c>
      <c r="E971" s="1" t="s">
        <v>2780</v>
      </c>
      <c r="F971" s="2" t="s">
        <v>2828</v>
      </c>
      <c r="G971" s="1">
        <f ca="1">IFERROR(__xludf.DUMMYFUNCTION("COUNTA(SPLIT(F971,"" ""))"),24)</f>
        <v>24</v>
      </c>
      <c r="H971" s="1">
        <v>24</v>
      </c>
      <c r="I971" s="1"/>
      <c r="J971" s="1"/>
      <c r="K971" s="1"/>
      <c r="L971" s="1"/>
      <c r="M971" s="1"/>
      <c r="N971" s="1"/>
      <c r="O971" s="1"/>
      <c r="P971" s="1"/>
      <c r="Q971" s="1"/>
      <c r="R971" s="1"/>
      <c r="S971" s="1"/>
      <c r="T971" s="1"/>
    </row>
    <row r="972" spans="1:20" ht="33.75" hidden="1" customHeight="1">
      <c r="A972" s="1" t="s">
        <v>2829</v>
      </c>
      <c r="B972" s="1" t="s">
        <v>2636</v>
      </c>
      <c r="C972" s="4">
        <v>39876.243055555555</v>
      </c>
      <c r="D972" s="1" t="s">
        <v>1528</v>
      </c>
      <c r="E972" s="1" t="s">
        <v>2818</v>
      </c>
      <c r="F972" s="2" t="s">
        <v>2830</v>
      </c>
      <c r="G972" s="1">
        <f ca="1">IFERROR(__xludf.DUMMYFUNCTION("COUNTA(SPLIT(F972,"" ""))"),48)</f>
        <v>48</v>
      </c>
      <c r="H972" s="1">
        <v>48</v>
      </c>
      <c r="I972" s="1"/>
      <c r="J972" s="1"/>
      <c r="K972" s="1"/>
      <c r="L972" s="1"/>
      <c r="M972" s="1"/>
      <c r="N972" s="1"/>
      <c r="O972" s="1"/>
      <c r="P972" s="1"/>
      <c r="Q972" s="1"/>
      <c r="R972" s="1"/>
      <c r="S972" s="1"/>
      <c r="T972" s="1"/>
    </row>
    <row r="973" spans="1:20" ht="33.75" customHeight="1">
      <c r="A973" s="1" t="s">
        <v>2831</v>
      </c>
      <c r="B973" s="1" t="s">
        <v>2636</v>
      </c>
      <c r="C973" s="4">
        <v>39876.197222222225</v>
      </c>
      <c r="D973" s="1" t="s">
        <v>54</v>
      </c>
      <c r="E973" s="1"/>
      <c r="F973" s="2" t="s">
        <v>2832</v>
      </c>
      <c r="G973" s="1">
        <f ca="1">IFERROR(__xludf.DUMMYFUNCTION("COUNTA(SPLIT(F973,"" ""))"),272)</f>
        <v>272</v>
      </c>
      <c r="H973" s="1">
        <v>272</v>
      </c>
      <c r="I973" s="1"/>
      <c r="J973" s="1"/>
      <c r="K973" s="1"/>
      <c r="L973" s="1"/>
      <c r="M973" s="1"/>
      <c r="N973" s="1"/>
      <c r="O973" s="1"/>
      <c r="P973" s="1"/>
      <c r="Q973" s="1"/>
      <c r="R973" s="1"/>
      <c r="S973" s="1"/>
      <c r="T973" s="1"/>
    </row>
    <row r="974" spans="1:20" ht="33.75" hidden="1" customHeight="1">
      <c r="A974" s="1" t="s">
        <v>2833</v>
      </c>
      <c r="B974" s="1" t="s">
        <v>2636</v>
      </c>
      <c r="C974" s="4">
        <v>39876.198611111111</v>
      </c>
      <c r="D974" s="1" t="s">
        <v>54</v>
      </c>
      <c r="E974" s="1" t="s">
        <v>2831</v>
      </c>
      <c r="F974" s="2" t="s">
        <v>2834</v>
      </c>
      <c r="G974" s="1">
        <f ca="1">IFERROR(__xludf.DUMMYFUNCTION("COUNTA(SPLIT(F974,"" ""))"),86)</f>
        <v>86</v>
      </c>
      <c r="H974" s="1">
        <v>86</v>
      </c>
      <c r="I974" s="1"/>
      <c r="J974" s="1"/>
      <c r="K974" s="1"/>
      <c r="L974" s="1"/>
      <c r="M974" s="1"/>
      <c r="N974" s="1"/>
      <c r="O974" s="1"/>
      <c r="P974" s="1"/>
      <c r="Q974" s="1"/>
      <c r="R974" s="1"/>
      <c r="S974" s="1"/>
      <c r="T974" s="1"/>
    </row>
    <row r="975" spans="1:20" ht="33.75" customHeight="1">
      <c r="A975" s="1" t="s">
        <v>2835</v>
      </c>
      <c r="B975" s="1" t="s">
        <v>2636</v>
      </c>
      <c r="C975" s="4">
        <v>39876.21597222222</v>
      </c>
      <c r="D975" s="1" t="s">
        <v>54</v>
      </c>
      <c r="E975" s="1"/>
      <c r="F975" s="2" t="s">
        <v>2836</v>
      </c>
      <c r="G975" s="1">
        <f ca="1">IFERROR(__xludf.DUMMYFUNCTION("COUNTA(SPLIT(F975,"" ""))"),445)</f>
        <v>445</v>
      </c>
      <c r="H975" s="1">
        <v>445</v>
      </c>
      <c r="I975" s="1"/>
      <c r="J975" s="1"/>
      <c r="K975" s="1"/>
      <c r="L975" s="1"/>
      <c r="M975" s="1"/>
      <c r="N975" s="1"/>
      <c r="O975" s="1"/>
      <c r="P975" s="1"/>
      <c r="Q975" s="1"/>
      <c r="R975" s="1"/>
      <c r="S975" s="1"/>
      <c r="T975" s="1"/>
    </row>
    <row r="976" spans="1:20" ht="33.75" hidden="1" customHeight="1">
      <c r="A976" s="1" t="s">
        <v>2837</v>
      </c>
      <c r="B976" s="1" t="s">
        <v>2636</v>
      </c>
      <c r="C976" s="4">
        <v>39876.818749999999</v>
      </c>
      <c r="D976" s="1" t="s">
        <v>1528</v>
      </c>
      <c r="E976" s="1" t="s">
        <v>2835</v>
      </c>
      <c r="F976" s="2" t="s">
        <v>2838</v>
      </c>
      <c r="G976" s="1">
        <f ca="1">IFERROR(__xludf.DUMMYFUNCTION("COUNTA(SPLIT(F976,"" ""))"),88)</f>
        <v>88</v>
      </c>
      <c r="H976" s="1">
        <v>88</v>
      </c>
      <c r="I976" s="1"/>
      <c r="J976" s="1"/>
      <c r="K976" s="1"/>
      <c r="L976" s="1"/>
      <c r="M976" s="1"/>
      <c r="N976" s="1"/>
      <c r="O976" s="1"/>
      <c r="P976" s="1"/>
      <c r="Q976" s="1"/>
      <c r="R976" s="1"/>
      <c r="S976" s="1"/>
      <c r="T976" s="1"/>
    </row>
    <row r="977" spans="1:20" ht="33.75" customHeight="1">
      <c r="A977" s="1" t="s">
        <v>2839</v>
      </c>
      <c r="B977" s="1" t="s">
        <v>1814</v>
      </c>
      <c r="C977" s="4">
        <v>39876.279166666667</v>
      </c>
      <c r="D977" s="1" t="s">
        <v>84</v>
      </c>
      <c r="E977" s="1"/>
      <c r="F977" s="2" t="s">
        <v>2842</v>
      </c>
      <c r="G977" s="1">
        <f ca="1">IFERROR(__xludf.DUMMYFUNCTION("COUNTA(SPLIT(F977,"" ""))"),6)</f>
        <v>6</v>
      </c>
      <c r="H977" s="1">
        <v>6</v>
      </c>
      <c r="I977" s="1"/>
      <c r="J977" s="1"/>
      <c r="K977" s="1"/>
      <c r="L977" s="1"/>
      <c r="M977" s="1"/>
      <c r="N977" s="1"/>
      <c r="O977" s="1"/>
      <c r="P977" s="1"/>
      <c r="Q977" s="1"/>
      <c r="R977" s="1"/>
      <c r="S977" s="1"/>
      <c r="T977" s="1"/>
    </row>
    <row r="978" spans="1:20" ht="33.75" customHeight="1">
      <c r="A978" s="1" t="s">
        <v>2843</v>
      </c>
      <c r="B978" s="1" t="s">
        <v>1814</v>
      </c>
      <c r="C978" s="4">
        <v>39876.35</v>
      </c>
      <c r="D978" s="1" t="s">
        <v>2844</v>
      </c>
      <c r="E978" s="1"/>
      <c r="F978" s="2" t="s">
        <v>2846</v>
      </c>
      <c r="G978" s="1">
        <f ca="1">IFERROR(__xludf.DUMMYFUNCTION("COUNTA(SPLIT(F978,"" ""))"),3)</f>
        <v>3</v>
      </c>
      <c r="H978" s="1">
        <v>3</v>
      </c>
      <c r="I978" s="1"/>
      <c r="J978" s="1"/>
      <c r="K978" s="1"/>
      <c r="L978" s="1"/>
      <c r="M978" s="1"/>
      <c r="N978" s="1"/>
      <c r="O978" s="1"/>
      <c r="P978" s="1"/>
      <c r="Q978" s="1"/>
      <c r="R978" s="1"/>
      <c r="S978" s="1"/>
      <c r="T978" s="1"/>
    </row>
    <row r="979" spans="1:20" ht="33.75" hidden="1" customHeight="1">
      <c r="A979" s="1" t="s">
        <v>2847</v>
      </c>
      <c r="B979" s="1" t="s">
        <v>1814</v>
      </c>
      <c r="C979" s="4">
        <v>39876.388888888891</v>
      </c>
      <c r="D979" s="1" t="s">
        <v>84</v>
      </c>
      <c r="E979" s="1" t="s">
        <v>2848</v>
      </c>
      <c r="F979" s="2" t="s">
        <v>2849</v>
      </c>
      <c r="G979" s="1">
        <f ca="1">IFERROR(__xludf.DUMMYFUNCTION("COUNTA(SPLIT(F979,"" ""))"),57)</f>
        <v>57</v>
      </c>
      <c r="H979" s="1">
        <v>57</v>
      </c>
      <c r="I979" s="1"/>
      <c r="J979" s="1"/>
      <c r="K979" s="1"/>
      <c r="L979" s="1"/>
      <c r="M979" s="1"/>
      <c r="N979" s="1"/>
      <c r="O979" s="1"/>
      <c r="P979" s="1"/>
      <c r="Q979" s="1"/>
      <c r="R979" s="1"/>
      <c r="S979" s="1"/>
      <c r="T979" s="1"/>
    </row>
    <row r="980" spans="1:20" ht="33.75" hidden="1" customHeight="1">
      <c r="A980" s="1" t="s">
        <v>2850</v>
      </c>
      <c r="B980" s="1" t="s">
        <v>1814</v>
      </c>
      <c r="C980" s="4">
        <v>39876.399305555555</v>
      </c>
      <c r="D980" s="1" t="s">
        <v>54</v>
      </c>
      <c r="E980" s="1" t="s">
        <v>2851</v>
      </c>
      <c r="F980" s="2" t="s">
        <v>2852</v>
      </c>
      <c r="G980" s="1">
        <f ca="1">IFERROR(__xludf.DUMMYFUNCTION("COUNTA(SPLIT(F980,"" ""))"),464)</f>
        <v>464</v>
      </c>
      <c r="H980" s="1">
        <v>464</v>
      </c>
      <c r="I980" s="1"/>
      <c r="J980" s="1"/>
      <c r="K980" s="1"/>
      <c r="L980" s="1"/>
      <c r="M980" s="1"/>
      <c r="N980" s="1"/>
      <c r="O980" s="1"/>
      <c r="P980" s="1"/>
      <c r="Q980" s="1"/>
      <c r="R980" s="1"/>
      <c r="S980" s="1"/>
      <c r="T980" s="1"/>
    </row>
    <row r="981" spans="1:20" ht="33.75" customHeight="1">
      <c r="A981" s="1" t="s">
        <v>2853</v>
      </c>
      <c r="B981" s="1" t="s">
        <v>1814</v>
      </c>
      <c r="C981" s="4">
        <v>39876.406944444447</v>
      </c>
      <c r="D981" s="1" t="s">
        <v>1887</v>
      </c>
      <c r="E981" s="1"/>
      <c r="F981" s="2" t="s">
        <v>2854</v>
      </c>
      <c r="G981" s="1">
        <f ca="1">IFERROR(__xludf.DUMMYFUNCTION("COUNTA(SPLIT(F981,"" ""))"),52)</f>
        <v>52</v>
      </c>
      <c r="H981" s="1">
        <v>52</v>
      </c>
      <c r="I981" s="1"/>
      <c r="J981" s="1"/>
      <c r="K981" s="1"/>
      <c r="L981" s="1"/>
      <c r="M981" s="1"/>
      <c r="N981" s="1"/>
      <c r="O981" s="1"/>
      <c r="P981" s="1"/>
      <c r="Q981" s="1"/>
      <c r="R981" s="1"/>
      <c r="S981" s="1"/>
      <c r="T981" s="1"/>
    </row>
    <row r="982" spans="1:20" ht="33.75" customHeight="1">
      <c r="A982" s="1" t="s">
        <v>2855</v>
      </c>
      <c r="B982" s="1" t="s">
        <v>1814</v>
      </c>
      <c r="C982" s="4">
        <v>39876.40902777778</v>
      </c>
      <c r="D982" s="1" t="s">
        <v>54</v>
      </c>
      <c r="E982" s="1"/>
      <c r="F982" s="2" t="s">
        <v>2857</v>
      </c>
      <c r="G982" s="1">
        <f ca="1">IFERROR(__xludf.DUMMYFUNCTION("COUNTA(SPLIT(F982,"" ""))"),116)</f>
        <v>116</v>
      </c>
      <c r="H982" s="1">
        <v>116</v>
      </c>
      <c r="I982" s="1"/>
      <c r="J982" s="1"/>
      <c r="K982" s="1"/>
      <c r="L982" s="1"/>
      <c r="M982" s="1"/>
      <c r="N982" s="1"/>
      <c r="O982" s="1"/>
      <c r="P982" s="1"/>
      <c r="Q982" s="1"/>
      <c r="R982" s="1"/>
      <c r="S982" s="1"/>
      <c r="T982" s="1"/>
    </row>
    <row r="983" spans="1:20" ht="33.75" hidden="1" customHeight="1">
      <c r="A983" s="1" t="s">
        <v>2858</v>
      </c>
      <c r="B983" s="1" t="s">
        <v>2636</v>
      </c>
      <c r="C983" s="4">
        <v>39876.463194444441</v>
      </c>
      <c r="D983" s="1" t="s">
        <v>14</v>
      </c>
      <c r="E983" s="1" t="s">
        <v>2835</v>
      </c>
      <c r="F983" s="2" t="s">
        <v>2859</v>
      </c>
      <c r="G983" s="1">
        <f ca="1">IFERROR(__xludf.DUMMYFUNCTION("COUNTA(SPLIT(F983,"" ""))"),123)</f>
        <v>123</v>
      </c>
      <c r="H983" s="1">
        <v>123</v>
      </c>
      <c r="I983" s="1"/>
      <c r="J983" s="1"/>
      <c r="K983" s="1"/>
      <c r="L983" s="1"/>
      <c r="M983" s="1"/>
      <c r="N983" s="1"/>
      <c r="O983" s="1"/>
      <c r="P983" s="1"/>
      <c r="Q983" s="1"/>
      <c r="R983" s="1"/>
      <c r="S983" s="1"/>
      <c r="T983" s="1"/>
    </row>
    <row r="984" spans="1:20" ht="33.75" hidden="1" customHeight="1">
      <c r="A984" s="1" t="s">
        <v>2860</v>
      </c>
      <c r="B984" s="1" t="s">
        <v>2636</v>
      </c>
      <c r="C984" s="4">
        <v>39876.497916666667</v>
      </c>
      <c r="D984" s="1" t="s">
        <v>14</v>
      </c>
      <c r="E984" s="1">
        <v>863</v>
      </c>
      <c r="F984" s="2" t="s">
        <v>2862</v>
      </c>
      <c r="G984" s="1">
        <f ca="1">IFERROR(__xludf.DUMMYFUNCTION("COUNTA(SPLIT(F984,"" ""))"),424)</f>
        <v>424</v>
      </c>
      <c r="H984" s="1">
        <v>424</v>
      </c>
      <c r="I984" s="1"/>
      <c r="J984" s="1"/>
      <c r="K984" s="1"/>
      <c r="L984" s="1"/>
      <c r="M984" s="1"/>
      <c r="N984" s="1"/>
      <c r="O984" s="1"/>
      <c r="P984" s="1"/>
      <c r="Q984" s="1"/>
      <c r="R984" s="1"/>
      <c r="S984" s="1"/>
      <c r="T984" s="1"/>
    </row>
    <row r="985" spans="1:20" ht="33.75" customHeight="1">
      <c r="A985" s="1" t="s">
        <v>2863</v>
      </c>
      <c r="B985" s="1" t="s">
        <v>1814</v>
      </c>
      <c r="C985" s="4">
        <v>39876.503472222219</v>
      </c>
      <c r="D985" s="1" t="s">
        <v>772</v>
      </c>
      <c r="E985" s="1"/>
      <c r="F985" s="2" t="s">
        <v>2864</v>
      </c>
      <c r="G985" s="1">
        <f ca="1">IFERROR(__xludf.DUMMYFUNCTION("COUNTA(SPLIT(F985,"" ""))"),131)</f>
        <v>131</v>
      </c>
      <c r="H985" s="1">
        <v>131</v>
      </c>
      <c r="I985" s="1"/>
      <c r="J985" s="1"/>
      <c r="K985" s="1"/>
      <c r="L985" s="1"/>
      <c r="M985" s="1"/>
      <c r="N985" s="1"/>
      <c r="O985" s="1"/>
      <c r="P985" s="1"/>
      <c r="Q985" s="1"/>
      <c r="R985" s="1"/>
      <c r="S985" s="1"/>
      <c r="T985" s="1"/>
    </row>
    <row r="986" spans="1:20" ht="33.75" hidden="1" customHeight="1">
      <c r="A986" s="1" t="s">
        <v>2865</v>
      </c>
      <c r="B986" s="1" t="s">
        <v>1814</v>
      </c>
      <c r="C986" s="4">
        <v>39876.564583333333</v>
      </c>
      <c r="D986" s="1" t="s">
        <v>54</v>
      </c>
      <c r="E986" s="1" t="s">
        <v>2866</v>
      </c>
      <c r="F986" s="2" t="s">
        <v>2868</v>
      </c>
      <c r="G986" s="1">
        <f ca="1">IFERROR(__xludf.DUMMYFUNCTION("COUNTA(SPLIT(F986,"" ""))"),53)</f>
        <v>53</v>
      </c>
      <c r="H986" s="1">
        <v>53</v>
      </c>
      <c r="I986" s="1"/>
      <c r="J986" s="1"/>
      <c r="K986" s="1"/>
      <c r="L986" s="1"/>
      <c r="M986" s="1"/>
      <c r="N986" s="1"/>
      <c r="O986" s="1"/>
      <c r="P986" s="1"/>
      <c r="Q986" s="1"/>
      <c r="R986" s="1"/>
      <c r="S986" s="1"/>
      <c r="T986" s="1"/>
    </row>
    <row r="987" spans="1:20" ht="33.75" customHeight="1">
      <c r="A987" s="1" t="s">
        <v>2869</v>
      </c>
      <c r="B987" s="1" t="s">
        <v>2870</v>
      </c>
      <c r="C987" s="4">
        <v>39876.568055555559</v>
      </c>
      <c r="D987" s="1" t="s">
        <v>772</v>
      </c>
      <c r="E987" s="1"/>
      <c r="F987" s="2" t="s">
        <v>2874</v>
      </c>
      <c r="G987" s="1">
        <f ca="1">IFERROR(__xludf.DUMMYFUNCTION("COUNTA(SPLIT(F987,"" ""))"),157)</f>
        <v>157</v>
      </c>
      <c r="H987" s="1">
        <v>157</v>
      </c>
      <c r="I987" s="1"/>
      <c r="J987" s="1"/>
      <c r="K987" s="1"/>
      <c r="L987" s="1"/>
      <c r="M987" s="1"/>
      <c r="N987" s="1"/>
      <c r="O987" s="1"/>
      <c r="P987" s="1"/>
      <c r="Q987" s="1"/>
      <c r="R987" s="1"/>
      <c r="S987" s="1"/>
      <c r="T987" s="1"/>
    </row>
    <row r="988" spans="1:20" ht="33.75" customHeight="1">
      <c r="A988" s="1" t="s">
        <v>2875</v>
      </c>
      <c r="B988" s="1" t="s">
        <v>2636</v>
      </c>
      <c r="C988" s="4">
        <v>39876.57708333333</v>
      </c>
      <c r="D988" s="1" t="s">
        <v>14</v>
      </c>
      <c r="E988" s="1"/>
      <c r="F988" s="2" t="s">
        <v>2877</v>
      </c>
      <c r="G988" s="1">
        <f ca="1">IFERROR(__xludf.DUMMYFUNCTION("COUNTA(SPLIT(F988,"" ""))"),1045)</f>
        <v>1045</v>
      </c>
      <c r="H988" s="1">
        <v>1045</v>
      </c>
      <c r="I988" s="1"/>
      <c r="J988" s="1"/>
      <c r="K988" s="1"/>
      <c r="L988" s="1"/>
      <c r="M988" s="1"/>
      <c r="N988" s="1"/>
      <c r="O988" s="1"/>
      <c r="P988" s="1"/>
      <c r="Q988" s="1"/>
      <c r="R988" s="1"/>
      <c r="S988" s="1"/>
      <c r="T988" s="1"/>
    </row>
    <row r="989" spans="1:20" ht="33.75" customHeight="1">
      <c r="A989" s="1" t="s">
        <v>2878</v>
      </c>
      <c r="B989" s="1" t="s">
        <v>2636</v>
      </c>
      <c r="C989" s="4">
        <v>39876.675000000003</v>
      </c>
      <c r="D989" s="1" t="s">
        <v>314</v>
      </c>
      <c r="E989" s="1"/>
      <c r="F989" s="2" t="s">
        <v>2880</v>
      </c>
      <c r="G989" s="1">
        <f ca="1">IFERROR(__xludf.DUMMYFUNCTION("COUNTA(SPLIT(F989,"" ""))"),124)</f>
        <v>124</v>
      </c>
      <c r="H989" s="1">
        <v>124</v>
      </c>
      <c r="I989" s="1"/>
      <c r="J989" s="1"/>
      <c r="K989" s="1"/>
      <c r="L989" s="1"/>
      <c r="M989" s="1"/>
      <c r="N989" s="1"/>
      <c r="O989" s="1"/>
      <c r="P989" s="1"/>
      <c r="Q989" s="1"/>
      <c r="R989" s="1"/>
      <c r="S989" s="1"/>
      <c r="T989" s="1"/>
    </row>
    <row r="990" spans="1:20" ht="33.75" hidden="1" customHeight="1">
      <c r="A990" s="1" t="s">
        <v>2881</v>
      </c>
      <c r="B990" s="1" t="s">
        <v>2870</v>
      </c>
      <c r="C990" s="4">
        <v>39876.758333333331</v>
      </c>
      <c r="D990" s="1" t="s">
        <v>54</v>
      </c>
      <c r="E990" s="1" t="s">
        <v>2882</v>
      </c>
      <c r="F990" s="2" t="s">
        <v>2883</v>
      </c>
      <c r="G990" s="1">
        <f ca="1">IFERROR(__xludf.DUMMYFUNCTION("COUNTA(SPLIT(F990,"" ""))"),294)</f>
        <v>294</v>
      </c>
      <c r="H990" s="1">
        <v>294</v>
      </c>
      <c r="I990" s="1"/>
      <c r="J990" s="1"/>
      <c r="K990" s="1"/>
      <c r="L990" s="1"/>
      <c r="M990" s="1"/>
      <c r="N990" s="1"/>
      <c r="O990" s="1"/>
      <c r="P990" s="1"/>
      <c r="Q990" s="1"/>
      <c r="R990" s="1"/>
      <c r="S990" s="1"/>
      <c r="T990" s="1"/>
    </row>
    <row r="991" spans="1:20" ht="33.75" customHeight="1">
      <c r="A991" s="1" t="s">
        <v>2884</v>
      </c>
      <c r="B991" s="1" t="s">
        <v>2870</v>
      </c>
      <c r="C991" s="4">
        <v>39876.765277777777</v>
      </c>
      <c r="D991" s="1" t="s">
        <v>54</v>
      </c>
      <c r="E991" s="1"/>
      <c r="F991" s="2" t="s">
        <v>2886</v>
      </c>
      <c r="G991" s="1">
        <f ca="1">IFERROR(__xludf.DUMMYFUNCTION("COUNTA(SPLIT(F991,"" ""))"),108)</f>
        <v>108</v>
      </c>
      <c r="H991" s="1">
        <v>108</v>
      </c>
      <c r="I991" s="1"/>
      <c r="J991" s="1"/>
      <c r="K991" s="1"/>
      <c r="L991" s="1"/>
      <c r="M991" s="1"/>
      <c r="N991" s="1"/>
      <c r="O991" s="1"/>
      <c r="P991" s="1"/>
      <c r="Q991" s="1"/>
      <c r="R991" s="1"/>
      <c r="S991" s="1"/>
      <c r="T991" s="1"/>
    </row>
    <row r="992" spans="1:20" ht="33.75" customHeight="1">
      <c r="A992" s="1" t="s">
        <v>2887</v>
      </c>
      <c r="B992" s="1" t="s">
        <v>2870</v>
      </c>
      <c r="C992" s="4">
        <v>39876.813888888886</v>
      </c>
      <c r="D992" s="1" t="s">
        <v>84</v>
      </c>
      <c r="E992" s="1"/>
      <c r="F992" s="2" t="s">
        <v>2888</v>
      </c>
      <c r="G992" s="1">
        <f ca="1">IFERROR(__xludf.DUMMYFUNCTION("COUNTA(SPLIT(F992,"" ""))"),769)</f>
        <v>769</v>
      </c>
      <c r="H992" s="1">
        <v>769</v>
      </c>
      <c r="I992" s="1"/>
      <c r="J992" s="1"/>
      <c r="K992" s="1"/>
      <c r="L992" s="1"/>
      <c r="M992" s="1"/>
      <c r="N992" s="1"/>
      <c r="O992" s="1"/>
      <c r="P992" s="1"/>
      <c r="Q992" s="1"/>
      <c r="R992" s="1"/>
      <c r="S992" s="1"/>
      <c r="T992" s="1"/>
    </row>
    <row r="993" spans="1:20" ht="33.75" customHeight="1">
      <c r="A993" s="1" t="s">
        <v>2889</v>
      </c>
      <c r="B993" s="1" t="s">
        <v>2636</v>
      </c>
      <c r="C993" s="4">
        <v>39879.769444444442</v>
      </c>
      <c r="D993" s="1" t="s">
        <v>1528</v>
      </c>
      <c r="E993" s="1"/>
      <c r="F993" s="2" t="s">
        <v>2890</v>
      </c>
      <c r="G993" s="1">
        <f ca="1">IFERROR(__xludf.DUMMYFUNCTION("COUNTA(SPLIT(F993,"" ""))"),374)</f>
        <v>374</v>
      </c>
      <c r="H993" s="1">
        <v>374</v>
      </c>
      <c r="I993" s="1"/>
      <c r="J993" s="1"/>
      <c r="K993" s="1"/>
      <c r="L993" s="1"/>
      <c r="M993" s="1"/>
      <c r="N993" s="1"/>
      <c r="O993" s="1"/>
      <c r="P993" s="1"/>
      <c r="Q993" s="1"/>
      <c r="R993" s="1"/>
      <c r="S993" s="1"/>
      <c r="T993" s="1"/>
    </row>
    <row r="994" spans="1:20" ht="33.75" customHeight="1">
      <c r="A994" s="1" t="s">
        <v>12</v>
      </c>
      <c r="B994" s="1" t="s">
        <v>2870</v>
      </c>
      <c r="C994" s="4">
        <v>39876.893900462965</v>
      </c>
      <c r="D994" s="1" t="s">
        <v>175</v>
      </c>
      <c r="E994" s="1"/>
      <c r="F994" s="2" t="s">
        <v>2891</v>
      </c>
      <c r="G994" s="1">
        <f ca="1">IFERROR(__xludf.DUMMYFUNCTION("COUNTA(SPLIT(F994,"" ""))"),343)</f>
        <v>343</v>
      </c>
      <c r="H994" s="1">
        <v>343</v>
      </c>
      <c r="I994" s="1"/>
      <c r="J994" s="1"/>
      <c r="K994" s="1"/>
      <c r="L994" s="1"/>
      <c r="M994" s="1"/>
      <c r="N994" s="1"/>
      <c r="O994" s="1"/>
      <c r="P994" s="1"/>
      <c r="Q994" s="1"/>
      <c r="R994" s="1"/>
      <c r="S994" s="1"/>
      <c r="T994" s="1"/>
    </row>
    <row r="995" spans="1:20" ht="33.75" customHeight="1">
      <c r="A995" s="1" t="s">
        <v>2892</v>
      </c>
      <c r="B995" s="1" t="s">
        <v>2870</v>
      </c>
      <c r="C995" s="4">
        <v>39876.904861111114</v>
      </c>
      <c r="D995" s="1" t="s">
        <v>2893</v>
      </c>
      <c r="E995" s="1"/>
      <c r="F995" s="2" t="s">
        <v>2894</v>
      </c>
      <c r="G995" s="1">
        <f ca="1">IFERROR(__xludf.DUMMYFUNCTION("COUNTA(SPLIT(F995,"" ""))"),144)</f>
        <v>144</v>
      </c>
      <c r="H995" s="1">
        <v>144</v>
      </c>
      <c r="I995" s="1"/>
      <c r="J995" s="1"/>
      <c r="K995" s="1"/>
      <c r="L995" s="1"/>
      <c r="M995" s="1"/>
      <c r="N995" s="1"/>
      <c r="O995" s="1"/>
      <c r="P995" s="1"/>
      <c r="Q995" s="1"/>
      <c r="R995" s="1"/>
      <c r="S995" s="1"/>
      <c r="T995" s="1"/>
    </row>
    <row r="996" spans="1:20" ht="33.75" hidden="1" customHeight="1">
      <c r="A996" s="1" t="s">
        <v>2895</v>
      </c>
      <c r="B996" s="1" t="s">
        <v>2870</v>
      </c>
      <c r="C996" s="4">
        <v>39876.95416666667</v>
      </c>
      <c r="D996" s="1" t="s">
        <v>54</v>
      </c>
      <c r="E996" s="1" t="s">
        <v>2892</v>
      </c>
      <c r="F996" s="2" t="s">
        <v>2896</v>
      </c>
      <c r="G996" s="1">
        <f ca="1">IFERROR(__xludf.DUMMYFUNCTION("COUNTA(SPLIT(F996,"" ""))"),83)</f>
        <v>83</v>
      </c>
      <c r="H996" s="1">
        <v>83</v>
      </c>
      <c r="I996" s="1"/>
      <c r="J996" s="1"/>
      <c r="K996" s="1"/>
      <c r="L996" s="1"/>
      <c r="M996" s="1"/>
      <c r="N996" s="1"/>
      <c r="O996" s="1"/>
      <c r="P996" s="1"/>
      <c r="Q996" s="1"/>
      <c r="R996" s="1"/>
      <c r="S996" s="1"/>
      <c r="T996" s="1"/>
    </row>
    <row r="997" spans="1:20" ht="33.75" customHeight="1">
      <c r="A997" s="1" t="s">
        <v>2897</v>
      </c>
      <c r="B997" s="1" t="s">
        <v>2870</v>
      </c>
      <c r="C997" s="4">
        <v>39877.317361111112</v>
      </c>
      <c r="D997" s="1" t="s">
        <v>84</v>
      </c>
      <c r="E997" s="1"/>
      <c r="F997" s="2" t="s">
        <v>2899</v>
      </c>
      <c r="G997" s="1">
        <f ca="1">IFERROR(__xludf.DUMMYFUNCTION("COUNTA(SPLIT(F997,"" ""))"),51)</f>
        <v>51</v>
      </c>
      <c r="H997" s="1">
        <v>51</v>
      </c>
      <c r="I997" s="1"/>
      <c r="J997" s="1"/>
      <c r="K997" s="1"/>
      <c r="L997" s="1"/>
      <c r="M997" s="1"/>
      <c r="N997" s="1"/>
      <c r="O997" s="1"/>
      <c r="P997" s="1"/>
      <c r="Q997" s="1"/>
      <c r="R997" s="1"/>
      <c r="S997" s="1"/>
      <c r="T997" s="1"/>
    </row>
    <row r="998" spans="1:20" ht="33.75" customHeight="1">
      <c r="A998" s="1" t="s">
        <v>2900</v>
      </c>
      <c r="B998" s="1" t="s">
        <v>2870</v>
      </c>
      <c r="C998" s="4">
        <v>39877.34652777778</v>
      </c>
      <c r="D998" s="1" t="s">
        <v>1089</v>
      </c>
      <c r="E998" s="1"/>
      <c r="F998" s="2" t="s">
        <v>2901</v>
      </c>
      <c r="G998" s="1">
        <f ca="1">IFERROR(__xludf.DUMMYFUNCTION("COUNTA(SPLIT(F998,"" ""))"),80)</f>
        <v>80</v>
      </c>
      <c r="H998" s="1">
        <v>80</v>
      </c>
      <c r="I998" s="1"/>
      <c r="J998" s="1"/>
      <c r="K998" s="1"/>
      <c r="L998" s="1"/>
      <c r="M998" s="1"/>
      <c r="N998" s="1"/>
      <c r="O998" s="1"/>
      <c r="P998" s="1"/>
      <c r="Q998" s="1"/>
      <c r="R998" s="1"/>
      <c r="S998" s="1"/>
      <c r="T998" s="1"/>
    </row>
    <row r="999" spans="1:20" ht="33.75" customHeight="1">
      <c r="A999" s="1" t="s">
        <v>2902</v>
      </c>
      <c r="B999" s="1" t="s">
        <v>2870</v>
      </c>
      <c r="C999" s="4">
        <v>39877.352083333331</v>
      </c>
      <c r="D999" s="1" t="s">
        <v>2893</v>
      </c>
      <c r="E999" s="1"/>
      <c r="F999" s="2" t="s">
        <v>2904</v>
      </c>
      <c r="G999" s="1">
        <f ca="1">IFERROR(__xludf.DUMMYFUNCTION("COUNTA(SPLIT(F999,"" ""))"),598)</f>
        <v>598</v>
      </c>
      <c r="H999" s="1">
        <v>598</v>
      </c>
      <c r="I999" s="1"/>
      <c r="J999" s="1"/>
      <c r="K999" s="1"/>
      <c r="L999" s="1"/>
      <c r="M999" s="1"/>
      <c r="N999" s="1"/>
      <c r="O999" s="1"/>
      <c r="P999" s="1"/>
      <c r="Q999" s="1"/>
      <c r="R999" s="1"/>
      <c r="S999" s="1"/>
      <c r="T999" s="1"/>
    </row>
    <row r="1000" spans="1:20" ht="33.75" customHeight="1">
      <c r="A1000" s="1" t="s">
        <v>2905</v>
      </c>
      <c r="B1000" s="1" t="s">
        <v>2870</v>
      </c>
      <c r="C1000" s="4">
        <v>39877.365277777775</v>
      </c>
      <c r="D1000" s="1" t="s">
        <v>2893</v>
      </c>
      <c r="E1000" s="1"/>
      <c r="F1000" s="2" t="s">
        <v>2906</v>
      </c>
      <c r="G1000" s="1">
        <f ca="1">IFERROR(__xludf.DUMMYFUNCTION("COUNTA(SPLIT(F1000,"" ""))"),170)</f>
        <v>170</v>
      </c>
      <c r="H1000" s="1">
        <v>170</v>
      </c>
      <c r="I1000" s="1"/>
      <c r="J1000" s="1"/>
      <c r="K1000" s="1"/>
      <c r="L1000" s="1"/>
      <c r="M1000" s="1"/>
      <c r="N1000" s="1"/>
      <c r="O1000" s="1"/>
      <c r="P1000" s="1"/>
      <c r="Q1000" s="1"/>
      <c r="R1000" s="1"/>
      <c r="S1000" s="1"/>
      <c r="T1000" s="1"/>
    </row>
    <row r="1001" spans="1:20" ht="33.75" hidden="1" customHeight="1">
      <c r="A1001" s="1" t="s">
        <v>2907</v>
      </c>
      <c r="B1001" s="1" t="s">
        <v>2870</v>
      </c>
      <c r="C1001" s="4">
        <v>39877.371527777781</v>
      </c>
      <c r="D1001" s="1" t="s">
        <v>54</v>
      </c>
      <c r="E1001" s="1" t="s">
        <v>2900</v>
      </c>
      <c r="F1001" s="2" t="s">
        <v>2908</v>
      </c>
      <c r="G1001" s="1">
        <f ca="1">IFERROR(__xludf.DUMMYFUNCTION("COUNTA(SPLIT(F1001,"" ""))"),289)</f>
        <v>289</v>
      </c>
      <c r="H1001" s="1">
        <v>289</v>
      </c>
      <c r="I1001" s="1"/>
      <c r="J1001" s="1"/>
      <c r="K1001" s="1"/>
      <c r="L1001" s="1"/>
      <c r="M1001" s="1"/>
      <c r="N1001" s="1"/>
      <c r="O1001" s="1"/>
      <c r="P1001" s="1"/>
      <c r="Q1001" s="1"/>
      <c r="R1001" s="1"/>
      <c r="S1001" s="1"/>
      <c r="T1001" s="1"/>
    </row>
    <row r="1002" spans="1:20" ht="33.75" customHeight="1">
      <c r="A1002" s="1" t="s">
        <v>2909</v>
      </c>
      <c r="B1002" s="1" t="s">
        <v>2870</v>
      </c>
      <c r="C1002" s="4">
        <v>39877.382638888892</v>
      </c>
      <c r="D1002" s="1" t="s">
        <v>2893</v>
      </c>
      <c r="E1002" s="1"/>
      <c r="F1002" s="2" t="s">
        <v>2910</v>
      </c>
      <c r="G1002" s="1">
        <f ca="1">IFERROR(__xludf.DUMMYFUNCTION("COUNTA(SPLIT(F1002,"" ""))"),73)</f>
        <v>73</v>
      </c>
      <c r="H1002" s="1">
        <v>73</v>
      </c>
      <c r="I1002" s="1"/>
      <c r="J1002" s="1"/>
      <c r="K1002" s="1"/>
      <c r="L1002" s="1"/>
      <c r="M1002" s="1"/>
      <c r="N1002" s="1"/>
      <c r="O1002" s="1"/>
      <c r="P1002" s="1"/>
      <c r="Q1002" s="1"/>
      <c r="R1002" s="1"/>
      <c r="S1002" s="1"/>
      <c r="T1002" s="1"/>
    </row>
    <row r="1003" spans="1:20" ht="33.75" customHeight="1">
      <c r="A1003" s="1" t="s">
        <v>2911</v>
      </c>
      <c r="B1003" s="1" t="s">
        <v>2870</v>
      </c>
      <c r="C1003" s="4">
        <v>39877.385416666664</v>
      </c>
      <c r="D1003" s="1" t="s">
        <v>54</v>
      </c>
      <c r="E1003" s="1"/>
      <c r="F1003" s="2" t="s">
        <v>2912</v>
      </c>
      <c r="G1003" s="1">
        <f ca="1">IFERROR(__xludf.DUMMYFUNCTION("COUNTA(SPLIT(F1003,"" ""))"),215)</f>
        <v>215</v>
      </c>
      <c r="H1003" s="1">
        <v>215</v>
      </c>
      <c r="I1003" s="1"/>
      <c r="J1003" s="1"/>
      <c r="K1003" s="1"/>
      <c r="L1003" s="1"/>
      <c r="M1003" s="1"/>
      <c r="N1003" s="1"/>
      <c r="O1003" s="1"/>
      <c r="P1003" s="1"/>
      <c r="Q1003" s="1"/>
      <c r="R1003" s="1"/>
      <c r="S1003" s="1"/>
      <c r="T1003" s="1"/>
    </row>
    <row r="1004" spans="1:20" ht="33.75" hidden="1" customHeight="1">
      <c r="A1004" s="1" t="s">
        <v>2913</v>
      </c>
      <c r="B1004" s="1" t="s">
        <v>2870</v>
      </c>
      <c r="C1004" s="4">
        <v>39877.387499999997</v>
      </c>
      <c r="D1004" s="1" t="s">
        <v>84</v>
      </c>
      <c r="E1004" s="1" t="s">
        <v>2914</v>
      </c>
      <c r="F1004" s="2" t="s">
        <v>2915</v>
      </c>
      <c r="G1004" s="1">
        <f ca="1">IFERROR(__xludf.DUMMYFUNCTION("COUNTA(SPLIT(F1004,"" ""))"),155)</f>
        <v>155</v>
      </c>
      <c r="H1004" s="1">
        <v>155</v>
      </c>
      <c r="I1004" s="1"/>
      <c r="J1004" s="1"/>
      <c r="K1004" s="1"/>
      <c r="L1004" s="1"/>
      <c r="M1004" s="1"/>
      <c r="N1004" s="1"/>
      <c r="O1004" s="1"/>
      <c r="P1004" s="1"/>
      <c r="Q1004" s="1"/>
      <c r="R1004" s="1"/>
      <c r="S1004" s="1"/>
      <c r="T1004" s="1"/>
    </row>
    <row r="1005" spans="1:20" ht="33.75" customHeight="1">
      <c r="A1005" s="1" t="s">
        <v>2916</v>
      </c>
      <c r="B1005" s="1" t="s">
        <v>2870</v>
      </c>
      <c r="C1005" s="4">
        <v>39877.390277777777</v>
      </c>
      <c r="D1005" s="1" t="s">
        <v>54</v>
      </c>
      <c r="E1005" s="1"/>
      <c r="F1005" s="2" t="s">
        <v>2917</v>
      </c>
      <c r="G1005" s="1">
        <f ca="1">IFERROR(__xludf.DUMMYFUNCTION("COUNTA(SPLIT(F1005,"" ""))"),97)</f>
        <v>97</v>
      </c>
      <c r="H1005" s="1">
        <v>97</v>
      </c>
      <c r="I1005" s="1"/>
      <c r="J1005" s="1"/>
      <c r="K1005" s="1"/>
      <c r="L1005" s="1"/>
      <c r="M1005" s="1"/>
      <c r="N1005" s="1"/>
      <c r="O1005" s="1"/>
      <c r="P1005" s="1"/>
      <c r="Q1005" s="1"/>
      <c r="R1005" s="1"/>
      <c r="S1005" s="1"/>
      <c r="T1005" s="1"/>
    </row>
    <row r="1006" spans="1:20" ht="33.75" customHeight="1">
      <c r="A1006" s="1" t="s">
        <v>2918</v>
      </c>
      <c r="B1006" s="1" t="s">
        <v>2870</v>
      </c>
      <c r="C1006" s="4">
        <v>39877.486111111109</v>
      </c>
      <c r="D1006" s="1" t="s">
        <v>772</v>
      </c>
      <c r="E1006" s="1"/>
      <c r="F1006" s="2" t="s">
        <v>2919</v>
      </c>
      <c r="G1006" s="1">
        <f ca="1">IFERROR(__xludf.DUMMYFUNCTION("COUNTA(SPLIT(F1006,"" ""))"),171)</f>
        <v>171</v>
      </c>
      <c r="H1006" s="1">
        <v>171</v>
      </c>
      <c r="I1006" s="1"/>
      <c r="J1006" s="1"/>
      <c r="K1006" s="1"/>
      <c r="L1006" s="1"/>
      <c r="M1006" s="1"/>
      <c r="N1006" s="1"/>
      <c r="O1006" s="1"/>
      <c r="P1006" s="1"/>
      <c r="Q1006" s="1"/>
      <c r="R1006" s="1"/>
      <c r="S1006" s="1"/>
      <c r="T1006" s="1"/>
    </row>
    <row r="1007" spans="1:20" ht="33.75" customHeight="1">
      <c r="A1007" s="1" t="s">
        <v>2920</v>
      </c>
      <c r="B1007" s="1" t="s">
        <v>2870</v>
      </c>
      <c r="C1007" s="4">
        <v>39877.513888888891</v>
      </c>
      <c r="D1007" s="1" t="s">
        <v>772</v>
      </c>
      <c r="E1007" s="1"/>
      <c r="F1007" s="2" t="s">
        <v>2921</v>
      </c>
      <c r="G1007" s="1">
        <f ca="1">IFERROR(__xludf.DUMMYFUNCTION("COUNTA(SPLIT(F1007,"" ""))"),367)</f>
        <v>367</v>
      </c>
      <c r="H1007" s="1">
        <v>367</v>
      </c>
      <c r="I1007" s="1"/>
      <c r="J1007" s="1"/>
      <c r="K1007" s="1"/>
      <c r="L1007" s="1"/>
      <c r="M1007" s="1"/>
      <c r="N1007" s="1"/>
      <c r="O1007" s="1"/>
      <c r="P1007" s="1"/>
      <c r="Q1007" s="1"/>
      <c r="R1007" s="1"/>
      <c r="S1007" s="1"/>
      <c r="T1007" s="1"/>
    </row>
    <row r="1008" spans="1:20" ht="33.75" customHeight="1">
      <c r="A1008" s="1" t="s">
        <v>2922</v>
      </c>
      <c r="B1008" s="1" t="s">
        <v>2870</v>
      </c>
      <c r="C1008" s="4">
        <v>39877.525694444441</v>
      </c>
      <c r="D1008" s="1" t="s">
        <v>772</v>
      </c>
      <c r="E1008" s="1"/>
      <c r="F1008" s="2" t="s">
        <v>2923</v>
      </c>
      <c r="G1008" s="1">
        <f ca="1">IFERROR(__xludf.DUMMYFUNCTION("COUNTA(SPLIT(F1008,"" ""))"),171)</f>
        <v>171</v>
      </c>
      <c r="H1008" s="1">
        <v>171</v>
      </c>
      <c r="I1008" s="1"/>
      <c r="J1008" s="1"/>
      <c r="K1008" s="1"/>
      <c r="L1008" s="1"/>
      <c r="M1008" s="1"/>
      <c r="N1008" s="1"/>
      <c r="O1008" s="1"/>
      <c r="P1008" s="1"/>
      <c r="Q1008" s="1"/>
      <c r="R1008" s="1"/>
      <c r="S1008" s="1"/>
      <c r="T1008" s="1"/>
    </row>
    <row r="1009" spans="1:20" ht="33.75" hidden="1" customHeight="1">
      <c r="A1009" s="1" t="s">
        <v>2924</v>
      </c>
      <c r="B1009" s="1" t="s">
        <v>2636</v>
      </c>
      <c r="C1009" s="4">
        <v>39877.625</v>
      </c>
      <c r="D1009" s="1" t="s">
        <v>2925</v>
      </c>
      <c r="E1009" s="1" t="s">
        <v>2875</v>
      </c>
      <c r="F1009" s="2" t="s">
        <v>2926</v>
      </c>
      <c r="G1009" s="1">
        <f ca="1">IFERROR(__xludf.DUMMYFUNCTION("COUNTA(SPLIT(F1009,"" ""))"),308)</f>
        <v>308</v>
      </c>
      <c r="H1009" s="1">
        <v>308</v>
      </c>
      <c r="I1009" s="1"/>
      <c r="J1009" s="1"/>
      <c r="K1009" s="1"/>
      <c r="L1009" s="1"/>
      <c r="M1009" s="1"/>
      <c r="N1009" s="1"/>
      <c r="O1009" s="1"/>
      <c r="P1009" s="1"/>
      <c r="Q1009" s="1"/>
      <c r="R1009" s="1"/>
      <c r="S1009" s="1"/>
      <c r="T1009" s="1"/>
    </row>
    <row r="1010" spans="1:20" ht="33.75" customHeight="1">
      <c r="A1010" s="1" t="s">
        <v>2927</v>
      </c>
      <c r="B1010" s="1" t="s">
        <v>2636</v>
      </c>
      <c r="C1010" s="4">
        <v>39877.852777777778</v>
      </c>
      <c r="D1010" s="1" t="s">
        <v>14</v>
      </c>
      <c r="E1010" s="1"/>
      <c r="F1010" s="2" t="s">
        <v>2930</v>
      </c>
      <c r="G1010" s="1">
        <f ca="1">IFERROR(__xludf.DUMMYFUNCTION("COUNTA(SPLIT(F1010,"" ""))"),34)</f>
        <v>34</v>
      </c>
      <c r="H1010" s="1">
        <v>34</v>
      </c>
      <c r="I1010" s="1"/>
      <c r="J1010" s="1"/>
      <c r="K1010" s="1"/>
      <c r="L1010" s="1"/>
      <c r="M1010" s="1"/>
      <c r="N1010" s="1"/>
      <c r="O1010" s="1"/>
      <c r="P1010" s="1"/>
      <c r="Q1010" s="1"/>
      <c r="R1010" s="1"/>
      <c r="S1010" s="1"/>
      <c r="T1010" s="1"/>
    </row>
    <row r="1011" spans="1:20" ht="33.75" customHeight="1">
      <c r="A1011" s="1" t="s">
        <v>2931</v>
      </c>
      <c r="B1011" s="1" t="s">
        <v>2870</v>
      </c>
      <c r="C1011" s="4">
        <v>39877.92083333333</v>
      </c>
      <c r="D1011" s="1" t="s">
        <v>1089</v>
      </c>
      <c r="E1011" s="1"/>
      <c r="F1011" s="2" t="s">
        <v>2932</v>
      </c>
      <c r="G1011" s="1">
        <f ca="1">IFERROR(__xludf.DUMMYFUNCTION("COUNTA(SPLIT(F1011,"" ""))"),54)</f>
        <v>54</v>
      </c>
      <c r="H1011" s="1">
        <v>54</v>
      </c>
      <c r="I1011" s="1"/>
      <c r="J1011" s="1"/>
      <c r="K1011" s="1"/>
      <c r="L1011" s="1"/>
      <c r="M1011" s="1"/>
      <c r="N1011" s="1"/>
      <c r="O1011" s="1"/>
      <c r="P1011" s="1"/>
      <c r="Q1011" s="1"/>
      <c r="R1011" s="1"/>
      <c r="S1011" s="1"/>
      <c r="T1011" s="1"/>
    </row>
    <row r="1012" spans="1:20" ht="33.75" customHeight="1">
      <c r="A1012" s="1" t="s">
        <v>2933</v>
      </c>
      <c r="B1012" s="1" t="s">
        <v>2870</v>
      </c>
      <c r="C1012" s="4">
        <v>39878.293749999997</v>
      </c>
      <c r="D1012" s="1" t="s">
        <v>2893</v>
      </c>
      <c r="E1012" s="1"/>
      <c r="F1012" s="2" t="s">
        <v>2934</v>
      </c>
      <c r="G1012" s="1">
        <f ca="1">IFERROR(__xludf.DUMMYFUNCTION("COUNTA(SPLIT(F1012,"" ""))"),49)</f>
        <v>49</v>
      </c>
      <c r="H1012" s="1">
        <v>49</v>
      </c>
      <c r="I1012" s="1"/>
      <c r="J1012" s="1"/>
      <c r="K1012" s="1"/>
      <c r="L1012" s="1"/>
      <c r="M1012" s="1"/>
      <c r="N1012" s="1"/>
      <c r="O1012" s="1"/>
      <c r="P1012" s="1"/>
      <c r="Q1012" s="1"/>
      <c r="R1012" s="1"/>
      <c r="S1012" s="1"/>
      <c r="T1012" s="1"/>
    </row>
    <row r="1013" spans="1:20" ht="33.75" customHeight="1">
      <c r="A1013" s="1" t="s">
        <v>2935</v>
      </c>
      <c r="B1013" s="1" t="s">
        <v>2870</v>
      </c>
      <c r="C1013" s="4">
        <v>39878.306944444441</v>
      </c>
      <c r="D1013" s="1" t="s">
        <v>2893</v>
      </c>
      <c r="E1013" s="1"/>
      <c r="F1013" s="2" t="s">
        <v>2937</v>
      </c>
      <c r="G1013" s="1">
        <f ca="1">IFERROR(__xludf.DUMMYFUNCTION("COUNTA(SPLIT(F1013,"" ""))"),58)</f>
        <v>58</v>
      </c>
      <c r="H1013" s="1">
        <v>58</v>
      </c>
      <c r="I1013" s="1"/>
      <c r="J1013" s="1"/>
      <c r="K1013" s="1"/>
      <c r="L1013" s="1"/>
      <c r="M1013" s="1"/>
      <c r="N1013" s="1"/>
      <c r="O1013" s="1"/>
      <c r="P1013" s="1"/>
      <c r="Q1013" s="1"/>
      <c r="R1013" s="1"/>
      <c r="S1013" s="1"/>
      <c r="T1013" s="1"/>
    </row>
    <row r="1014" spans="1:20" ht="33.75" hidden="1" customHeight="1">
      <c r="A1014" s="1" t="s">
        <v>2938</v>
      </c>
      <c r="B1014" s="1" t="s">
        <v>2870</v>
      </c>
      <c r="C1014" s="4">
        <v>39878.325694444444</v>
      </c>
      <c r="D1014" s="1" t="s">
        <v>54</v>
      </c>
      <c r="E1014" s="1" t="s">
        <v>2939</v>
      </c>
      <c r="F1014" s="2" t="s">
        <v>2940</v>
      </c>
      <c r="G1014" s="1">
        <f ca="1">IFERROR(__xludf.DUMMYFUNCTION("COUNTA(SPLIT(F1014,"" ""))"),262)</f>
        <v>262</v>
      </c>
      <c r="H1014" s="1">
        <v>262</v>
      </c>
      <c r="I1014" s="1"/>
      <c r="J1014" s="1"/>
      <c r="K1014" s="1"/>
      <c r="L1014" s="1"/>
      <c r="M1014" s="1"/>
      <c r="N1014" s="1"/>
      <c r="O1014" s="1"/>
      <c r="P1014" s="1"/>
      <c r="Q1014" s="1"/>
      <c r="R1014" s="1"/>
      <c r="S1014" s="1"/>
      <c r="T1014" s="1"/>
    </row>
    <row r="1015" spans="1:20" ht="33.75" customHeight="1">
      <c r="A1015" s="1" t="s">
        <v>2941</v>
      </c>
      <c r="B1015" s="1" t="s">
        <v>2870</v>
      </c>
      <c r="C1015" s="4">
        <v>39878.409722222219</v>
      </c>
      <c r="D1015" s="1" t="s">
        <v>84</v>
      </c>
      <c r="E1015" s="1"/>
      <c r="F1015" s="2" t="s">
        <v>2942</v>
      </c>
      <c r="G1015" s="1">
        <f ca="1">IFERROR(__xludf.DUMMYFUNCTION("COUNTA(SPLIT(F1015,"" ""))"),176)</f>
        <v>176</v>
      </c>
      <c r="H1015" s="1">
        <v>176</v>
      </c>
      <c r="I1015" s="1"/>
      <c r="J1015" s="1"/>
      <c r="K1015" s="1"/>
      <c r="L1015" s="1"/>
      <c r="M1015" s="1"/>
      <c r="N1015" s="1"/>
      <c r="O1015" s="1"/>
      <c r="P1015" s="1"/>
      <c r="Q1015" s="1"/>
      <c r="R1015" s="1"/>
      <c r="S1015" s="1"/>
      <c r="T1015" s="1"/>
    </row>
    <row r="1016" spans="1:20" ht="33.75" hidden="1" customHeight="1">
      <c r="A1016" s="1" t="s">
        <v>2943</v>
      </c>
      <c r="B1016" s="1" t="s">
        <v>2870</v>
      </c>
      <c r="C1016" s="4">
        <v>39878.42291666667</v>
      </c>
      <c r="D1016" s="1" t="s">
        <v>84</v>
      </c>
      <c r="E1016" s="1" t="s">
        <v>2941</v>
      </c>
      <c r="F1016" s="2" t="s">
        <v>2944</v>
      </c>
      <c r="G1016" s="1">
        <f ca="1">IFERROR(__xludf.DUMMYFUNCTION("COUNTA(SPLIT(F1016,"" ""))"),52)</f>
        <v>52</v>
      </c>
      <c r="H1016" s="1">
        <v>52</v>
      </c>
      <c r="I1016" s="1"/>
      <c r="J1016" s="1"/>
      <c r="K1016" s="1"/>
      <c r="L1016" s="1"/>
      <c r="M1016" s="1"/>
      <c r="N1016" s="1"/>
      <c r="O1016" s="1"/>
      <c r="P1016" s="1"/>
      <c r="Q1016" s="1"/>
      <c r="R1016" s="1"/>
      <c r="S1016" s="1"/>
      <c r="T1016" s="1"/>
    </row>
    <row r="1017" spans="1:20" ht="33.75" customHeight="1">
      <c r="A1017" s="1" t="s">
        <v>2945</v>
      </c>
      <c r="B1017" s="1" t="s">
        <v>2870</v>
      </c>
      <c r="C1017" s="4">
        <v>39878.47152777778</v>
      </c>
      <c r="D1017" s="1" t="s">
        <v>772</v>
      </c>
      <c r="E1017" s="1"/>
      <c r="F1017" s="2" t="s">
        <v>2946</v>
      </c>
      <c r="G1017" s="1">
        <f ca="1">IFERROR(__xludf.DUMMYFUNCTION("COUNTA(SPLIT(F1017,"" ""))"),145)</f>
        <v>145</v>
      </c>
      <c r="H1017" s="1">
        <v>145</v>
      </c>
      <c r="I1017" s="1"/>
      <c r="J1017" s="1"/>
      <c r="K1017" s="1"/>
      <c r="L1017" s="1"/>
      <c r="M1017" s="1"/>
      <c r="N1017" s="1"/>
      <c r="O1017" s="1"/>
      <c r="P1017" s="1"/>
      <c r="Q1017" s="1"/>
      <c r="R1017" s="1"/>
      <c r="S1017" s="1"/>
      <c r="T1017" s="1"/>
    </row>
    <row r="1018" spans="1:20" ht="33.75" customHeight="1">
      <c r="A1018" s="1" t="s">
        <v>2947</v>
      </c>
      <c r="B1018" s="1" t="s">
        <v>2870</v>
      </c>
      <c r="C1018" s="4">
        <v>39878.518055555556</v>
      </c>
      <c r="D1018" s="1" t="s">
        <v>772</v>
      </c>
      <c r="E1018" s="1"/>
      <c r="F1018" s="2" t="s">
        <v>2948</v>
      </c>
      <c r="G1018" s="1">
        <f ca="1">IFERROR(__xludf.DUMMYFUNCTION("COUNTA(SPLIT(F1018,"" ""))"),229)</f>
        <v>229</v>
      </c>
      <c r="H1018" s="1">
        <v>229</v>
      </c>
      <c r="I1018" s="1"/>
      <c r="J1018" s="1"/>
      <c r="K1018" s="1"/>
      <c r="L1018" s="1"/>
      <c r="M1018" s="1"/>
      <c r="N1018" s="1"/>
      <c r="O1018" s="1"/>
      <c r="P1018" s="1"/>
      <c r="Q1018" s="1"/>
      <c r="R1018" s="1"/>
      <c r="S1018" s="1"/>
      <c r="T1018" s="1"/>
    </row>
    <row r="1019" spans="1:20" ht="33.75" hidden="1" customHeight="1">
      <c r="A1019" s="1" t="s">
        <v>2949</v>
      </c>
      <c r="B1019" s="1" t="s">
        <v>2870</v>
      </c>
      <c r="C1019" s="4">
        <v>39878.54583333333</v>
      </c>
      <c r="D1019" s="1" t="s">
        <v>772</v>
      </c>
      <c r="E1019" s="1">
        <v>912</v>
      </c>
      <c r="F1019" s="2" t="s">
        <v>2950</v>
      </c>
      <c r="G1019" s="1">
        <f ca="1">IFERROR(__xludf.DUMMYFUNCTION("COUNTA(SPLIT(F1019,"" ""))"),457)</f>
        <v>457</v>
      </c>
      <c r="H1019" s="1">
        <v>457</v>
      </c>
      <c r="I1019" s="1"/>
      <c r="J1019" s="1"/>
      <c r="K1019" s="1"/>
      <c r="L1019" s="1"/>
      <c r="M1019" s="1"/>
      <c r="N1019" s="1"/>
      <c r="O1019" s="1"/>
      <c r="P1019" s="1"/>
      <c r="Q1019" s="1"/>
      <c r="R1019" s="1"/>
      <c r="S1019" s="1"/>
      <c r="T1019" s="1"/>
    </row>
    <row r="1020" spans="1:20" ht="33.75" customHeight="1">
      <c r="A1020" s="1" t="s">
        <v>2951</v>
      </c>
      <c r="B1020" s="1" t="s">
        <v>2870</v>
      </c>
      <c r="C1020" s="4">
        <v>39878.586111111108</v>
      </c>
      <c r="D1020" s="1" t="s">
        <v>1887</v>
      </c>
      <c r="E1020" s="1"/>
      <c r="F1020" s="2" t="s">
        <v>2952</v>
      </c>
      <c r="G1020" s="1">
        <f ca="1">IFERROR(__xludf.DUMMYFUNCTION("COUNTA(SPLIT(F1020,"" ""))"),78)</f>
        <v>78</v>
      </c>
      <c r="H1020" s="1">
        <v>78</v>
      </c>
      <c r="I1020" s="1"/>
      <c r="J1020" s="1"/>
      <c r="K1020" s="1"/>
      <c r="L1020" s="1"/>
      <c r="M1020" s="1"/>
      <c r="N1020" s="1"/>
      <c r="O1020" s="1"/>
      <c r="P1020" s="1"/>
      <c r="Q1020" s="1"/>
      <c r="R1020" s="1"/>
      <c r="S1020" s="1"/>
      <c r="T1020" s="1"/>
    </row>
    <row r="1021" spans="1:20" ht="33.75" customHeight="1">
      <c r="A1021" s="1" t="s">
        <v>2953</v>
      </c>
      <c r="B1021" s="1" t="s">
        <v>2870</v>
      </c>
      <c r="C1021" s="4">
        <v>39878.586111111108</v>
      </c>
      <c r="D1021" s="1" t="s">
        <v>1887</v>
      </c>
      <c r="E1021" s="1"/>
      <c r="F1021" s="2" t="s">
        <v>2954</v>
      </c>
      <c r="G1021" s="1">
        <f ca="1">IFERROR(__xludf.DUMMYFUNCTION("COUNTA(SPLIT(F1021,"" ""))"),12)</f>
        <v>12</v>
      </c>
      <c r="H1021" s="1">
        <v>12</v>
      </c>
      <c r="I1021" s="1"/>
      <c r="J1021" s="1"/>
      <c r="K1021" s="1"/>
      <c r="L1021" s="1"/>
      <c r="M1021" s="1"/>
      <c r="N1021" s="1"/>
      <c r="O1021" s="1"/>
      <c r="P1021" s="1"/>
      <c r="Q1021" s="1"/>
      <c r="R1021" s="1"/>
      <c r="S1021" s="1"/>
      <c r="T1021" s="1"/>
    </row>
    <row r="1022" spans="1:20" ht="33.75" customHeight="1">
      <c r="A1022" s="1" t="s">
        <v>2955</v>
      </c>
      <c r="B1022" s="1" t="s">
        <v>2870</v>
      </c>
      <c r="C1022" s="4">
        <v>39878.586805555555</v>
      </c>
      <c r="D1022" s="1" t="s">
        <v>1887</v>
      </c>
      <c r="E1022" s="1"/>
      <c r="F1022" s="2" t="s">
        <v>2956</v>
      </c>
      <c r="G1022" s="1">
        <f ca="1">IFERROR(__xludf.DUMMYFUNCTION("COUNTA(SPLIT(F1022,"" ""))"),12)</f>
        <v>12</v>
      </c>
      <c r="H1022" s="1">
        <v>12</v>
      </c>
      <c r="I1022" s="1"/>
      <c r="J1022" s="1"/>
      <c r="K1022" s="1"/>
      <c r="L1022" s="1"/>
      <c r="M1022" s="1"/>
      <c r="N1022" s="1"/>
      <c r="O1022" s="1"/>
      <c r="P1022" s="1"/>
      <c r="Q1022" s="1"/>
      <c r="R1022" s="1"/>
      <c r="S1022" s="1"/>
      <c r="T1022" s="1"/>
    </row>
    <row r="1023" spans="1:20" ht="33.75" customHeight="1">
      <c r="A1023" s="1" t="s">
        <v>2957</v>
      </c>
      <c r="B1023" s="1" t="s">
        <v>2870</v>
      </c>
      <c r="C1023" s="4">
        <v>39878.586805555555</v>
      </c>
      <c r="D1023" s="1" t="s">
        <v>1887</v>
      </c>
      <c r="E1023" s="1"/>
      <c r="F1023" s="2" t="s">
        <v>2958</v>
      </c>
      <c r="G1023" s="1">
        <f ca="1">IFERROR(__xludf.DUMMYFUNCTION("COUNTA(SPLIT(F1023,"" ""))"),12)</f>
        <v>12</v>
      </c>
      <c r="H1023" s="1">
        <v>12</v>
      </c>
      <c r="I1023" s="1"/>
      <c r="J1023" s="1"/>
      <c r="K1023" s="1"/>
      <c r="L1023" s="1"/>
      <c r="M1023" s="1"/>
      <c r="N1023" s="1"/>
      <c r="O1023" s="1"/>
      <c r="P1023" s="1"/>
      <c r="Q1023" s="1"/>
      <c r="R1023" s="1"/>
      <c r="S1023" s="1"/>
      <c r="T1023" s="1"/>
    </row>
    <row r="1024" spans="1:20" ht="33.75" customHeight="1">
      <c r="A1024" s="1" t="s">
        <v>2959</v>
      </c>
      <c r="B1024" s="1" t="s">
        <v>2870</v>
      </c>
      <c r="C1024" s="4">
        <v>39878.587500000001</v>
      </c>
      <c r="D1024" s="1" t="s">
        <v>1887</v>
      </c>
      <c r="E1024" s="1"/>
      <c r="F1024" s="2" t="s">
        <v>2960</v>
      </c>
      <c r="G1024" s="1">
        <f ca="1">IFERROR(__xludf.DUMMYFUNCTION("COUNTA(SPLIT(F1024,"" ""))"),12)</f>
        <v>12</v>
      </c>
      <c r="H1024" s="1">
        <v>12</v>
      </c>
      <c r="I1024" s="1"/>
      <c r="J1024" s="1"/>
      <c r="K1024" s="1"/>
      <c r="L1024" s="1"/>
      <c r="M1024" s="1"/>
      <c r="N1024" s="1"/>
      <c r="O1024" s="1"/>
      <c r="P1024" s="1"/>
      <c r="Q1024" s="1"/>
      <c r="R1024" s="1"/>
      <c r="S1024" s="1"/>
      <c r="T1024" s="1"/>
    </row>
    <row r="1025" spans="1:20" ht="33.75" customHeight="1">
      <c r="A1025" s="1" t="s">
        <v>2961</v>
      </c>
      <c r="B1025" s="1" t="s">
        <v>2870</v>
      </c>
      <c r="C1025" s="4">
        <v>39878.665277777778</v>
      </c>
      <c r="D1025" s="1" t="s">
        <v>2893</v>
      </c>
      <c r="E1025" s="1"/>
      <c r="F1025" s="2" t="s">
        <v>2962</v>
      </c>
      <c r="G1025" s="1">
        <f ca="1">IFERROR(__xludf.DUMMYFUNCTION("COUNTA(SPLIT(F1025,"" ""))"),69)</f>
        <v>69</v>
      </c>
      <c r="H1025" s="1">
        <v>69</v>
      </c>
      <c r="I1025" s="1"/>
      <c r="J1025" s="1"/>
      <c r="K1025" s="1"/>
      <c r="L1025" s="1"/>
      <c r="M1025" s="1"/>
      <c r="N1025" s="1"/>
      <c r="O1025" s="1"/>
      <c r="P1025" s="1"/>
      <c r="Q1025" s="1"/>
      <c r="R1025" s="1"/>
      <c r="S1025" s="1"/>
      <c r="T1025" s="1"/>
    </row>
    <row r="1026" spans="1:20" ht="33.75" customHeight="1">
      <c r="A1026" s="1" t="s">
        <v>2963</v>
      </c>
      <c r="B1026" s="1" t="s">
        <v>2870</v>
      </c>
      <c r="C1026" s="4">
        <v>39878.668055555558</v>
      </c>
      <c r="D1026" s="1" t="s">
        <v>54</v>
      </c>
      <c r="E1026" s="1"/>
      <c r="F1026" s="2" t="s">
        <v>2964</v>
      </c>
      <c r="G1026" s="1">
        <f ca="1">IFERROR(__xludf.DUMMYFUNCTION("COUNTA(SPLIT(F1026,"" ""))"),22)</f>
        <v>22</v>
      </c>
      <c r="H1026" s="1">
        <v>22</v>
      </c>
      <c r="I1026" s="1"/>
      <c r="J1026" s="1"/>
      <c r="K1026" s="1"/>
      <c r="L1026" s="1"/>
      <c r="M1026" s="1"/>
      <c r="N1026" s="1"/>
      <c r="O1026" s="1"/>
      <c r="P1026" s="1"/>
      <c r="Q1026" s="1"/>
      <c r="R1026" s="1"/>
      <c r="S1026" s="1"/>
      <c r="T1026" s="1"/>
    </row>
    <row r="1027" spans="1:20" ht="33.75" hidden="1" customHeight="1">
      <c r="A1027" s="1" t="s">
        <v>2965</v>
      </c>
      <c r="B1027" s="1" t="s">
        <v>2870</v>
      </c>
      <c r="C1027" s="4">
        <v>39878.774305555555</v>
      </c>
      <c r="D1027" s="1" t="s">
        <v>2966</v>
      </c>
      <c r="E1027" s="1" t="s">
        <v>2967</v>
      </c>
      <c r="F1027" s="2" t="s">
        <v>2969</v>
      </c>
      <c r="G1027" s="1">
        <f ca="1">IFERROR(__xludf.DUMMYFUNCTION("COUNTA(SPLIT(F1027,"" ""))"),71)</f>
        <v>71</v>
      </c>
      <c r="H1027" s="1">
        <v>71</v>
      </c>
      <c r="I1027" s="1"/>
      <c r="J1027" s="1"/>
      <c r="K1027" s="1"/>
      <c r="L1027" s="1"/>
      <c r="M1027" s="1"/>
      <c r="N1027" s="1"/>
      <c r="O1027" s="1"/>
      <c r="P1027" s="1"/>
      <c r="Q1027" s="1"/>
      <c r="R1027" s="1"/>
      <c r="S1027" s="1"/>
      <c r="T1027" s="1"/>
    </row>
    <row r="1028" spans="1:20" ht="33.75" hidden="1" customHeight="1">
      <c r="A1028" s="1" t="s">
        <v>2970</v>
      </c>
      <c r="B1028" s="1" t="s">
        <v>2636</v>
      </c>
      <c r="C1028" s="4">
        <v>39878.902083333334</v>
      </c>
      <c r="D1028" s="1" t="s">
        <v>320</v>
      </c>
      <c r="E1028" s="1" t="s">
        <v>2927</v>
      </c>
      <c r="F1028" s="2" t="s">
        <v>2971</v>
      </c>
      <c r="G1028" s="1">
        <f ca="1">IFERROR(__xludf.DUMMYFUNCTION("COUNTA(SPLIT(F1028,"" ""))"),263)</f>
        <v>263</v>
      </c>
      <c r="H1028" s="1">
        <v>263</v>
      </c>
      <c r="I1028" s="1"/>
      <c r="J1028" s="1"/>
      <c r="K1028" s="1"/>
      <c r="L1028" s="1"/>
      <c r="M1028" s="1"/>
      <c r="N1028" s="1"/>
      <c r="O1028" s="1"/>
      <c r="P1028" s="1"/>
      <c r="Q1028" s="1"/>
      <c r="R1028" s="1"/>
      <c r="S1028" s="1"/>
      <c r="T1028" s="1"/>
    </row>
    <row r="1029" spans="1:20" ht="33.75" hidden="1" customHeight="1">
      <c r="A1029" s="1" t="s">
        <v>2972</v>
      </c>
      <c r="B1029" s="1" t="s">
        <v>2636</v>
      </c>
      <c r="C1029" s="4">
        <v>39878.904166666667</v>
      </c>
      <c r="D1029" s="1" t="s">
        <v>320</v>
      </c>
      <c r="E1029" s="1" t="s">
        <v>2970</v>
      </c>
      <c r="F1029" s="2" t="s">
        <v>2973</v>
      </c>
      <c r="G1029" s="1">
        <f ca="1">IFERROR(__xludf.DUMMYFUNCTION("COUNTA(SPLIT(F1029,"" ""))"),11)</f>
        <v>11</v>
      </c>
      <c r="H1029" s="1">
        <v>11</v>
      </c>
      <c r="I1029" s="1"/>
      <c r="J1029" s="1"/>
      <c r="K1029" s="1"/>
      <c r="L1029" s="1"/>
      <c r="M1029" s="1"/>
      <c r="N1029" s="1"/>
      <c r="O1029" s="1"/>
      <c r="P1029" s="1"/>
      <c r="Q1029" s="1"/>
      <c r="R1029" s="1"/>
      <c r="S1029" s="1"/>
      <c r="T1029" s="1"/>
    </row>
    <row r="1030" spans="1:20" ht="33.75" hidden="1" customHeight="1">
      <c r="A1030" s="1" t="s">
        <v>2974</v>
      </c>
      <c r="B1030" s="1" t="s">
        <v>2636</v>
      </c>
      <c r="C1030" s="4">
        <v>39878.951388888891</v>
      </c>
      <c r="D1030" s="1" t="s">
        <v>314</v>
      </c>
      <c r="E1030" s="1" t="s">
        <v>2970</v>
      </c>
      <c r="F1030" s="2" t="s">
        <v>2975</v>
      </c>
      <c r="G1030" s="1">
        <f ca="1">IFERROR(__xludf.DUMMYFUNCTION("COUNTA(SPLIT(F1030,"" ""))"),131)</f>
        <v>131</v>
      </c>
      <c r="H1030" s="1">
        <v>131</v>
      </c>
      <c r="I1030" s="1"/>
      <c r="J1030" s="1"/>
      <c r="K1030" s="1"/>
      <c r="L1030" s="1"/>
      <c r="M1030" s="1"/>
      <c r="N1030" s="1"/>
      <c r="O1030" s="1"/>
      <c r="P1030" s="1"/>
      <c r="Q1030" s="1"/>
      <c r="R1030" s="1"/>
      <c r="S1030" s="1"/>
      <c r="T1030" s="1"/>
    </row>
    <row r="1031" spans="1:20" ht="33.75" hidden="1" customHeight="1">
      <c r="A1031" s="1" t="s">
        <v>2976</v>
      </c>
      <c r="B1031" s="1" t="s">
        <v>2636</v>
      </c>
      <c r="C1031" s="4">
        <v>39878.963194444441</v>
      </c>
      <c r="D1031" s="1" t="s">
        <v>14</v>
      </c>
      <c r="E1031" s="1" t="s">
        <v>2974</v>
      </c>
      <c r="F1031" s="2" t="s">
        <v>2977</v>
      </c>
      <c r="G1031" s="1">
        <f ca="1">IFERROR(__xludf.DUMMYFUNCTION("COUNTA(SPLIT(F1031,"" ""))"),184)</f>
        <v>184</v>
      </c>
      <c r="H1031" s="1">
        <v>184</v>
      </c>
      <c r="I1031" s="1"/>
      <c r="J1031" s="1"/>
      <c r="K1031" s="1"/>
      <c r="L1031" s="1"/>
      <c r="M1031" s="1"/>
      <c r="N1031" s="1"/>
      <c r="O1031" s="1"/>
      <c r="P1031" s="1"/>
      <c r="Q1031" s="1"/>
      <c r="R1031" s="1"/>
      <c r="S1031" s="1"/>
      <c r="T1031" s="1"/>
    </row>
    <row r="1032" spans="1:20" ht="33.75" hidden="1" customHeight="1">
      <c r="A1032" s="1" t="s">
        <v>2978</v>
      </c>
      <c r="B1032" s="1" t="s">
        <v>2636</v>
      </c>
      <c r="C1032" s="4">
        <v>39878.982638888891</v>
      </c>
      <c r="D1032" s="1" t="s">
        <v>14</v>
      </c>
      <c r="E1032" s="1" t="s">
        <v>2979</v>
      </c>
      <c r="F1032" s="2" t="s">
        <v>2980</v>
      </c>
      <c r="G1032" s="1">
        <f ca="1">IFERROR(__xludf.DUMMYFUNCTION("COUNTA(SPLIT(F1032,"" ""))"),570)</f>
        <v>570</v>
      </c>
      <c r="H1032" s="1">
        <v>570</v>
      </c>
      <c r="I1032" s="1"/>
      <c r="J1032" s="1"/>
      <c r="K1032" s="1"/>
      <c r="L1032" s="1"/>
      <c r="M1032" s="1"/>
      <c r="N1032" s="1"/>
      <c r="O1032" s="1"/>
      <c r="P1032" s="1"/>
      <c r="Q1032" s="1"/>
      <c r="R1032" s="1"/>
      <c r="S1032" s="1"/>
      <c r="T1032" s="1"/>
    </row>
    <row r="1033" spans="1:20" ht="33.75" hidden="1" customHeight="1">
      <c r="A1033" s="1" t="s">
        <v>2981</v>
      </c>
      <c r="B1033" s="1" t="s">
        <v>2636</v>
      </c>
      <c r="C1033" s="4">
        <v>39879.005555555559</v>
      </c>
      <c r="D1033" s="1" t="s">
        <v>14</v>
      </c>
      <c r="E1033" s="1" t="s">
        <v>2978</v>
      </c>
      <c r="F1033" s="2" t="s">
        <v>2982</v>
      </c>
      <c r="G1033" s="1">
        <f ca="1">IFERROR(__xludf.DUMMYFUNCTION("COUNTA(SPLIT(F1033,"" ""))"),101)</f>
        <v>101</v>
      </c>
      <c r="H1033" s="1">
        <v>101</v>
      </c>
      <c r="I1033" s="1"/>
      <c r="J1033" s="1"/>
      <c r="K1033" s="1"/>
      <c r="L1033" s="1"/>
      <c r="M1033" s="1"/>
      <c r="N1033" s="1"/>
      <c r="O1033" s="1"/>
      <c r="P1033" s="1"/>
      <c r="Q1033" s="1"/>
      <c r="R1033" s="1"/>
      <c r="S1033" s="1"/>
      <c r="T1033" s="1"/>
    </row>
    <row r="1034" spans="1:20" ht="33.75" customHeight="1">
      <c r="A1034" s="1" t="s">
        <v>2983</v>
      </c>
      <c r="B1034" s="1" t="s">
        <v>2636</v>
      </c>
      <c r="C1034" s="4">
        <v>39879.063888888886</v>
      </c>
      <c r="D1034" s="1" t="s">
        <v>54</v>
      </c>
      <c r="E1034" s="1"/>
      <c r="F1034" s="2" t="s">
        <v>2984</v>
      </c>
      <c r="G1034" s="1">
        <f ca="1">IFERROR(__xludf.DUMMYFUNCTION("COUNTA(SPLIT(F1034,"" ""))"),199)</f>
        <v>199</v>
      </c>
      <c r="H1034" s="1">
        <v>199</v>
      </c>
      <c r="I1034" s="1"/>
      <c r="J1034" s="1"/>
      <c r="K1034" s="1"/>
      <c r="L1034" s="1"/>
      <c r="M1034" s="1"/>
      <c r="N1034" s="1"/>
      <c r="O1034" s="1"/>
      <c r="P1034" s="1"/>
      <c r="Q1034" s="1"/>
      <c r="R1034" s="1"/>
      <c r="S1034" s="1"/>
      <c r="T1034" s="1"/>
    </row>
    <row r="1035" spans="1:20" ht="33.75" customHeight="1">
      <c r="A1035" s="1" t="s">
        <v>2985</v>
      </c>
      <c r="B1035" s="1" t="s">
        <v>2870</v>
      </c>
      <c r="C1035" s="4">
        <v>39879.173611111109</v>
      </c>
      <c r="D1035" s="1" t="s">
        <v>1089</v>
      </c>
      <c r="E1035" s="1"/>
      <c r="F1035" s="2" t="s">
        <v>2986</v>
      </c>
      <c r="G1035" s="1">
        <f ca="1">IFERROR(__xludf.DUMMYFUNCTION("COUNTA(SPLIT(F1035,"" ""))"),30)</f>
        <v>30</v>
      </c>
      <c r="H1035" s="1">
        <v>30</v>
      </c>
      <c r="I1035" s="1"/>
      <c r="J1035" s="1"/>
      <c r="K1035" s="1"/>
      <c r="L1035" s="1"/>
      <c r="M1035" s="1"/>
      <c r="N1035" s="1"/>
      <c r="O1035" s="1"/>
      <c r="P1035" s="1"/>
      <c r="Q1035" s="1"/>
      <c r="R1035" s="1"/>
      <c r="S1035" s="1"/>
      <c r="T1035" s="1"/>
    </row>
    <row r="1036" spans="1:20" ht="33.75" customHeight="1">
      <c r="A1036" s="1" t="s">
        <v>2987</v>
      </c>
      <c r="B1036" s="1" t="s">
        <v>2636</v>
      </c>
      <c r="C1036" s="4">
        <v>39879.461805555555</v>
      </c>
      <c r="D1036" s="1" t="s">
        <v>14</v>
      </c>
      <c r="E1036" s="1"/>
      <c r="F1036" s="2" t="s">
        <v>2988</v>
      </c>
      <c r="G1036" s="1">
        <f ca="1">IFERROR(__xludf.DUMMYFUNCTION("COUNTA(SPLIT(F1036,"" ""))"),448)</f>
        <v>448</v>
      </c>
      <c r="H1036" s="1">
        <v>448</v>
      </c>
      <c r="I1036" s="1"/>
      <c r="J1036" s="1"/>
      <c r="K1036" s="1"/>
      <c r="L1036" s="1"/>
      <c r="M1036" s="1"/>
      <c r="N1036" s="1"/>
      <c r="O1036" s="1"/>
      <c r="P1036" s="1"/>
      <c r="Q1036" s="1"/>
      <c r="R1036" s="1"/>
      <c r="S1036" s="1"/>
      <c r="T1036" s="1"/>
    </row>
    <row r="1037" spans="1:20" ht="33.75" hidden="1" customHeight="1">
      <c r="A1037" s="1" t="s">
        <v>2989</v>
      </c>
      <c r="B1037" s="1" t="s">
        <v>2636</v>
      </c>
      <c r="C1037" s="4">
        <v>39879.470833333333</v>
      </c>
      <c r="D1037" s="1" t="s">
        <v>14</v>
      </c>
      <c r="E1037" s="1" t="s">
        <v>2983</v>
      </c>
      <c r="F1037" s="2" t="s">
        <v>2990</v>
      </c>
      <c r="G1037" s="1">
        <f ca="1">IFERROR(__xludf.DUMMYFUNCTION("COUNTA(SPLIT(F1037,"" ""))"),52)</f>
        <v>52</v>
      </c>
      <c r="H1037" s="1">
        <v>52</v>
      </c>
      <c r="I1037" s="1"/>
      <c r="J1037" s="1"/>
      <c r="K1037" s="1"/>
      <c r="L1037" s="1"/>
      <c r="M1037" s="1"/>
      <c r="N1037" s="1"/>
      <c r="O1037" s="1"/>
      <c r="P1037" s="1"/>
      <c r="Q1037" s="1"/>
      <c r="R1037" s="1"/>
      <c r="S1037" s="1"/>
      <c r="T1037" s="1"/>
    </row>
    <row r="1038" spans="1:20" ht="33.75" customHeight="1">
      <c r="A1038" s="1" t="s">
        <v>2991</v>
      </c>
      <c r="B1038" s="1" t="s">
        <v>2870</v>
      </c>
      <c r="C1038" s="4">
        <v>39879.51458333333</v>
      </c>
      <c r="D1038" s="1" t="s">
        <v>772</v>
      </c>
      <c r="E1038" s="1"/>
      <c r="F1038" s="2" t="s">
        <v>2992</v>
      </c>
      <c r="G1038" s="1">
        <f ca="1">IFERROR(__xludf.DUMMYFUNCTION("COUNTA(SPLIT(F1038,"" ""))"),298)</f>
        <v>298</v>
      </c>
      <c r="H1038" s="1">
        <v>298</v>
      </c>
      <c r="I1038" s="1"/>
      <c r="J1038" s="1"/>
      <c r="K1038" s="1"/>
      <c r="L1038" s="1"/>
      <c r="M1038" s="1"/>
      <c r="N1038" s="1"/>
      <c r="O1038" s="1"/>
      <c r="P1038" s="1"/>
      <c r="Q1038" s="1"/>
      <c r="R1038" s="1"/>
      <c r="S1038" s="1"/>
      <c r="T1038" s="1"/>
    </row>
    <row r="1039" spans="1:20" ht="33.75" customHeight="1">
      <c r="A1039" s="1" t="s">
        <v>2993</v>
      </c>
      <c r="B1039" s="1" t="s">
        <v>2870</v>
      </c>
      <c r="C1039" s="4">
        <v>39879.536805555559</v>
      </c>
      <c r="D1039" s="1" t="s">
        <v>772</v>
      </c>
      <c r="E1039" s="1"/>
      <c r="F1039" s="2" t="s">
        <v>2994</v>
      </c>
      <c r="G1039" s="1">
        <f ca="1">IFERROR(__xludf.DUMMYFUNCTION("COUNTA(SPLIT(F1039,"" ""))"),210)</f>
        <v>210</v>
      </c>
      <c r="H1039" s="1">
        <v>210</v>
      </c>
      <c r="I1039" s="1"/>
      <c r="J1039" s="1"/>
      <c r="K1039" s="1"/>
      <c r="L1039" s="1"/>
      <c r="M1039" s="1"/>
      <c r="N1039" s="1"/>
      <c r="O1039" s="1"/>
      <c r="P1039" s="1"/>
      <c r="Q1039" s="1"/>
      <c r="R1039" s="1"/>
      <c r="S1039" s="1"/>
      <c r="T1039" s="1"/>
    </row>
    <row r="1040" spans="1:20" ht="33.75" customHeight="1">
      <c r="A1040" s="1" t="s">
        <v>2995</v>
      </c>
      <c r="B1040" s="1" t="s">
        <v>2870</v>
      </c>
      <c r="C1040" s="4">
        <v>39879.597222222219</v>
      </c>
      <c r="D1040" s="1" t="s">
        <v>772</v>
      </c>
      <c r="E1040" s="1"/>
      <c r="F1040" s="2" t="s">
        <v>2996</v>
      </c>
      <c r="G1040" s="1">
        <f ca="1">IFERROR(__xludf.DUMMYFUNCTION("COUNTA(SPLIT(F1040,"" ""))"),236)</f>
        <v>236</v>
      </c>
      <c r="H1040" s="1">
        <v>236</v>
      </c>
      <c r="I1040" s="1"/>
      <c r="J1040" s="1"/>
      <c r="K1040" s="1"/>
      <c r="L1040" s="1"/>
      <c r="M1040" s="1"/>
      <c r="N1040" s="1"/>
      <c r="O1040" s="1"/>
      <c r="P1040" s="1"/>
      <c r="Q1040" s="1"/>
      <c r="R1040" s="1"/>
      <c r="S1040" s="1"/>
      <c r="T1040" s="1"/>
    </row>
    <row r="1041" spans="1:20" ht="33.75" customHeight="1">
      <c r="A1041" s="1" t="s">
        <v>2997</v>
      </c>
      <c r="B1041" s="1" t="s">
        <v>2870</v>
      </c>
      <c r="C1041" s="4">
        <v>39879.657638888886</v>
      </c>
      <c r="D1041" s="1" t="s">
        <v>54</v>
      </c>
      <c r="E1041" s="1"/>
      <c r="F1041" s="2" t="s">
        <v>2998</v>
      </c>
      <c r="G1041" s="1">
        <f ca="1">IFERROR(__xludf.DUMMYFUNCTION("COUNTA(SPLIT(F1041,"" ""))"),76)</f>
        <v>76</v>
      </c>
      <c r="H1041" s="1">
        <v>76</v>
      </c>
      <c r="I1041" s="1"/>
      <c r="J1041" s="1"/>
      <c r="K1041" s="1"/>
      <c r="L1041" s="1"/>
      <c r="M1041" s="1"/>
      <c r="N1041" s="1"/>
      <c r="O1041" s="1"/>
      <c r="P1041" s="1"/>
      <c r="Q1041" s="1"/>
      <c r="R1041" s="1"/>
      <c r="S1041" s="1"/>
      <c r="T1041" s="1"/>
    </row>
    <row r="1042" spans="1:20" ht="33.75" customHeight="1">
      <c r="A1042" s="1" t="s">
        <v>2999</v>
      </c>
      <c r="B1042" s="1" t="s">
        <v>2870</v>
      </c>
      <c r="C1042" s="4">
        <v>39879.669444444444</v>
      </c>
      <c r="D1042" s="1" t="s">
        <v>2893</v>
      </c>
      <c r="E1042" s="1"/>
      <c r="F1042" s="2" t="s">
        <v>3001</v>
      </c>
      <c r="G1042" s="1">
        <f ca="1">IFERROR(__xludf.DUMMYFUNCTION("COUNTA(SPLIT(F1042,"" ""))"),128)</f>
        <v>128</v>
      </c>
      <c r="H1042" s="1">
        <v>128</v>
      </c>
      <c r="I1042" s="1"/>
      <c r="J1042" s="1"/>
      <c r="K1042" s="1"/>
      <c r="L1042" s="1"/>
      <c r="M1042" s="1"/>
      <c r="N1042" s="1"/>
      <c r="O1042" s="1"/>
      <c r="P1042" s="1"/>
      <c r="Q1042" s="1"/>
      <c r="R1042" s="1"/>
      <c r="S1042" s="1"/>
      <c r="T1042" s="1"/>
    </row>
    <row r="1043" spans="1:20" ht="33.75" customHeight="1">
      <c r="A1043" s="1" t="s">
        <v>3002</v>
      </c>
      <c r="B1043" s="1" t="s">
        <v>2636</v>
      </c>
      <c r="C1043" s="4">
        <v>39879.724999999999</v>
      </c>
      <c r="D1043" s="1" t="s">
        <v>14</v>
      </c>
      <c r="E1043" s="1"/>
      <c r="F1043" s="2" t="s">
        <v>3003</v>
      </c>
      <c r="G1043" s="1">
        <f ca="1">IFERROR(__xludf.DUMMYFUNCTION("COUNTA(SPLIT(F1043,"" ""))"),265)</f>
        <v>265</v>
      </c>
      <c r="H1043" s="1">
        <v>265</v>
      </c>
      <c r="I1043" s="1"/>
      <c r="J1043" s="1"/>
      <c r="K1043" s="1"/>
      <c r="L1043" s="1"/>
      <c r="M1043" s="1"/>
      <c r="N1043" s="1"/>
      <c r="O1043" s="1"/>
      <c r="P1043" s="1"/>
      <c r="Q1043" s="1"/>
      <c r="R1043" s="1"/>
      <c r="S1043" s="1"/>
      <c r="T1043" s="1"/>
    </row>
    <row r="1044" spans="1:20" ht="33.75" hidden="1" customHeight="1">
      <c r="A1044" s="1" t="s">
        <v>3004</v>
      </c>
      <c r="B1044" s="1" t="s">
        <v>2636</v>
      </c>
      <c r="C1044" s="4">
        <v>39880.113888888889</v>
      </c>
      <c r="D1044" s="1" t="s">
        <v>1528</v>
      </c>
      <c r="E1044" s="1" t="s">
        <v>2889</v>
      </c>
      <c r="F1044" s="2" t="s">
        <v>3005</v>
      </c>
      <c r="G1044" s="1">
        <f ca="1">IFERROR(__xludf.DUMMYFUNCTION("COUNTA(SPLIT(F1044,"" ""))"),57)</f>
        <v>57</v>
      </c>
      <c r="H1044" s="1">
        <v>57</v>
      </c>
      <c r="I1044" s="1"/>
      <c r="J1044" s="1"/>
      <c r="K1044" s="1"/>
      <c r="L1044" s="1"/>
      <c r="M1044" s="1"/>
      <c r="N1044" s="1"/>
      <c r="O1044" s="1"/>
      <c r="P1044" s="1"/>
      <c r="Q1044" s="1"/>
      <c r="R1044" s="1"/>
      <c r="S1044" s="1"/>
      <c r="T1044" s="1"/>
    </row>
    <row r="1045" spans="1:20" ht="33.75" customHeight="1">
      <c r="A1045" s="1" t="s">
        <v>3006</v>
      </c>
      <c r="B1045" s="1" t="s">
        <v>2636</v>
      </c>
      <c r="C1045" s="4">
        <v>39879.779166666667</v>
      </c>
      <c r="D1045" s="1" t="s">
        <v>14</v>
      </c>
      <c r="E1045" s="1"/>
      <c r="F1045" s="2" t="s">
        <v>3007</v>
      </c>
      <c r="G1045" s="1">
        <f ca="1">IFERROR(__xludf.DUMMYFUNCTION("COUNTA(SPLIT(F1045,"" ""))"),220)</f>
        <v>220</v>
      </c>
      <c r="H1045" s="1">
        <v>220</v>
      </c>
      <c r="I1045" s="1"/>
      <c r="J1045" s="1"/>
      <c r="K1045" s="1"/>
      <c r="L1045" s="1"/>
      <c r="M1045" s="1"/>
      <c r="N1045" s="1"/>
      <c r="O1045" s="1"/>
      <c r="P1045" s="1"/>
      <c r="Q1045" s="1"/>
      <c r="R1045" s="1"/>
      <c r="S1045" s="1"/>
      <c r="T1045" s="1"/>
    </row>
    <row r="1046" spans="1:20" ht="33.75" hidden="1" customHeight="1">
      <c r="A1046" s="1" t="s">
        <v>3008</v>
      </c>
      <c r="B1046" s="1" t="s">
        <v>2636</v>
      </c>
      <c r="C1046" s="4">
        <v>39879.781944444447</v>
      </c>
      <c r="D1046" s="1" t="s">
        <v>14</v>
      </c>
      <c r="E1046" s="1" t="s">
        <v>2889</v>
      </c>
      <c r="F1046" s="2" t="s">
        <v>3009</v>
      </c>
      <c r="G1046" s="1">
        <f ca="1">IFERROR(__xludf.DUMMYFUNCTION("COUNTA(SPLIT(F1046,"" ""))"),50)</f>
        <v>50</v>
      </c>
      <c r="H1046" s="1">
        <v>50</v>
      </c>
      <c r="I1046" s="1"/>
      <c r="J1046" s="1"/>
      <c r="K1046" s="1"/>
      <c r="L1046" s="1"/>
      <c r="M1046" s="1"/>
      <c r="N1046" s="1"/>
      <c r="O1046" s="1"/>
      <c r="P1046" s="1"/>
      <c r="Q1046" s="1"/>
      <c r="R1046" s="1"/>
      <c r="S1046" s="1"/>
      <c r="T1046" s="1"/>
    </row>
    <row r="1047" spans="1:20" ht="33.75" customHeight="1">
      <c r="A1047" s="1" t="s">
        <v>3010</v>
      </c>
      <c r="B1047" s="1" t="s">
        <v>2870</v>
      </c>
      <c r="C1047" s="4">
        <v>39879.837500000001</v>
      </c>
      <c r="D1047" s="1" t="s">
        <v>84</v>
      </c>
      <c r="E1047" s="1"/>
      <c r="F1047" s="2" t="s">
        <v>3013</v>
      </c>
      <c r="G1047" s="1">
        <f ca="1">IFERROR(__xludf.DUMMYFUNCTION("COUNTA(SPLIT(F1047,"" ""))"),62)</f>
        <v>62</v>
      </c>
      <c r="H1047" s="1">
        <v>62</v>
      </c>
      <c r="I1047" s="1"/>
      <c r="J1047" s="1"/>
      <c r="K1047" s="1"/>
      <c r="L1047" s="1"/>
      <c r="M1047" s="1"/>
      <c r="N1047" s="1"/>
      <c r="O1047" s="1"/>
      <c r="P1047" s="1"/>
      <c r="Q1047" s="1"/>
      <c r="R1047" s="1"/>
      <c r="S1047" s="1"/>
      <c r="T1047" s="1"/>
    </row>
    <row r="1048" spans="1:20" ht="33.75" customHeight="1">
      <c r="A1048" s="1" t="s">
        <v>3014</v>
      </c>
      <c r="B1048" s="1" t="s">
        <v>2636</v>
      </c>
      <c r="C1048" s="4">
        <v>39879.905555555553</v>
      </c>
      <c r="D1048" s="1" t="s">
        <v>14</v>
      </c>
      <c r="E1048" s="1"/>
      <c r="F1048" s="2" t="s">
        <v>3015</v>
      </c>
      <c r="G1048" s="1">
        <f ca="1">IFERROR(__xludf.DUMMYFUNCTION("COUNTA(SPLIT(F1048,"" ""))"),344)</f>
        <v>344</v>
      </c>
      <c r="H1048" s="1">
        <v>344</v>
      </c>
      <c r="I1048" s="1"/>
      <c r="J1048" s="1"/>
      <c r="K1048" s="1"/>
      <c r="L1048" s="1"/>
      <c r="M1048" s="1"/>
      <c r="N1048" s="1"/>
      <c r="O1048" s="1"/>
      <c r="P1048" s="1"/>
      <c r="Q1048" s="1"/>
      <c r="R1048" s="1"/>
      <c r="S1048" s="1"/>
      <c r="T1048" s="1"/>
    </row>
    <row r="1049" spans="1:20" ht="33.75" hidden="1" customHeight="1">
      <c r="A1049" s="1" t="s">
        <v>3016</v>
      </c>
      <c r="B1049" s="1" t="s">
        <v>2870</v>
      </c>
      <c r="C1049" s="4">
        <v>39879.915277777778</v>
      </c>
      <c r="D1049" s="1" t="s">
        <v>2893</v>
      </c>
      <c r="E1049" s="1" t="s">
        <v>3010</v>
      </c>
      <c r="F1049" s="2" t="s">
        <v>3018</v>
      </c>
      <c r="G1049" s="1">
        <f ca="1">IFERROR(__xludf.DUMMYFUNCTION("COUNTA(SPLIT(F1049,"" ""))"),270)</f>
        <v>270</v>
      </c>
      <c r="H1049" s="1">
        <v>270</v>
      </c>
      <c r="I1049" s="1"/>
      <c r="J1049" s="1"/>
      <c r="K1049" s="1"/>
      <c r="L1049" s="1"/>
      <c r="M1049" s="1"/>
      <c r="N1049" s="1"/>
      <c r="O1049" s="1"/>
      <c r="P1049" s="1"/>
      <c r="Q1049" s="1"/>
      <c r="R1049" s="1"/>
      <c r="S1049" s="1"/>
      <c r="T1049" s="1"/>
    </row>
    <row r="1050" spans="1:20" ht="33.75" customHeight="1">
      <c r="A1050" s="1" t="s">
        <v>3019</v>
      </c>
      <c r="B1050" s="1" t="s">
        <v>2636</v>
      </c>
      <c r="C1050" s="4">
        <v>39879.996527777781</v>
      </c>
      <c r="D1050" s="1" t="s">
        <v>196</v>
      </c>
      <c r="E1050" s="1"/>
      <c r="F1050" s="2" t="s">
        <v>3020</v>
      </c>
      <c r="G1050" s="1">
        <f ca="1">IFERROR(__xludf.DUMMYFUNCTION("COUNTA(SPLIT(F1050,"" ""))"),244)</f>
        <v>244</v>
      </c>
      <c r="H1050" s="1">
        <v>244</v>
      </c>
      <c r="I1050" s="1"/>
      <c r="J1050" s="1"/>
      <c r="K1050" s="1"/>
      <c r="L1050" s="1"/>
      <c r="M1050" s="1"/>
      <c r="N1050" s="1"/>
      <c r="O1050" s="1"/>
      <c r="P1050" s="1"/>
      <c r="Q1050" s="1"/>
      <c r="R1050" s="1"/>
      <c r="S1050" s="1"/>
      <c r="T1050" s="1"/>
    </row>
    <row r="1051" spans="1:20" ht="33.75" hidden="1" customHeight="1">
      <c r="A1051" s="1" t="s">
        <v>3021</v>
      </c>
      <c r="B1051" s="1" t="s">
        <v>2636</v>
      </c>
      <c r="C1051" s="4">
        <v>39880.037499999999</v>
      </c>
      <c r="D1051" s="1" t="s">
        <v>14</v>
      </c>
      <c r="E1051" s="1" t="s">
        <v>3019</v>
      </c>
      <c r="F1051" s="2" t="s">
        <v>3022</v>
      </c>
      <c r="G1051" s="1">
        <f ca="1">IFERROR(__xludf.DUMMYFUNCTION("COUNTA(SPLIT(F1051,"" ""))"),10)</f>
        <v>10</v>
      </c>
      <c r="H1051" s="1">
        <v>10</v>
      </c>
      <c r="I1051" s="1"/>
      <c r="J1051" s="1"/>
      <c r="K1051" s="1"/>
      <c r="L1051" s="1"/>
      <c r="M1051" s="1"/>
      <c r="N1051" s="1"/>
      <c r="O1051" s="1"/>
      <c r="P1051" s="1"/>
      <c r="Q1051" s="1"/>
      <c r="R1051" s="1"/>
      <c r="S1051" s="1"/>
      <c r="T1051" s="1"/>
    </row>
    <row r="1052" spans="1:20" ht="33.75" customHeight="1">
      <c r="A1052" s="1" t="s">
        <v>3023</v>
      </c>
      <c r="B1052" s="1" t="s">
        <v>2636</v>
      </c>
      <c r="C1052" s="4">
        <v>39880.054861111108</v>
      </c>
      <c r="D1052" s="1" t="s">
        <v>196</v>
      </c>
      <c r="E1052" s="1"/>
      <c r="F1052" s="2" t="s">
        <v>3024</v>
      </c>
      <c r="G1052" s="1">
        <f ca="1">IFERROR(__xludf.DUMMYFUNCTION("COUNTA(SPLIT(F1052,"" ""))"),22)</f>
        <v>22</v>
      </c>
      <c r="H1052" s="1">
        <v>22</v>
      </c>
      <c r="I1052" s="1"/>
      <c r="J1052" s="1"/>
      <c r="K1052" s="1"/>
      <c r="L1052" s="1"/>
      <c r="M1052" s="1"/>
      <c r="N1052" s="1"/>
      <c r="O1052" s="1"/>
      <c r="P1052" s="1"/>
      <c r="Q1052" s="1"/>
      <c r="R1052" s="1"/>
      <c r="S1052" s="1"/>
      <c r="T1052" s="1"/>
    </row>
    <row r="1053" spans="1:20" ht="33.75" hidden="1" customHeight="1">
      <c r="A1053" s="1" t="s">
        <v>3025</v>
      </c>
      <c r="B1053" s="1" t="s">
        <v>2636</v>
      </c>
      <c r="C1053" s="4">
        <v>39880.068749999999</v>
      </c>
      <c r="D1053" s="1" t="s">
        <v>196</v>
      </c>
      <c r="E1053" s="1" t="s">
        <v>3019</v>
      </c>
      <c r="F1053" s="2" t="s">
        <v>3026</v>
      </c>
      <c r="G1053" s="1">
        <f ca="1">IFERROR(__xludf.DUMMYFUNCTION("COUNTA(SPLIT(F1053,"" ""))"),439)</f>
        <v>439</v>
      </c>
      <c r="H1053" s="1">
        <v>439</v>
      </c>
      <c r="I1053" s="1"/>
      <c r="J1053" s="1"/>
      <c r="K1053" s="1"/>
      <c r="L1053" s="1"/>
      <c r="M1053" s="1"/>
      <c r="N1053" s="1"/>
      <c r="O1053" s="1"/>
      <c r="P1053" s="1"/>
      <c r="Q1053" s="1"/>
      <c r="R1053" s="1"/>
      <c r="S1053" s="1"/>
      <c r="T1053" s="1"/>
    </row>
    <row r="1054" spans="1:20" ht="33.75" customHeight="1">
      <c r="A1054" s="1" t="s">
        <v>3027</v>
      </c>
      <c r="B1054" s="1" t="s">
        <v>2636</v>
      </c>
      <c r="C1054" s="4">
        <v>39880.07708333333</v>
      </c>
      <c r="D1054" s="1" t="s">
        <v>14</v>
      </c>
      <c r="E1054" s="1"/>
      <c r="F1054" s="2" t="s">
        <v>3029</v>
      </c>
      <c r="G1054" s="1">
        <f ca="1">IFERROR(__xludf.DUMMYFUNCTION("COUNTA(SPLIT(F1054,"" ""))"),427)</f>
        <v>427</v>
      </c>
      <c r="H1054" s="1">
        <v>427</v>
      </c>
      <c r="I1054" s="1"/>
      <c r="J1054" s="1"/>
      <c r="K1054" s="1"/>
      <c r="L1054" s="1"/>
      <c r="M1054" s="1"/>
      <c r="N1054" s="1"/>
      <c r="O1054" s="1"/>
      <c r="P1054" s="1"/>
      <c r="Q1054" s="1"/>
      <c r="R1054" s="1"/>
      <c r="S1054" s="1"/>
      <c r="T1054" s="1"/>
    </row>
    <row r="1055" spans="1:20" ht="33.75" hidden="1" customHeight="1">
      <c r="A1055" s="1" t="s">
        <v>3030</v>
      </c>
      <c r="B1055" s="1" t="s">
        <v>2636</v>
      </c>
      <c r="C1055" s="4">
        <v>39880.081944444442</v>
      </c>
      <c r="D1055" s="1" t="s">
        <v>196</v>
      </c>
      <c r="E1055" s="1" t="s">
        <v>3019</v>
      </c>
      <c r="F1055" s="2" t="s">
        <v>3032</v>
      </c>
      <c r="G1055" s="1">
        <f ca="1">IFERROR(__xludf.DUMMYFUNCTION("COUNTA(SPLIT(F1055,"" ""))"),113)</f>
        <v>113</v>
      </c>
      <c r="H1055" s="1">
        <v>113</v>
      </c>
      <c r="I1055" s="1"/>
      <c r="J1055" s="1"/>
      <c r="K1055" s="1"/>
      <c r="L1055" s="1"/>
      <c r="M1055" s="1"/>
      <c r="N1055" s="1"/>
      <c r="O1055" s="1"/>
      <c r="P1055" s="1"/>
      <c r="Q1055" s="1"/>
      <c r="R1055" s="1"/>
      <c r="S1055" s="1"/>
      <c r="T1055" s="1"/>
    </row>
    <row r="1056" spans="1:20" ht="33.75" hidden="1" customHeight="1">
      <c r="A1056" s="1" t="s">
        <v>3033</v>
      </c>
      <c r="B1056" s="1" t="s">
        <v>2636</v>
      </c>
      <c r="C1056" s="4">
        <v>39880.693055555559</v>
      </c>
      <c r="D1056" s="1" t="s">
        <v>1528</v>
      </c>
      <c r="E1056" s="1" t="s">
        <v>3034</v>
      </c>
      <c r="F1056" s="2" t="s">
        <v>3036</v>
      </c>
      <c r="G1056" s="1">
        <f ca="1">IFERROR(__xludf.DUMMYFUNCTION("COUNTA(SPLIT(F1056,"" ""))"),272)</f>
        <v>272</v>
      </c>
      <c r="H1056" s="1">
        <v>272</v>
      </c>
      <c r="I1056" s="1"/>
      <c r="J1056" s="1"/>
      <c r="K1056" s="1"/>
      <c r="L1056" s="1"/>
      <c r="M1056" s="1"/>
      <c r="N1056" s="1"/>
      <c r="O1056" s="1"/>
      <c r="P1056" s="1"/>
      <c r="Q1056" s="1"/>
      <c r="R1056" s="1"/>
      <c r="S1056" s="1"/>
      <c r="T1056" s="1"/>
    </row>
    <row r="1057" spans="1:20" ht="33.75" hidden="1" customHeight="1">
      <c r="A1057" s="1" t="s">
        <v>3037</v>
      </c>
      <c r="B1057" s="1" t="s">
        <v>2636</v>
      </c>
      <c r="C1057" s="4">
        <v>39880.160416666666</v>
      </c>
      <c r="D1057" s="1" t="s">
        <v>54</v>
      </c>
      <c r="E1057" s="1" t="s">
        <v>3027</v>
      </c>
      <c r="F1057" s="2" t="s">
        <v>3038</v>
      </c>
      <c r="G1057" s="1">
        <f ca="1">IFERROR(__xludf.DUMMYFUNCTION("COUNTA(SPLIT(F1057,"" ""))"),166)</f>
        <v>166</v>
      </c>
      <c r="H1057" s="1">
        <v>166</v>
      </c>
      <c r="I1057" s="1"/>
      <c r="J1057" s="1"/>
      <c r="K1057" s="1"/>
      <c r="L1057" s="1"/>
      <c r="M1057" s="1"/>
      <c r="N1057" s="1"/>
      <c r="O1057" s="1"/>
      <c r="P1057" s="1"/>
      <c r="Q1057" s="1"/>
      <c r="R1057" s="1"/>
      <c r="S1057" s="1"/>
      <c r="T1057" s="1"/>
    </row>
    <row r="1058" spans="1:20" ht="33.75" customHeight="1">
      <c r="A1058" s="1" t="s">
        <v>3039</v>
      </c>
      <c r="B1058" s="1" t="s">
        <v>2636</v>
      </c>
      <c r="C1058" s="4">
        <v>39880.20416666667</v>
      </c>
      <c r="D1058" s="1" t="s">
        <v>196</v>
      </c>
      <c r="E1058" s="1"/>
      <c r="F1058" s="2" t="s">
        <v>3041</v>
      </c>
      <c r="G1058" s="1">
        <f ca="1">IFERROR(__xludf.DUMMYFUNCTION("COUNTA(SPLIT(F1058,"" ""))"),70)</f>
        <v>70</v>
      </c>
      <c r="H1058" s="1">
        <v>70</v>
      </c>
      <c r="I1058" s="1"/>
      <c r="J1058" s="1"/>
      <c r="K1058" s="1"/>
      <c r="L1058" s="1"/>
      <c r="M1058" s="1"/>
      <c r="N1058" s="1"/>
      <c r="O1058" s="1"/>
      <c r="P1058" s="1"/>
      <c r="Q1058" s="1"/>
      <c r="R1058" s="1"/>
      <c r="S1058" s="1"/>
      <c r="T1058" s="1"/>
    </row>
    <row r="1059" spans="1:20" ht="33.75" customHeight="1">
      <c r="A1059" s="1" t="s">
        <v>3042</v>
      </c>
      <c r="B1059" s="1" t="s">
        <v>2870</v>
      </c>
      <c r="C1059" s="4">
        <v>39880.229166666664</v>
      </c>
      <c r="D1059" s="1" t="s">
        <v>1089</v>
      </c>
      <c r="E1059" s="1"/>
      <c r="F1059" s="2" t="s">
        <v>3043</v>
      </c>
      <c r="G1059" s="1">
        <f ca="1">IFERROR(__xludf.DUMMYFUNCTION("COUNTA(SPLIT(F1059,"" ""))"),55)</f>
        <v>55</v>
      </c>
      <c r="H1059" s="1">
        <v>55</v>
      </c>
      <c r="I1059" s="1"/>
      <c r="J1059" s="1"/>
      <c r="K1059" s="1"/>
      <c r="L1059" s="1"/>
      <c r="M1059" s="1"/>
      <c r="N1059" s="1"/>
      <c r="O1059" s="1"/>
      <c r="P1059" s="1"/>
      <c r="Q1059" s="1"/>
      <c r="R1059" s="1"/>
      <c r="S1059" s="1"/>
      <c r="T1059" s="1"/>
    </row>
    <row r="1060" spans="1:20" ht="33.75" customHeight="1">
      <c r="A1060" s="1" t="s">
        <v>3044</v>
      </c>
      <c r="B1060" s="1" t="s">
        <v>2636</v>
      </c>
      <c r="C1060" s="4">
        <v>39880.240277777775</v>
      </c>
      <c r="D1060" s="1" t="s">
        <v>196</v>
      </c>
      <c r="E1060" s="1"/>
      <c r="F1060" s="2" t="s">
        <v>3046</v>
      </c>
      <c r="G1060" s="1">
        <f ca="1">IFERROR(__xludf.DUMMYFUNCTION("COUNTA(SPLIT(F1060,"" ""))"),63)</f>
        <v>63</v>
      </c>
      <c r="H1060" s="1">
        <v>63</v>
      </c>
      <c r="I1060" s="1"/>
      <c r="J1060" s="1"/>
      <c r="K1060" s="1"/>
      <c r="L1060" s="1"/>
      <c r="M1060" s="1"/>
      <c r="N1060" s="1"/>
      <c r="O1060" s="1"/>
      <c r="P1060" s="1"/>
      <c r="Q1060" s="1"/>
      <c r="R1060" s="1"/>
      <c r="S1060" s="1"/>
      <c r="T1060" s="1"/>
    </row>
    <row r="1061" spans="1:20" ht="33.75" customHeight="1">
      <c r="A1061" s="1" t="s">
        <v>3047</v>
      </c>
      <c r="B1061" s="1" t="s">
        <v>2636</v>
      </c>
      <c r="C1061" s="4">
        <v>39880.320138888892</v>
      </c>
      <c r="D1061" s="1" t="s">
        <v>196</v>
      </c>
      <c r="E1061" s="1"/>
      <c r="F1061" s="2" t="s">
        <v>3048</v>
      </c>
      <c r="G1061" s="1">
        <f ca="1">IFERROR(__xludf.DUMMYFUNCTION("COUNTA(SPLIT(F1061,"" ""))"),23)</f>
        <v>23</v>
      </c>
      <c r="H1061" s="1">
        <v>23</v>
      </c>
      <c r="I1061" s="1"/>
      <c r="J1061" s="1"/>
      <c r="K1061" s="1"/>
      <c r="L1061" s="1"/>
      <c r="M1061" s="1"/>
      <c r="N1061" s="1"/>
      <c r="O1061" s="1"/>
      <c r="P1061" s="1"/>
      <c r="Q1061" s="1"/>
      <c r="R1061" s="1"/>
      <c r="S1061" s="1"/>
      <c r="T1061" s="1"/>
    </row>
    <row r="1062" spans="1:20" ht="33.75" hidden="1" customHeight="1">
      <c r="A1062" s="1" t="s">
        <v>3049</v>
      </c>
      <c r="B1062" s="1" t="s">
        <v>2636</v>
      </c>
      <c r="C1062" s="4">
        <v>39880.352083333331</v>
      </c>
      <c r="D1062" s="1" t="s">
        <v>14</v>
      </c>
      <c r="E1062" s="1" t="s">
        <v>3027</v>
      </c>
      <c r="F1062" s="2" t="s">
        <v>3051</v>
      </c>
      <c r="G1062" s="1">
        <f ca="1">IFERROR(__xludf.DUMMYFUNCTION("COUNTA(SPLIT(F1062,"" ""))"),84)</f>
        <v>84</v>
      </c>
      <c r="H1062" s="1">
        <v>84</v>
      </c>
      <c r="I1062" s="1"/>
      <c r="J1062" s="1"/>
      <c r="K1062" s="1"/>
      <c r="L1062" s="1"/>
      <c r="M1062" s="1"/>
      <c r="N1062" s="1"/>
      <c r="O1062" s="1"/>
      <c r="P1062" s="1"/>
      <c r="Q1062" s="1"/>
      <c r="R1062" s="1"/>
      <c r="S1062" s="1"/>
      <c r="T1062" s="1"/>
    </row>
    <row r="1063" spans="1:20" ht="33.75" customHeight="1">
      <c r="A1063" s="1" t="s">
        <v>3052</v>
      </c>
      <c r="B1063" s="1" t="s">
        <v>2870</v>
      </c>
      <c r="C1063" s="4">
        <v>39880.37222222222</v>
      </c>
      <c r="D1063" s="1" t="s">
        <v>2893</v>
      </c>
      <c r="E1063" s="1"/>
      <c r="F1063" s="2" t="s">
        <v>3053</v>
      </c>
      <c r="G1063" s="1">
        <f ca="1">IFERROR(__xludf.DUMMYFUNCTION("COUNTA(SPLIT(F1063,"" ""))"),122)</f>
        <v>122</v>
      </c>
      <c r="H1063" s="1">
        <v>122</v>
      </c>
      <c r="I1063" s="1"/>
      <c r="J1063" s="1"/>
      <c r="K1063" s="1"/>
      <c r="L1063" s="1"/>
      <c r="M1063" s="1"/>
      <c r="N1063" s="1"/>
      <c r="O1063" s="1"/>
      <c r="P1063" s="1"/>
      <c r="Q1063" s="1"/>
      <c r="R1063" s="1"/>
      <c r="S1063" s="1"/>
      <c r="T1063" s="1"/>
    </row>
    <row r="1064" spans="1:20" ht="33.75" hidden="1" customHeight="1">
      <c r="A1064" s="1" t="s">
        <v>3054</v>
      </c>
      <c r="B1064" s="1" t="s">
        <v>2870</v>
      </c>
      <c r="C1064" s="4">
        <v>39880.412499999999</v>
      </c>
      <c r="D1064" s="1" t="s">
        <v>54</v>
      </c>
      <c r="E1064" s="1" t="s">
        <v>3055</v>
      </c>
      <c r="F1064" s="2" t="s">
        <v>3057</v>
      </c>
      <c r="G1064" s="1">
        <f ca="1">IFERROR(__xludf.DUMMYFUNCTION("COUNTA(SPLIT(F1064,"" ""))"),150)</f>
        <v>150</v>
      </c>
      <c r="H1064" s="1">
        <v>150</v>
      </c>
      <c r="I1064" s="1"/>
      <c r="J1064" s="1"/>
      <c r="K1064" s="1"/>
      <c r="L1064" s="1"/>
      <c r="M1064" s="1"/>
      <c r="N1064" s="1"/>
      <c r="O1064" s="1"/>
      <c r="P1064" s="1"/>
      <c r="Q1064" s="1"/>
      <c r="R1064" s="1"/>
      <c r="S1064" s="1"/>
      <c r="T1064" s="1"/>
    </row>
    <row r="1065" spans="1:20" ht="33.75" customHeight="1">
      <c r="A1065" s="1" t="s">
        <v>3034</v>
      </c>
      <c r="B1065" s="1" t="s">
        <v>2636</v>
      </c>
      <c r="C1065" s="4">
        <v>39880.465277777781</v>
      </c>
      <c r="D1065" s="1" t="s">
        <v>14</v>
      </c>
      <c r="E1065" s="1"/>
      <c r="F1065" s="2" t="s">
        <v>3058</v>
      </c>
      <c r="G1065" s="1">
        <f ca="1">IFERROR(__xludf.DUMMYFUNCTION("COUNTA(SPLIT(F1065,"" ""))"),380)</f>
        <v>380</v>
      </c>
      <c r="H1065" s="1">
        <v>380</v>
      </c>
      <c r="I1065" s="1"/>
      <c r="J1065" s="1"/>
      <c r="K1065" s="1"/>
      <c r="L1065" s="1"/>
      <c r="M1065" s="1"/>
      <c r="N1065" s="1"/>
      <c r="O1065" s="1"/>
      <c r="P1065" s="1"/>
      <c r="Q1065" s="1"/>
      <c r="R1065" s="1"/>
      <c r="S1065" s="1"/>
      <c r="T1065" s="1"/>
    </row>
    <row r="1066" spans="1:20" ht="33.75" customHeight="1">
      <c r="A1066" s="1" t="s">
        <v>3059</v>
      </c>
      <c r="B1066" s="1" t="s">
        <v>2870</v>
      </c>
      <c r="C1066" s="4">
        <v>39880.509722222225</v>
      </c>
      <c r="D1066" s="1" t="s">
        <v>772</v>
      </c>
      <c r="E1066" s="1"/>
      <c r="F1066" s="2" t="s">
        <v>3060</v>
      </c>
      <c r="G1066" s="1">
        <f ca="1">IFERROR(__xludf.DUMMYFUNCTION("COUNTA(SPLIT(F1066,"" ""))"),455)</f>
        <v>455</v>
      </c>
      <c r="H1066" s="1">
        <v>455</v>
      </c>
      <c r="I1066" s="1"/>
      <c r="J1066" s="1"/>
      <c r="K1066" s="1"/>
      <c r="L1066" s="1"/>
      <c r="M1066" s="1"/>
      <c r="N1066" s="1"/>
      <c r="O1066" s="1"/>
      <c r="P1066" s="1"/>
      <c r="Q1066" s="1"/>
      <c r="R1066" s="1"/>
      <c r="S1066" s="1"/>
      <c r="T1066" s="1"/>
    </row>
    <row r="1067" spans="1:20" ht="33.75" customHeight="1">
      <c r="A1067" s="1" t="s">
        <v>3061</v>
      </c>
      <c r="B1067" s="1" t="s">
        <v>2870</v>
      </c>
      <c r="C1067" s="4">
        <v>39880.645138888889</v>
      </c>
      <c r="D1067" s="1" t="s">
        <v>54</v>
      </c>
      <c r="E1067" s="1"/>
      <c r="F1067" s="2" t="s">
        <v>3063</v>
      </c>
      <c r="G1067" s="1">
        <f ca="1">IFERROR(__xludf.DUMMYFUNCTION("COUNTA(SPLIT(F1067,"" ""))"),292)</f>
        <v>292</v>
      </c>
      <c r="H1067" s="1">
        <v>292</v>
      </c>
      <c r="I1067" s="1"/>
      <c r="J1067" s="1"/>
      <c r="K1067" s="1"/>
      <c r="L1067" s="1"/>
      <c r="M1067" s="1"/>
      <c r="N1067" s="1"/>
      <c r="O1067" s="1"/>
      <c r="P1067" s="1"/>
      <c r="Q1067" s="1"/>
      <c r="R1067" s="1"/>
      <c r="S1067" s="1"/>
      <c r="T1067" s="1"/>
    </row>
    <row r="1068" spans="1:20" ht="33.75" hidden="1" customHeight="1">
      <c r="A1068" s="1" t="s">
        <v>3064</v>
      </c>
      <c r="B1068" s="1" t="s">
        <v>2636</v>
      </c>
      <c r="C1068" s="4">
        <v>39881.261805555558</v>
      </c>
      <c r="D1068" s="1" t="s">
        <v>1528</v>
      </c>
      <c r="E1068" s="1" t="s">
        <v>3065</v>
      </c>
      <c r="F1068" s="2" t="s">
        <v>3066</v>
      </c>
      <c r="G1068" s="1">
        <f ca="1">IFERROR(__xludf.DUMMYFUNCTION("COUNTA(SPLIT(F1068,"" ""))"),86)</f>
        <v>86</v>
      </c>
      <c r="H1068" s="1">
        <v>86</v>
      </c>
      <c r="I1068" s="1"/>
      <c r="J1068" s="1"/>
      <c r="K1068" s="1"/>
      <c r="L1068" s="1"/>
      <c r="M1068" s="1"/>
      <c r="N1068" s="1"/>
      <c r="O1068" s="1"/>
      <c r="P1068" s="1"/>
      <c r="Q1068" s="1"/>
      <c r="R1068" s="1"/>
      <c r="S1068" s="1"/>
      <c r="T1068" s="1"/>
    </row>
    <row r="1069" spans="1:20" ht="33.75" hidden="1" customHeight="1">
      <c r="A1069" s="1" t="s">
        <v>3067</v>
      </c>
      <c r="B1069" s="1" t="s">
        <v>2870</v>
      </c>
      <c r="C1069" s="4">
        <v>39880.730555555558</v>
      </c>
      <c r="D1069" s="1" t="s">
        <v>54</v>
      </c>
      <c r="E1069" s="1">
        <v>939</v>
      </c>
      <c r="F1069" s="2" t="s">
        <v>3068</v>
      </c>
      <c r="G1069" s="1">
        <f ca="1">IFERROR(__xludf.DUMMYFUNCTION("COUNTA(SPLIT(F1069,"" ""))"),408)</f>
        <v>408</v>
      </c>
      <c r="H1069" s="1">
        <v>408</v>
      </c>
      <c r="I1069" s="1"/>
      <c r="J1069" s="1"/>
      <c r="K1069" s="1"/>
      <c r="L1069" s="1"/>
      <c r="M1069" s="1"/>
      <c r="N1069" s="1"/>
      <c r="O1069" s="1"/>
      <c r="P1069" s="1"/>
      <c r="Q1069" s="1"/>
      <c r="R1069" s="1"/>
      <c r="S1069" s="1"/>
      <c r="T1069" s="1"/>
    </row>
    <row r="1070" spans="1:20" ht="33.75" customHeight="1">
      <c r="A1070" s="1" t="s">
        <v>3069</v>
      </c>
      <c r="B1070" s="1" t="s">
        <v>2636</v>
      </c>
      <c r="C1070" s="4">
        <v>39880.864583333336</v>
      </c>
      <c r="D1070" s="1" t="s">
        <v>196</v>
      </c>
      <c r="E1070" s="1"/>
      <c r="F1070" s="2" t="s">
        <v>3071</v>
      </c>
      <c r="G1070" s="1">
        <f ca="1">IFERROR(__xludf.DUMMYFUNCTION("COUNTA(SPLIT(F1070,"" ""))"),293)</f>
        <v>293</v>
      </c>
      <c r="H1070" s="1">
        <v>293</v>
      </c>
      <c r="I1070" s="1"/>
      <c r="J1070" s="1"/>
      <c r="K1070" s="1"/>
      <c r="L1070" s="1"/>
      <c r="M1070" s="1"/>
      <c r="N1070" s="1"/>
      <c r="O1070" s="1"/>
      <c r="P1070" s="1"/>
      <c r="Q1070" s="1"/>
      <c r="R1070" s="1"/>
      <c r="S1070" s="1"/>
      <c r="T1070" s="1"/>
    </row>
    <row r="1071" spans="1:20" ht="33.75" customHeight="1">
      <c r="A1071" s="1" t="s">
        <v>3072</v>
      </c>
      <c r="B1071" s="1" t="s">
        <v>2636</v>
      </c>
      <c r="C1071" s="4">
        <v>39880.878472222219</v>
      </c>
      <c r="D1071" s="1" t="s">
        <v>320</v>
      </c>
      <c r="E1071" s="1"/>
      <c r="F1071" s="2" t="s">
        <v>3074</v>
      </c>
      <c r="G1071" s="1">
        <f ca="1">IFERROR(__xludf.DUMMYFUNCTION("COUNTA(SPLIT(F1071,"" ""))"),247)</f>
        <v>247</v>
      </c>
      <c r="H1071" s="1">
        <v>247</v>
      </c>
      <c r="I1071" s="1"/>
      <c r="J1071" s="1"/>
      <c r="K1071" s="1"/>
      <c r="L1071" s="1"/>
      <c r="M1071" s="1"/>
      <c r="N1071" s="1"/>
      <c r="O1071" s="1"/>
      <c r="P1071" s="1"/>
      <c r="Q1071" s="1"/>
      <c r="R1071" s="1"/>
      <c r="S1071" s="1"/>
      <c r="T1071" s="1"/>
    </row>
    <row r="1072" spans="1:20" ht="33.75" customHeight="1">
      <c r="A1072" s="1" t="s">
        <v>3075</v>
      </c>
      <c r="B1072" s="1" t="s">
        <v>2636</v>
      </c>
      <c r="C1072" s="4">
        <v>39880.879166666666</v>
      </c>
      <c r="D1072" s="1" t="s">
        <v>14</v>
      </c>
      <c r="E1072" s="1"/>
      <c r="F1072" s="2" t="s">
        <v>3077</v>
      </c>
      <c r="G1072" s="1">
        <f ca="1">IFERROR(__xludf.DUMMYFUNCTION("COUNTA(SPLIT(F1072,"" ""))"),128)</f>
        <v>128</v>
      </c>
      <c r="H1072" s="1">
        <v>128</v>
      </c>
      <c r="I1072" s="1"/>
      <c r="J1072" s="1"/>
      <c r="K1072" s="1"/>
      <c r="L1072" s="1"/>
      <c r="M1072" s="1"/>
      <c r="N1072" s="1"/>
      <c r="O1072" s="1"/>
      <c r="P1072" s="1"/>
      <c r="Q1072" s="1"/>
      <c r="R1072" s="1"/>
      <c r="S1072" s="1"/>
      <c r="T1072" s="1"/>
    </row>
    <row r="1073" spans="1:20" ht="33.75" hidden="1" customHeight="1">
      <c r="A1073" s="1" t="s">
        <v>3078</v>
      </c>
      <c r="B1073" s="1" t="s">
        <v>2636</v>
      </c>
      <c r="C1073" s="4">
        <v>39880.890972222223</v>
      </c>
      <c r="D1073" s="1" t="s">
        <v>196</v>
      </c>
      <c r="E1073" s="1" t="s">
        <v>3072</v>
      </c>
      <c r="F1073" s="2" t="s">
        <v>3079</v>
      </c>
      <c r="G1073" s="1">
        <f ca="1">IFERROR(__xludf.DUMMYFUNCTION("COUNTA(SPLIT(F1073,"" ""))"),38)</f>
        <v>38</v>
      </c>
      <c r="H1073" s="1">
        <v>38</v>
      </c>
      <c r="I1073" s="1"/>
      <c r="J1073" s="1"/>
      <c r="K1073" s="1"/>
      <c r="L1073" s="1"/>
      <c r="M1073" s="1"/>
      <c r="N1073" s="1"/>
      <c r="O1073" s="1"/>
      <c r="P1073" s="1"/>
      <c r="Q1073" s="1"/>
      <c r="R1073" s="1"/>
      <c r="S1073" s="1"/>
      <c r="T1073" s="1"/>
    </row>
    <row r="1074" spans="1:20" ht="33.75" hidden="1" customHeight="1">
      <c r="A1074" s="1" t="s">
        <v>3080</v>
      </c>
      <c r="B1074" s="1" t="s">
        <v>2636</v>
      </c>
      <c r="C1074" s="4">
        <v>39880.901388888888</v>
      </c>
      <c r="D1074" s="1" t="s">
        <v>320</v>
      </c>
      <c r="E1074" s="1" t="s">
        <v>3072</v>
      </c>
      <c r="F1074" s="2" t="s">
        <v>3081</v>
      </c>
      <c r="G1074" s="1">
        <f ca="1">IFERROR(__xludf.DUMMYFUNCTION("COUNTA(SPLIT(F1074,"" ""))"),21)</f>
        <v>21</v>
      </c>
      <c r="H1074" s="1">
        <v>21</v>
      </c>
      <c r="I1074" s="1"/>
      <c r="J1074" s="1"/>
      <c r="K1074" s="1"/>
      <c r="L1074" s="1"/>
      <c r="M1074" s="1"/>
      <c r="N1074" s="1"/>
      <c r="O1074" s="1"/>
      <c r="P1074" s="1"/>
      <c r="Q1074" s="1"/>
      <c r="R1074" s="1"/>
      <c r="S1074" s="1"/>
      <c r="T1074" s="1"/>
    </row>
    <row r="1075" spans="1:20" ht="33.75" hidden="1" customHeight="1">
      <c r="A1075" s="1" t="s">
        <v>3082</v>
      </c>
      <c r="B1075" s="1" t="s">
        <v>2636</v>
      </c>
      <c r="C1075" s="4">
        <v>39880.919444444444</v>
      </c>
      <c r="D1075" s="1" t="s">
        <v>14</v>
      </c>
      <c r="E1075" s="1" t="s">
        <v>3072</v>
      </c>
      <c r="F1075" s="2" t="s">
        <v>3083</v>
      </c>
      <c r="G1075" s="1">
        <f ca="1">IFERROR(__xludf.DUMMYFUNCTION("COUNTA(SPLIT(F1075,"" ""))"),28)</f>
        <v>28</v>
      </c>
      <c r="H1075" s="1">
        <v>28</v>
      </c>
      <c r="I1075" s="1"/>
      <c r="J1075" s="1"/>
      <c r="K1075" s="1"/>
      <c r="L1075" s="1"/>
      <c r="M1075" s="1"/>
      <c r="N1075" s="1"/>
      <c r="O1075" s="1"/>
      <c r="P1075" s="1"/>
      <c r="Q1075" s="1"/>
      <c r="R1075" s="1"/>
      <c r="S1075" s="1"/>
      <c r="T1075" s="1"/>
    </row>
    <row r="1076" spans="1:20" ht="33.75" hidden="1" customHeight="1">
      <c r="A1076" s="1" t="s">
        <v>3084</v>
      </c>
      <c r="B1076" s="1" t="s">
        <v>2636</v>
      </c>
      <c r="C1076" s="4">
        <v>39880.92083333333</v>
      </c>
      <c r="D1076" s="1" t="s">
        <v>320</v>
      </c>
      <c r="E1076" s="1" t="s">
        <v>3072</v>
      </c>
      <c r="F1076" s="2" t="s">
        <v>3085</v>
      </c>
      <c r="G1076" s="1">
        <f ca="1">IFERROR(__xludf.DUMMYFUNCTION("COUNTA(SPLIT(F1076,"" ""))"),27)</f>
        <v>27</v>
      </c>
      <c r="H1076" s="1">
        <v>27</v>
      </c>
      <c r="I1076" s="1"/>
      <c r="J1076" s="1"/>
      <c r="K1076" s="1"/>
      <c r="L1076" s="1"/>
      <c r="M1076" s="1"/>
      <c r="N1076" s="1"/>
      <c r="O1076" s="1"/>
      <c r="P1076" s="1"/>
      <c r="Q1076" s="1"/>
      <c r="R1076" s="1"/>
      <c r="S1076" s="1"/>
      <c r="T1076" s="1"/>
    </row>
    <row r="1077" spans="1:20" ht="33.75" customHeight="1">
      <c r="A1077" s="1" t="s">
        <v>3086</v>
      </c>
      <c r="B1077" s="1" t="s">
        <v>2636</v>
      </c>
      <c r="C1077" s="4">
        <v>39881.037499999999</v>
      </c>
      <c r="D1077" s="1" t="s">
        <v>14</v>
      </c>
      <c r="E1077" s="1"/>
      <c r="F1077" s="2" t="s">
        <v>3088</v>
      </c>
      <c r="G1077" s="1">
        <f ca="1">IFERROR(__xludf.DUMMYFUNCTION("COUNTA(SPLIT(F1077,"" ""))"),240)</f>
        <v>240</v>
      </c>
      <c r="H1077" s="1">
        <v>240</v>
      </c>
      <c r="I1077" s="1"/>
      <c r="J1077" s="1"/>
      <c r="K1077" s="1"/>
      <c r="L1077" s="1"/>
      <c r="M1077" s="1"/>
      <c r="N1077" s="1"/>
      <c r="O1077" s="1"/>
      <c r="P1077" s="1"/>
      <c r="Q1077" s="1"/>
      <c r="R1077" s="1"/>
      <c r="S1077" s="1"/>
      <c r="T1077" s="1"/>
    </row>
    <row r="1078" spans="1:20" ht="33.75" hidden="1" customHeight="1">
      <c r="A1078" s="1" t="s">
        <v>3089</v>
      </c>
      <c r="B1078" s="1" t="s">
        <v>2636</v>
      </c>
      <c r="C1078" s="4">
        <v>39881.043055555558</v>
      </c>
      <c r="D1078" s="1" t="s">
        <v>320</v>
      </c>
      <c r="E1078" s="1" t="s">
        <v>3086</v>
      </c>
      <c r="F1078" s="2" t="s">
        <v>3090</v>
      </c>
      <c r="G1078" s="1">
        <f ca="1">IFERROR(__xludf.DUMMYFUNCTION("COUNTA(SPLIT(F1078,"" ""))"),21)</f>
        <v>21</v>
      </c>
      <c r="H1078" s="1">
        <v>21</v>
      </c>
      <c r="I1078" s="1"/>
      <c r="J1078" s="1"/>
      <c r="K1078" s="1"/>
      <c r="L1078" s="1"/>
      <c r="M1078" s="1"/>
      <c r="N1078" s="1"/>
      <c r="O1078" s="1"/>
      <c r="P1078" s="1"/>
      <c r="Q1078" s="1"/>
      <c r="R1078" s="1"/>
      <c r="S1078" s="1"/>
      <c r="T1078" s="1"/>
    </row>
    <row r="1079" spans="1:20" ht="33.75" customHeight="1">
      <c r="A1079" s="1" t="s">
        <v>3065</v>
      </c>
      <c r="B1079" s="1" t="s">
        <v>2636</v>
      </c>
      <c r="C1079" s="4">
        <v>39881.063888888886</v>
      </c>
      <c r="D1079" s="1" t="s">
        <v>14</v>
      </c>
      <c r="E1079" s="1"/>
      <c r="F1079" s="2" t="s">
        <v>3092</v>
      </c>
      <c r="G1079" s="1">
        <f ca="1">IFERROR(__xludf.DUMMYFUNCTION("COUNTA(SPLIT(F1079,"" ""))"),784)</f>
        <v>784</v>
      </c>
      <c r="H1079" s="1">
        <v>784</v>
      </c>
      <c r="I1079" s="1"/>
      <c r="J1079" s="1"/>
      <c r="K1079" s="1"/>
      <c r="L1079" s="1"/>
      <c r="M1079" s="1"/>
      <c r="N1079" s="1"/>
      <c r="O1079" s="1"/>
      <c r="P1079" s="1"/>
      <c r="Q1079" s="1"/>
      <c r="R1079" s="1"/>
      <c r="S1079" s="1"/>
      <c r="T1079" s="1"/>
    </row>
    <row r="1080" spans="1:20" ht="33.75" hidden="1" customHeight="1">
      <c r="A1080" s="1" t="s">
        <v>3093</v>
      </c>
      <c r="B1080" s="1" t="s">
        <v>2636</v>
      </c>
      <c r="C1080" s="4">
        <v>39881.066666666666</v>
      </c>
      <c r="D1080" s="1" t="s">
        <v>14</v>
      </c>
      <c r="E1080" s="1" t="s">
        <v>3086</v>
      </c>
      <c r="F1080" s="2" t="s">
        <v>3094</v>
      </c>
      <c r="G1080" s="1">
        <f ca="1">IFERROR(__xludf.DUMMYFUNCTION("COUNTA(SPLIT(F1080,"" ""))"),37)</f>
        <v>37</v>
      </c>
      <c r="H1080" s="1">
        <v>37</v>
      </c>
      <c r="I1080" s="1"/>
      <c r="J1080" s="1"/>
      <c r="K1080" s="1"/>
      <c r="L1080" s="1"/>
      <c r="M1080" s="1"/>
      <c r="N1080" s="1"/>
      <c r="O1080" s="1"/>
      <c r="P1080" s="1"/>
      <c r="Q1080" s="1"/>
      <c r="R1080" s="1"/>
      <c r="S1080" s="1"/>
      <c r="T1080" s="1"/>
    </row>
    <row r="1081" spans="1:20" ht="33.75" hidden="1" customHeight="1">
      <c r="A1081" s="1" t="s">
        <v>3095</v>
      </c>
      <c r="B1081" s="1" t="s">
        <v>2636</v>
      </c>
      <c r="C1081" s="4">
        <v>39881.086111111108</v>
      </c>
      <c r="D1081" s="1" t="s">
        <v>14</v>
      </c>
      <c r="E1081" s="1" t="s">
        <v>3065</v>
      </c>
      <c r="F1081" s="2" t="s">
        <v>3097</v>
      </c>
      <c r="G1081" s="1">
        <f ca="1">IFERROR(__xludf.DUMMYFUNCTION("COUNTA(SPLIT(F1081,"" ""))"),23)</f>
        <v>23</v>
      </c>
      <c r="H1081" s="1">
        <v>23</v>
      </c>
      <c r="I1081" s="1"/>
      <c r="J1081" s="1"/>
      <c r="K1081" s="1"/>
      <c r="L1081" s="1"/>
      <c r="M1081" s="1"/>
      <c r="N1081" s="1"/>
      <c r="O1081" s="1"/>
      <c r="P1081" s="1"/>
      <c r="Q1081" s="1"/>
      <c r="R1081" s="1"/>
      <c r="S1081" s="1"/>
      <c r="T1081" s="1"/>
    </row>
    <row r="1082" spans="1:20" ht="33.75" customHeight="1">
      <c r="A1082" s="1" t="s">
        <v>3098</v>
      </c>
      <c r="B1082" s="1" t="s">
        <v>2636</v>
      </c>
      <c r="C1082" s="4">
        <v>39881.237500000003</v>
      </c>
      <c r="D1082" s="1" t="s">
        <v>320</v>
      </c>
      <c r="E1082" s="1"/>
      <c r="F1082" s="2" t="s">
        <v>3099</v>
      </c>
      <c r="G1082" s="1">
        <f ca="1">IFERROR(__xludf.DUMMYFUNCTION("COUNTA(SPLIT(F1082,"" ""))"),172)</f>
        <v>172</v>
      </c>
      <c r="H1082" s="1">
        <v>172</v>
      </c>
      <c r="I1082" s="1"/>
      <c r="J1082" s="1"/>
      <c r="K1082" s="1"/>
      <c r="L1082" s="1"/>
      <c r="M1082" s="1"/>
      <c r="N1082" s="1"/>
      <c r="O1082" s="1"/>
      <c r="P1082" s="1"/>
      <c r="Q1082" s="1"/>
      <c r="R1082" s="1"/>
      <c r="S1082" s="1"/>
      <c r="T1082" s="1"/>
    </row>
    <row r="1083" spans="1:20" ht="33.75" hidden="1" customHeight="1">
      <c r="A1083" s="1" t="s">
        <v>3100</v>
      </c>
      <c r="B1083" s="1" t="s">
        <v>2636</v>
      </c>
      <c r="C1083" s="4">
        <v>39881.896527777775</v>
      </c>
      <c r="D1083" s="1" t="s">
        <v>1528</v>
      </c>
      <c r="E1083" s="1" t="s">
        <v>3101</v>
      </c>
      <c r="F1083" s="2" t="s">
        <v>3102</v>
      </c>
      <c r="G1083" s="1">
        <f ca="1">IFERROR(__xludf.DUMMYFUNCTION("COUNTA(SPLIT(F1083,"" ""))"),394)</f>
        <v>394</v>
      </c>
      <c r="H1083" s="1">
        <v>394</v>
      </c>
      <c r="I1083" s="1"/>
      <c r="J1083" s="1"/>
      <c r="K1083" s="1"/>
      <c r="L1083" s="1"/>
      <c r="M1083" s="1"/>
      <c r="N1083" s="1"/>
      <c r="O1083" s="1"/>
      <c r="P1083" s="1"/>
      <c r="Q1083" s="1"/>
      <c r="R1083" s="1"/>
      <c r="S1083" s="1"/>
      <c r="T1083" s="1"/>
    </row>
    <row r="1084" spans="1:20" ht="33.75" customHeight="1">
      <c r="A1084" s="1" t="s">
        <v>3103</v>
      </c>
      <c r="B1084" s="1" t="s">
        <v>2636</v>
      </c>
      <c r="C1084" s="4">
        <v>39881.306250000001</v>
      </c>
      <c r="D1084" s="1" t="s">
        <v>320</v>
      </c>
      <c r="E1084" s="1"/>
      <c r="F1084" s="2" t="s">
        <v>3104</v>
      </c>
      <c r="G1084" s="1">
        <f ca="1">IFERROR(__xludf.DUMMYFUNCTION("COUNTA(SPLIT(F1084,"" ""))"),365)</f>
        <v>365</v>
      </c>
      <c r="H1084" s="1">
        <v>365</v>
      </c>
      <c r="I1084" s="1"/>
      <c r="J1084" s="1"/>
      <c r="K1084" s="1"/>
      <c r="L1084" s="1"/>
      <c r="M1084" s="1"/>
      <c r="N1084" s="1"/>
      <c r="O1084" s="1"/>
      <c r="P1084" s="1"/>
      <c r="Q1084" s="1"/>
      <c r="R1084" s="1"/>
      <c r="S1084" s="1"/>
      <c r="T1084" s="1"/>
    </row>
    <row r="1085" spans="1:20" ht="33.75" customHeight="1">
      <c r="A1085" s="1" t="s">
        <v>3105</v>
      </c>
      <c r="B1085" s="1" t="s">
        <v>2636</v>
      </c>
      <c r="C1085" s="4">
        <v>39881.354166666664</v>
      </c>
      <c r="D1085" s="1" t="s">
        <v>320</v>
      </c>
      <c r="E1085" s="1"/>
      <c r="F1085" s="2" t="s">
        <v>3106</v>
      </c>
      <c r="G1085" s="1">
        <f ca="1">IFERROR(__xludf.DUMMYFUNCTION("COUNTA(SPLIT(F1085,"" ""))"),68)</f>
        <v>68</v>
      </c>
      <c r="H1085" s="1">
        <v>68</v>
      </c>
      <c r="I1085" s="1"/>
      <c r="J1085" s="1"/>
      <c r="K1085" s="1"/>
      <c r="L1085" s="1"/>
      <c r="M1085" s="1"/>
      <c r="N1085" s="1"/>
      <c r="O1085" s="1"/>
      <c r="P1085" s="1"/>
      <c r="Q1085" s="1"/>
      <c r="R1085" s="1"/>
      <c r="S1085" s="1"/>
      <c r="T1085" s="1"/>
    </row>
    <row r="1086" spans="1:20" ht="33.75" customHeight="1">
      <c r="A1086" s="1" t="s">
        <v>3107</v>
      </c>
      <c r="B1086" s="1" t="s">
        <v>2636</v>
      </c>
      <c r="C1086" s="4">
        <v>39881.425000000003</v>
      </c>
      <c r="D1086" s="1" t="s">
        <v>14</v>
      </c>
      <c r="E1086" s="1"/>
      <c r="F1086" s="2" t="s">
        <v>3108</v>
      </c>
      <c r="G1086" s="1">
        <f ca="1">IFERROR(__xludf.DUMMYFUNCTION("COUNTA(SPLIT(F1086,"" ""))"),525)</f>
        <v>525</v>
      </c>
      <c r="H1086" s="1">
        <v>525</v>
      </c>
      <c r="I1086" s="1"/>
      <c r="J1086" s="1"/>
      <c r="K1086" s="1"/>
      <c r="L1086" s="1"/>
      <c r="M1086" s="1"/>
      <c r="N1086" s="1"/>
      <c r="O1086" s="1"/>
      <c r="P1086" s="1"/>
      <c r="Q1086" s="1"/>
      <c r="R1086" s="1"/>
      <c r="S1086" s="1"/>
      <c r="T1086" s="1"/>
    </row>
    <row r="1087" spans="1:20" ht="33.75" customHeight="1">
      <c r="A1087" s="1" t="s">
        <v>3109</v>
      </c>
      <c r="B1087" s="1" t="s">
        <v>2636</v>
      </c>
      <c r="C1087" s="4">
        <v>39881.436111111114</v>
      </c>
      <c r="D1087" s="1" t="s">
        <v>14</v>
      </c>
      <c r="E1087" s="1"/>
      <c r="F1087" s="2" t="s">
        <v>3110</v>
      </c>
      <c r="G1087" s="1">
        <f ca="1">IFERROR(__xludf.DUMMYFUNCTION("COUNTA(SPLIT(F1087,"" ""))"),5)</f>
        <v>5</v>
      </c>
      <c r="H1087" s="1">
        <v>5</v>
      </c>
      <c r="I1087" s="1"/>
      <c r="J1087" s="1"/>
      <c r="K1087" s="1"/>
      <c r="L1087" s="1"/>
      <c r="M1087" s="1"/>
      <c r="N1087" s="1"/>
      <c r="O1087" s="1"/>
      <c r="P1087" s="1"/>
      <c r="Q1087" s="1"/>
      <c r="R1087" s="1"/>
      <c r="S1087" s="1"/>
      <c r="T1087" s="1"/>
    </row>
    <row r="1088" spans="1:20" ht="33.75" customHeight="1">
      <c r="A1088" s="1" t="s">
        <v>3111</v>
      </c>
      <c r="B1088" s="1" t="s">
        <v>2870</v>
      </c>
      <c r="C1088" s="4">
        <v>39881.5</v>
      </c>
      <c r="D1088" s="1" t="s">
        <v>772</v>
      </c>
      <c r="E1088" s="1"/>
      <c r="F1088" s="2" t="s">
        <v>3112</v>
      </c>
      <c r="G1088" s="1">
        <f ca="1">IFERROR(__xludf.DUMMYFUNCTION("COUNTA(SPLIT(F1088,"" ""))"),750)</f>
        <v>750</v>
      </c>
      <c r="H1088" s="1">
        <v>750</v>
      </c>
      <c r="I1088" s="1"/>
      <c r="J1088" s="1"/>
      <c r="K1088" s="1"/>
      <c r="L1088" s="1"/>
      <c r="M1088" s="1"/>
      <c r="N1088" s="1"/>
      <c r="O1088" s="1"/>
      <c r="P1088" s="1"/>
      <c r="Q1088" s="1"/>
      <c r="R1088" s="1"/>
      <c r="S1088" s="1"/>
      <c r="T1088" s="1"/>
    </row>
    <row r="1089" spans="1:20" ht="33.75" hidden="1" customHeight="1">
      <c r="A1089" s="1" t="s">
        <v>3113</v>
      </c>
      <c r="B1089" s="1" t="s">
        <v>2870</v>
      </c>
      <c r="C1089" s="4">
        <v>39881.522916666669</v>
      </c>
      <c r="D1089" s="1" t="s">
        <v>772</v>
      </c>
      <c r="E1089" s="1" t="s">
        <v>3111</v>
      </c>
      <c r="F1089" s="2" t="s">
        <v>3114</v>
      </c>
      <c r="G1089" s="1">
        <f ca="1">IFERROR(__xludf.DUMMYFUNCTION("COUNTA(SPLIT(F1089,"" ""))"),22)</f>
        <v>22</v>
      </c>
      <c r="H1089" s="1">
        <v>22</v>
      </c>
      <c r="I1089" s="1"/>
      <c r="J1089" s="1"/>
      <c r="K1089" s="1"/>
      <c r="L1089" s="1"/>
      <c r="M1089" s="1"/>
      <c r="N1089" s="1"/>
      <c r="O1089" s="1"/>
      <c r="P1089" s="1"/>
      <c r="Q1089" s="1"/>
      <c r="R1089" s="1"/>
      <c r="S1089" s="1"/>
      <c r="T1089" s="1"/>
    </row>
    <row r="1090" spans="1:20" ht="33.75" hidden="1" customHeight="1">
      <c r="A1090" s="1" t="s">
        <v>3115</v>
      </c>
      <c r="B1090" s="1" t="s">
        <v>2870</v>
      </c>
      <c r="C1090" s="4">
        <v>39881.549305555556</v>
      </c>
      <c r="D1090" s="1" t="s">
        <v>772</v>
      </c>
      <c r="E1090" s="1">
        <v>942</v>
      </c>
      <c r="F1090" s="2" t="s">
        <v>3117</v>
      </c>
      <c r="G1090" s="1">
        <f ca="1">IFERROR(__xludf.DUMMYFUNCTION("COUNTA(SPLIT(F1090,"" ""))"),472)</f>
        <v>472</v>
      </c>
      <c r="H1090" s="1">
        <v>472</v>
      </c>
      <c r="I1090" s="1"/>
      <c r="J1090" s="1"/>
      <c r="K1090" s="1"/>
      <c r="L1090" s="1"/>
      <c r="M1090" s="1"/>
      <c r="N1090" s="1"/>
      <c r="O1090" s="1"/>
      <c r="P1090" s="1"/>
      <c r="Q1090" s="1"/>
      <c r="R1090" s="1"/>
      <c r="S1090" s="1"/>
      <c r="T1090" s="1"/>
    </row>
    <row r="1091" spans="1:20" ht="33.75" hidden="1" customHeight="1">
      <c r="A1091" s="1" t="s">
        <v>3118</v>
      </c>
      <c r="B1091" s="1" t="s">
        <v>2870</v>
      </c>
      <c r="C1091" s="4">
        <v>39881.5625</v>
      </c>
      <c r="D1091" s="1" t="s">
        <v>772</v>
      </c>
      <c r="E1091" s="1">
        <v>945</v>
      </c>
      <c r="F1091" s="2" t="s">
        <v>3119</v>
      </c>
      <c r="G1091" s="1">
        <f ca="1">IFERROR(__xludf.DUMMYFUNCTION("COUNTA(SPLIT(F1091,"" ""))"),776)</f>
        <v>776</v>
      </c>
      <c r="H1091" s="1">
        <v>776</v>
      </c>
      <c r="I1091" s="1"/>
      <c r="J1091" s="1"/>
      <c r="K1091" s="1"/>
      <c r="L1091" s="1"/>
      <c r="M1091" s="1"/>
      <c r="N1091" s="1"/>
      <c r="O1091" s="1"/>
      <c r="P1091" s="1"/>
      <c r="Q1091" s="1"/>
      <c r="R1091" s="1"/>
      <c r="S1091" s="1"/>
      <c r="T1091" s="1"/>
    </row>
    <row r="1092" spans="1:20" ht="33.75" customHeight="1">
      <c r="A1092" s="1" t="s">
        <v>3120</v>
      </c>
      <c r="B1092" s="1" t="s">
        <v>2870</v>
      </c>
      <c r="C1092" s="4">
        <v>39881.65</v>
      </c>
      <c r="D1092" s="1" t="s">
        <v>772</v>
      </c>
      <c r="E1092" s="1"/>
      <c r="F1092" s="2" t="s">
        <v>3121</v>
      </c>
      <c r="G1092" s="1">
        <f ca="1">IFERROR(__xludf.DUMMYFUNCTION("COUNTA(SPLIT(F1092,"" ""))"),1038)</f>
        <v>1038</v>
      </c>
      <c r="H1092" s="1">
        <v>1038</v>
      </c>
      <c r="I1092" s="1"/>
      <c r="J1092" s="1"/>
      <c r="K1092" s="1"/>
      <c r="L1092" s="1"/>
      <c r="M1092" s="1"/>
      <c r="N1092" s="1"/>
      <c r="O1092" s="1"/>
      <c r="P1092" s="1"/>
      <c r="Q1092" s="1"/>
      <c r="R1092" s="1"/>
      <c r="S1092" s="1"/>
      <c r="T1092" s="1"/>
    </row>
    <row r="1093" spans="1:20" ht="33.75" customHeight="1">
      <c r="A1093" s="1" t="s">
        <v>3122</v>
      </c>
      <c r="B1093" s="1" t="s">
        <v>2636</v>
      </c>
      <c r="C1093" s="4">
        <v>39881.678472222222</v>
      </c>
      <c r="D1093" s="1" t="s">
        <v>320</v>
      </c>
      <c r="E1093" s="1"/>
      <c r="F1093" s="2" t="s">
        <v>3123</v>
      </c>
      <c r="G1093" s="1">
        <f ca="1">IFERROR(__xludf.DUMMYFUNCTION("COUNTA(SPLIT(F1093,"" ""))"),12)</f>
        <v>12</v>
      </c>
      <c r="H1093" s="1">
        <v>12</v>
      </c>
      <c r="I1093" s="1"/>
      <c r="J1093" s="1"/>
      <c r="K1093" s="1"/>
      <c r="L1093" s="1"/>
      <c r="M1093" s="1"/>
      <c r="N1093" s="1"/>
      <c r="O1093" s="1"/>
      <c r="P1093" s="1"/>
      <c r="Q1093" s="1"/>
      <c r="R1093" s="1"/>
      <c r="S1093" s="1"/>
      <c r="T1093" s="1"/>
    </row>
    <row r="1094" spans="1:20" ht="33.75" customHeight="1">
      <c r="A1094" s="1" t="s">
        <v>3124</v>
      </c>
      <c r="B1094" s="1" t="s">
        <v>2636</v>
      </c>
      <c r="C1094" s="4">
        <v>39881.708333333336</v>
      </c>
      <c r="D1094" s="1" t="s">
        <v>320</v>
      </c>
      <c r="E1094" s="1"/>
      <c r="F1094" s="2" t="s">
        <v>3125</v>
      </c>
      <c r="G1094" s="1">
        <f ca="1">IFERROR(__xludf.DUMMYFUNCTION("COUNTA(SPLIT(F1094,"" ""))"),44)</f>
        <v>44</v>
      </c>
      <c r="H1094" s="1">
        <v>44</v>
      </c>
      <c r="I1094" s="1"/>
      <c r="J1094" s="1"/>
      <c r="K1094" s="1"/>
      <c r="L1094" s="1"/>
      <c r="M1094" s="1"/>
      <c r="N1094" s="1"/>
      <c r="O1094" s="1"/>
      <c r="P1094" s="1"/>
      <c r="Q1094" s="1"/>
      <c r="R1094" s="1"/>
      <c r="S1094" s="1"/>
      <c r="T1094" s="1"/>
    </row>
    <row r="1095" spans="1:20" ht="33.75" customHeight="1">
      <c r="A1095" s="1" t="s">
        <v>3126</v>
      </c>
      <c r="B1095" s="1" t="s">
        <v>2636</v>
      </c>
      <c r="C1095" s="4">
        <v>39881.714583333334</v>
      </c>
      <c r="D1095" s="1" t="s">
        <v>196</v>
      </c>
      <c r="E1095" s="1"/>
      <c r="F1095" s="2" t="s">
        <v>3127</v>
      </c>
      <c r="G1095" s="1">
        <f ca="1">IFERROR(__xludf.DUMMYFUNCTION("COUNTA(SPLIT(F1095,"" ""))"),29)</f>
        <v>29</v>
      </c>
      <c r="H1095" s="1">
        <v>29</v>
      </c>
      <c r="I1095" s="1"/>
      <c r="J1095" s="1"/>
      <c r="K1095" s="1"/>
      <c r="L1095" s="1"/>
      <c r="M1095" s="1"/>
      <c r="N1095" s="1"/>
      <c r="O1095" s="1"/>
      <c r="P1095" s="1"/>
      <c r="Q1095" s="1"/>
      <c r="R1095" s="1"/>
      <c r="S1095" s="1"/>
      <c r="T1095" s="1"/>
    </row>
    <row r="1096" spans="1:20" ht="33.75" customHeight="1">
      <c r="A1096" s="1" t="s">
        <v>3128</v>
      </c>
      <c r="B1096" s="1" t="s">
        <v>2636</v>
      </c>
      <c r="C1096" s="4">
        <v>39881.727083333331</v>
      </c>
      <c r="D1096" s="1" t="s">
        <v>196</v>
      </c>
      <c r="E1096" s="1"/>
      <c r="F1096" s="2" t="s">
        <v>3131</v>
      </c>
      <c r="G1096" s="1">
        <f ca="1">IFERROR(__xludf.DUMMYFUNCTION("COUNTA(SPLIT(F1096,"" ""))"),89)</f>
        <v>89</v>
      </c>
      <c r="H1096" s="1">
        <v>89</v>
      </c>
      <c r="I1096" s="1"/>
      <c r="J1096" s="1"/>
      <c r="K1096" s="1"/>
      <c r="L1096" s="1"/>
      <c r="M1096" s="1"/>
      <c r="N1096" s="1"/>
      <c r="O1096" s="1"/>
      <c r="P1096" s="1"/>
      <c r="Q1096" s="1"/>
      <c r="R1096" s="1"/>
      <c r="S1096" s="1"/>
      <c r="T1096" s="1"/>
    </row>
    <row r="1097" spans="1:20" ht="33.75" customHeight="1">
      <c r="A1097" s="1" t="s">
        <v>3132</v>
      </c>
      <c r="B1097" s="1" t="s">
        <v>2636</v>
      </c>
      <c r="C1097" s="4">
        <v>39881.737500000003</v>
      </c>
      <c r="D1097" s="1" t="s">
        <v>196</v>
      </c>
      <c r="E1097" s="1"/>
      <c r="F1097" s="2" t="s">
        <v>3133</v>
      </c>
      <c r="G1097" s="1">
        <f ca="1">IFERROR(__xludf.DUMMYFUNCTION("COUNTA(SPLIT(F1097,"" ""))"),11)</f>
        <v>11</v>
      </c>
      <c r="H1097" s="1">
        <v>11</v>
      </c>
      <c r="I1097" s="1"/>
      <c r="J1097" s="1"/>
      <c r="K1097" s="1"/>
      <c r="L1097" s="1"/>
      <c r="M1097" s="1"/>
      <c r="N1097" s="1"/>
      <c r="O1097" s="1"/>
      <c r="P1097" s="1"/>
      <c r="Q1097" s="1"/>
      <c r="R1097" s="1"/>
      <c r="S1097" s="1"/>
      <c r="T1097" s="1"/>
    </row>
    <row r="1098" spans="1:20" ht="33.75" customHeight="1">
      <c r="A1098" s="1" t="s">
        <v>3134</v>
      </c>
      <c r="B1098" s="1" t="s">
        <v>2636</v>
      </c>
      <c r="C1098" s="4">
        <v>39881.740277777775</v>
      </c>
      <c r="D1098" s="1" t="s">
        <v>196</v>
      </c>
      <c r="E1098" s="1"/>
      <c r="F1098" s="2" t="s">
        <v>3135</v>
      </c>
      <c r="G1098" s="1">
        <f ca="1">IFERROR(__xludf.DUMMYFUNCTION("COUNTA(SPLIT(F1098,"" ""))"),30)</f>
        <v>30</v>
      </c>
      <c r="H1098" s="1">
        <v>30</v>
      </c>
      <c r="I1098" s="1"/>
      <c r="J1098" s="1"/>
      <c r="K1098" s="1"/>
      <c r="L1098" s="1"/>
      <c r="M1098" s="1"/>
      <c r="N1098" s="1"/>
      <c r="O1098" s="1"/>
      <c r="P1098" s="1"/>
      <c r="Q1098" s="1"/>
      <c r="R1098" s="1"/>
      <c r="S1098" s="1"/>
      <c r="T1098" s="1"/>
    </row>
    <row r="1099" spans="1:20" ht="33.75" customHeight="1">
      <c r="A1099" s="1" t="s">
        <v>3136</v>
      </c>
      <c r="B1099" s="1" t="s">
        <v>2636</v>
      </c>
      <c r="C1099" s="4">
        <v>39881.748611111114</v>
      </c>
      <c r="D1099" s="1" t="s">
        <v>54</v>
      </c>
      <c r="E1099" s="1"/>
      <c r="F1099" s="2" t="s">
        <v>3137</v>
      </c>
      <c r="G1099" s="1">
        <f ca="1">IFERROR(__xludf.DUMMYFUNCTION("COUNTA(SPLIT(F1099,"" ""))"),27)</f>
        <v>27</v>
      </c>
      <c r="H1099" s="1">
        <v>27</v>
      </c>
      <c r="I1099" s="1"/>
      <c r="J1099" s="1"/>
      <c r="K1099" s="1"/>
      <c r="L1099" s="1"/>
      <c r="M1099" s="1"/>
      <c r="N1099" s="1"/>
      <c r="O1099" s="1"/>
      <c r="P1099" s="1"/>
      <c r="Q1099" s="1"/>
      <c r="R1099" s="1"/>
      <c r="S1099" s="1"/>
      <c r="T1099" s="1"/>
    </row>
    <row r="1100" spans="1:20" ht="33.75" hidden="1" customHeight="1">
      <c r="A1100" s="1" t="s">
        <v>3138</v>
      </c>
      <c r="B1100" s="1" t="s">
        <v>2870</v>
      </c>
      <c r="C1100" s="4">
        <v>39881.750694444447</v>
      </c>
      <c r="D1100" s="1" t="s">
        <v>54</v>
      </c>
      <c r="E1100" s="1" t="s">
        <v>3139</v>
      </c>
      <c r="F1100" s="2" t="s">
        <v>3141</v>
      </c>
      <c r="G1100" s="1">
        <f ca="1">IFERROR(__xludf.DUMMYFUNCTION("COUNTA(SPLIT(F1100,"" ""))"),122)</f>
        <v>122</v>
      </c>
      <c r="H1100" s="1">
        <v>122</v>
      </c>
      <c r="I1100" s="1"/>
      <c r="J1100" s="1"/>
      <c r="K1100" s="1"/>
      <c r="L1100" s="1"/>
      <c r="M1100" s="1"/>
      <c r="N1100" s="1"/>
      <c r="O1100" s="1"/>
      <c r="P1100" s="1"/>
      <c r="Q1100" s="1"/>
      <c r="R1100" s="1"/>
      <c r="S1100" s="1"/>
      <c r="T1100" s="1"/>
    </row>
    <row r="1101" spans="1:20" ht="33.75" customHeight="1">
      <c r="A1101" s="1" t="s">
        <v>3142</v>
      </c>
      <c r="B1101" s="1" t="s">
        <v>2636</v>
      </c>
      <c r="C1101" s="4">
        <v>39881.79583333333</v>
      </c>
      <c r="D1101" s="1" t="s">
        <v>54</v>
      </c>
      <c r="E1101" s="1"/>
      <c r="F1101" s="2" t="s">
        <v>3144</v>
      </c>
      <c r="G1101" s="1">
        <f ca="1">IFERROR(__xludf.DUMMYFUNCTION("COUNTA(SPLIT(F1101,"" ""))"),304)</f>
        <v>304</v>
      </c>
      <c r="H1101" s="1">
        <v>304</v>
      </c>
      <c r="I1101" s="1"/>
      <c r="J1101" s="1"/>
      <c r="K1101" s="1"/>
      <c r="L1101" s="1"/>
      <c r="M1101" s="1"/>
      <c r="N1101" s="1"/>
      <c r="O1101" s="1"/>
      <c r="P1101" s="1"/>
      <c r="Q1101" s="1"/>
      <c r="R1101" s="1"/>
      <c r="S1101" s="1"/>
      <c r="T1101" s="1"/>
    </row>
    <row r="1102" spans="1:20" ht="33.75" hidden="1" customHeight="1">
      <c r="A1102" s="1" t="s">
        <v>3145</v>
      </c>
      <c r="B1102" s="1" t="s">
        <v>2870</v>
      </c>
      <c r="C1102" s="4">
        <v>39881.819444444445</v>
      </c>
      <c r="D1102" s="1" t="s">
        <v>54</v>
      </c>
      <c r="E1102" s="1" t="s">
        <v>3146</v>
      </c>
      <c r="F1102" s="2" t="s">
        <v>3147</v>
      </c>
      <c r="G1102" s="1">
        <f ca="1">IFERROR(__xludf.DUMMYFUNCTION("COUNTA(SPLIT(F1102,"" ""))"),51)</f>
        <v>51</v>
      </c>
      <c r="H1102" s="1">
        <v>51</v>
      </c>
      <c r="I1102" s="1"/>
      <c r="J1102" s="1"/>
      <c r="K1102" s="1"/>
      <c r="L1102" s="1"/>
      <c r="M1102" s="1"/>
      <c r="N1102" s="1"/>
      <c r="O1102" s="1"/>
      <c r="P1102" s="1"/>
      <c r="Q1102" s="1"/>
      <c r="R1102" s="1"/>
      <c r="S1102" s="1"/>
      <c r="T1102" s="1"/>
    </row>
    <row r="1103" spans="1:20" ht="33.75" customHeight="1">
      <c r="A1103" s="1" t="s">
        <v>3148</v>
      </c>
      <c r="B1103" s="1" t="s">
        <v>2870</v>
      </c>
      <c r="C1103" s="4">
        <v>39881.865277777775</v>
      </c>
      <c r="D1103" s="1" t="s">
        <v>2893</v>
      </c>
      <c r="E1103" s="1"/>
      <c r="F1103" s="2" t="s">
        <v>3149</v>
      </c>
      <c r="G1103" s="1">
        <f ca="1">IFERROR(__xludf.DUMMYFUNCTION("COUNTA(SPLIT(F1103,"" ""))"),5)</f>
        <v>5</v>
      </c>
      <c r="H1103" s="1">
        <v>5</v>
      </c>
      <c r="I1103" s="1"/>
      <c r="J1103" s="1"/>
      <c r="K1103" s="1"/>
      <c r="L1103" s="1"/>
      <c r="M1103" s="1"/>
      <c r="N1103" s="1"/>
      <c r="O1103" s="1"/>
      <c r="P1103" s="1"/>
      <c r="Q1103" s="1"/>
      <c r="R1103" s="1"/>
      <c r="S1103" s="1"/>
      <c r="T1103" s="1"/>
    </row>
    <row r="1104" spans="1:20" ht="33.75" customHeight="1">
      <c r="A1104" s="1" t="s">
        <v>3150</v>
      </c>
      <c r="B1104" s="1" t="s">
        <v>2870</v>
      </c>
      <c r="C1104" s="4">
        <v>39881.868055555555</v>
      </c>
      <c r="D1104" s="1" t="s">
        <v>2893</v>
      </c>
      <c r="E1104" s="1"/>
      <c r="F1104" s="2" t="s">
        <v>3151</v>
      </c>
      <c r="G1104" s="1">
        <f ca="1">IFERROR(__xludf.DUMMYFUNCTION("COUNTA(SPLIT(F1104,"" ""))"),28)</f>
        <v>28</v>
      </c>
      <c r="H1104" s="1">
        <v>28</v>
      </c>
      <c r="I1104" s="1"/>
      <c r="J1104" s="1"/>
      <c r="K1104" s="1"/>
      <c r="L1104" s="1"/>
      <c r="M1104" s="1"/>
      <c r="N1104" s="1"/>
      <c r="O1104" s="1"/>
      <c r="P1104" s="1"/>
      <c r="Q1104" s="1"/>
      <c r="R1104" s="1"/>
      <c r="S1104" s="1"/>
      <c r="T1104" s="1"/>
    </row>
    <row r="1105" spans="1:20" ht="33.75" customHeight="1">
      <c r="A1105" s="1" t="s">
        <v>3152</v>
      </c>
      <c r="B1105" s="1" t="s">
        <v>2636</v>
      </c>
      <c r="C1105" s="4">
        <v>39881.89166666667</v>
      </c>
      <c r="D1105" s="1" t="s">
        <v>212</v>
      </c>
      <c r="E1105" s="1"/>
      <c r="F1105" s="2" t="s">
        <v>3154</v>
      </c>
      <c r="G1105" s="1">
        <f ca="1">IFERROR(__xludf.DUMMYFUNCTION("COUNTA(SPLIT(F1105,"" ""))"),364)</f>
        <v>364</v>
      </c>
      <c r="H1105" s="1">
        <v>364</v>
      </c>
      <c r="I1105" s="1"/>
      <c r="J1105" s="1"/>
      <c r="K1105" s="1"/>
      <c r="L1105" s="1"/>
      <c r="M1105" s="1"/>
      <c r="N1105" s="1"/>
      <c r="O1105" s="1"/>
      <c r="P1105" s="1"/>
      <c r="Q1105" s="1"/>
      <c r="R1105" s="1"/>
      <c r="S1105" s="1"/>
      <c r="T1105" s="1"/>
    </row>
    <row r="1106" spans="1:20" ht="33.75" hidden="1" customHeight="1">
      <c r="A1106" s="1" t="s">
        <v>3155</v>
      </c>
      <c r="B1106" s="1" t="s">
        <v>3156</v>
      </c>
      <c r="C1106" s="4">
        <v>39882.325694444444</v>
      </c>
      <c r="D1106" s="1" t="s">
        <v>1528</v>
      </c>
      <c r="E1106" s="1">
        <v>895</v>
      </c>
      <c r="F1106" s="2" t="s">
        <v>3157</v>
      </c>
      <c r="G1106" s="1">
        <f ca="1">IFERROR(__xludf.DUMMYFUNCTION("COUNTA(SPLIT(F1106,"" ""))"),1001)</f>
        <v>1001</v>
      </c>
      <c r="H1106" s="1">
        <v>1001</v>
      </c>
      <c r="I1106" s="1"/>
      <c r="J1106" s="1"/>
      <c r="K1106" s="1"/>
      <c r="L1106" s="1"/>
      <c r="M1106" s="1"/>
      <c r="N1106" s="1"/>
      <c r="O1106" s="1"/>
      <c r="P1106" s="1"/>
      <c r="Q1106" s="1"/>
      <c r="R1106" s="1"/>
      <c r="S1106" s="1"/>
      <c r="T1106" s="1"/>
    </row>
    <row r="1107" spans="1:20" ht="33.75" customHeight="1">
      <c r="A1107" s="1" t="s">
        <v>3158</v>
      </c>
      <c r="B1107" s="1" t="s">
        <v>2870</v>
      </c>
      <c r="C1107" s="4">
        <v>39881.925694444442</v>
      </c>
      <c r="D1107" s="1" t="s">
        <v>2967</v>
      </c>
      <c r="E1107" s="1"/>
      <c r="F1107" s="2" t="s">
        <v>3159</v>
      </c>
      <c r="G1107" s="1">
        <f ca="1">IFERROR(__xludf.DUMMYFUNCTION("COUNTA(SPLIT(F1107,"" ""))"),42)</f>
        <v>42</v>
      </c>
      <c r="H1107" s="1">
        <v>42</v>
      </c>
      <c r="I1107" s="1"/>
      <c r="J1107" s="1"/>
      <c r="K1107" s="1"/>
      <c r="L1107" s="1"/>
      <c r="M1107" s="1"/>
      <c r="N1107" s="1"/>
      <c r="O1107" s="1"/>
      <c r="P1107" s="1"/>
      <c r="Q1107" s="1"/>
      <c r="R1107" s="1"/>
      <c r="S1107" s="1"/>
      <c r="T1107" s="1"/>
    </row>
    <row r="1108" spans="1:20" ht="33.75" customHeight="1">
      <c r="A1108" s="1" t="s">
        <v>3160</v>
      </c>
      <c r="B1108" s="1" t="s">
        <v>2870</v>
      </c>
      <c r="C1108" s="4">
        <v>39881.926388888889</v>
      </c>
      <c r="D1108" s="1" t="s">
        <v>2967</v>
      </c>
      <c r="E1108" s="1"/>
      <c r="F1108" s="2" t="s">
        <v>3161</v>
      </c>
      <c r="G1108" s="1">
        <f ca="1">IFERROR(__xludf.DUMMYFUNCTION("COUNTA(SPLIT(F1108,"" ""))"),11)</f>
        <v>11</v>
      </c>
      <c r="H1108" s="1">
        <v>11</v>
      </c>
      <c r="I1108" s="1"/>
      <c r="J1108" s="1"/>
      <c r="K1108" s="1"/>
      <c r="L1108" s="1"/>
      <c r="M1108" s="1"/>
      <c r="N1108" s="1"/>
      <c r="O1108" s="1"/>
      <c r="P1108" s="1"/>
      <c r="Q1108" s="1"/>
      <c r="R1108" s="1"/>
      <c r="S1108" s="1"/>
      <c r="T1108" s="1"/>
    </row>
    <row r="1109" spans="1:20" ht="33.75" hidden="1" customHeight="1">
      <c r="A1109" s="1" t="s">
        <v>3162</v>
      </c>
      <c r="B1109" s="1" t="s">
        <v>2636</v>
      </c>
      <c r="C1109" s="4">
        <v>39881.936805555553</v>
      </c>
      <c r="D1109" s="1" t="s">
        <v>14</v>
      </c>
      <c r="E1109" s="1" t="s">
        <v>3152</v>
      </c>
      <c r="F1109" s="2" t="s">
        <v>3163</v>
      </c>
      <c r="G1109" s="1">
        <f ca="1">IFERROR(__xludf.DUMMYFUNCTION("COUNTA(SPLIT(F1109,"" ""))"),22)</f>
        <v>22</v>
      </c>
      <c r="H1109" s="1">
        <v>22</v>
      </c>
      <c r="I1109" s="1"/>
      <c r="J1109" s="1"/>
      <c r="K1109" s="1"/>
      <c r="L1109" s="1"/>
      <c r="M1109" s="1"/>
      <c r="N1109" s="1"/>
      <c r="O1109" s="1"/>
      <c r="P1109" s="1"/>
      <c r="Q1109" s="1"/>
      <c r="R1109" s="1"/>
      <c r="S1109" s="1"/>
      <c r="T1109" s="1"/>
    </row>
    <row r="1110" spans="1:20" ht="33.75" customHeight="1">
      <c r="A1110" s="1" t="s">
        <v>3164</v>
      </c>
      <c r="B1110" s="1" t="s">
        <v>2870</v>
      </c>
      <c r="C1110" s="4">
        <v>39881.94027777778</v>
      </c>
      <c r="D1110" s="1" t="s">
        <v>2893</v>
      </c>
      <c r="E1110" s="1"/>
      <c r="F1110" s="2" t="s">
        <v>3166</v>
      </c>
      <c r="G1110" s="1">
        <f ca="1">IFERROR(__xludf.DUMMYFUNCTION("COUNTA(SPLIT(F1110,"" ""))"),94)</f>
        <v>94</v>
      </c>
      <c r="H1110" s="1">
        <v>94</v>
      </c>
      <c r="I1110" s="1"/>
      <c r="J1110" s="1"/>
      <c r="K1110" s="1"/>
      <c r="L1110" s="1"/>
      <c r="M1110" s="1"/>
      <c r="N1110" s="1"/>
      <c r="O1110" s="1"/>
      <c r="P1110" s="1"/>
      <c r="Q1110" s="1"/>
      <c r="R1110" s="1"/>
      <c r="S1110" s="1"/>
      <c r="T1110" s="1"/>
    </row>
    <row r="1111" spans="1:20" ht="33.75" customHeight="1">
      <c r="A1111" s="1" t="s">
        <v>3167</v>
      </c>
      <c r="B1111" s="1" t="s">
        <v>2636</v>
      </c>
      <c r="C1111" s="4">
        <v>39881.94027777778</v>
      </c>
      <c r="D1111" s="1" t="s">
        <v>54</v>
      </c>
      <c r="E1111" s="1"/>
      <c r="F1111" s="2" t="s">
        <v>3169</v>
      </c>
      <c r="G1111" s="1">
        <f ca="1">IFERROR(__xludf.DUMMYFUNCTION("COUNTA(SPLIT(F1111,"" ""))"),121)</f>
        <v>121</v>
      </c>
      <c r="H1111" s="1">
        <v>121</v>
      </c>
      <c r="I1111" s="1"/>
      <c r="J1111" s="1"/>
      <c r="K1111" s="1"/>
      <c r="L1111" s="1"/>
      <c r="M1111" s="1"/>
      <c r="N1111" s="1"/>
      <c r="O1111" s="1"/>
      <c r="P1111" s="1"/>
      <c r="Q1111" s="1"/>
      <c r="R1111" s="1"/>
      <c r="S1111" s="1"/>
      <c r="T1111" s="1"/>
    </row>
    <row r="1112" spans="1:20" ht="33.75" hidden="1" customHeight="1">
      <c r="A1112" s="1" t="s">
        <v>3170</v>
      </c>
      <c r="B1112" s="1" t="s">
        <v>2636</v>
      </c>
      <c r="C1112" s="4">
        <v>39881.943749999999</v>
      </c>
      <c r="D1112" s="1" t="s">
        <v>14</v>
      </c>
      <c r="E1112" s="1" t="s">
        <v>3142</v>
      </c>
      <c r="F1112" s="2" t="s">
        <v>3171</v>
      </c>
      <c r="G1112" s="1">
        <f ca="1">IFERROR(__xludf.DUMMYFUNCTION("COUNTA(SPLIT(F1112,"" ""))"),77)</f>
        <v>77</v>
      </c>
      <c r="H1112" s="1">
        <v>77</v>
      </c>
      <c r="I1112" s="1"/>
      <c r="J1112" s="1"/>
      <c r="K1112" s="1"/>
      <c r="L1112" s="1"/>
      <c r="M1112" s="1"/>
      <c r="N1112" s="1"/>
      <c r="O1112" s="1"/>
      <c r="P1112" s="1"/>
      <c r="Q1112" s="1"/>
      <c r="R1112" s="1"/>
      <c r="S1112" s="1"/>
      <c r="T1112" s="1"/>
    </row>
    <row r="1113" spans="1:20" ht="33.75" hidden="1" customHeight="1">
      <c r="A1113" s="1" t="s">
        <v>3172</v>
      </c>
      <c r="B1113" s="1" t="s">
        <v>2636</v>
      </c>
      <c r="C1113" s="4">
        <v>39881.948611111111</v>
      </c>
      <c r="D1113" s="1" t="s">
        <v>14</v>
      </c>
      <c r="E1113" s="1" t="s">
        <v>3173</v>
      </c>
      <c r="F1113" s="2" t="s">
        <v>3175</v>
      </c>
      <c r="G1113" s="1">
        <f ca="1">IFERROR(__xludf.DUMMYFUNCTION("COUNTA(SPLIT(F1113,"" ""))"),144)</f>
        <v>144</v>
      </c>
      <c r="H1113" s="1">
        <v>144</v>
      </c>
      <c r="I1113" s="1"/>
      <c r="J1113" s="1"/>
      <c r="K1113" s="1"/>
      <c r="L1113" s="1"/>
      <c r="M1113" s="1"/>
      <c r="N1113" s="1"/>
      <c r="O1113" s="1"/>
      <c r="P1113" s="1"/>
      <c r="Q1113" s="1"/>
      <c r="R1113" s="1"/>
      <c r="S1113" s="1"/>
      <c r="T1113" s="1"/>
    </row>
    <row r="1114" spans="1:20" ht="33.75" customHeight="1">
      <c r="A1114" s="1" t="s">
        <v>3176</v>
      </c>
      <c r="B1114" s="1" t="s">
        <v>2636</v>
      </c>
      <c r="C1114" s="4">
        <v>39881.951388888891</v>
      </c>
      <c r="D1114" s="1" t="s">
        <v>14</v>
      </c>
      <c r="E1114" s="1"/>
      <c r="F1114" s="2" t="s">
        <v>3178</v>
      </c>
      <c r="G1114" s="1">
        <f ca="1">IFERROR(__xludf.DUMMYFUNCTION("COUNTA(SPLIT(F1114,"" ""))"),67)</f>
        <v>67</v>
      </c>
      <c r="H1114" s="1">
        <v>67</v>
      </c>
      <c r="I1114" s="1"/>
      <c r="J1114" s="1"/>
      <c r="K1114" s="1"/>
      <c r="L1114" s="1"/>
      <c r="M1114" s="1"/>
      <c r="N1114" s="1"/>
      <c r="O1114" s="1"/>
      <c r="P1114" s="1"/>
      <c r="Q1114" s="1"/>
      <c r="R1114" s="1"/>
      <c r="S1114" s="1"/>
      <c r="T1114" s="1"/>
    </row>
    <row r="1115" spans="1:20" ht="33.75" customHeight="1">
      <c r="A1115" s="1" t="s">
        <v>3179</v>
      </c>
      <c r="B1115" s="1" t="s">
        <v>2870</v>
      </c>
      <c r="C1115" s="4">
        <v>39881.954861111109</v>
      </c>
      <c r="D1115" s="1" t="s">
        <v>2893</v>
      </c>
      <c r="E1115" s="1"/>
      <c r="F1115" s="2" t="s">
        <v>3181</v>
      </c>
      <c r="G1115" s="1">
        <f ca="1">IFERROR(__xludf.DUMMYFUNCTION("COUNTA(SPLIT(F1115,"" ""))"),198)</f>
        <v>198</v>
      </c>
      <c r="H1115" s="1">
        <v>198</v>
      </c>
      <c r="I1115" s="1"/>
      <c r="J1115" s="1"/>
      <c r="K1115" s="1"/>
      <c r="L1115" s="1"/>
      <c r="M1115" s="1"/>
      <c r="N1115" s="1"/>
      <c r="O1115" s="1"/>
      <c r="P1115" s="1"/>
      <c r="Q1115" s="1"/>
      <c r="R1115" s="1"/>
      <c r="S1115" s="1"/>
      <c r="T1115" s="1"/>
    </row>
    <row r="1116" spans="1:20" ht="33.75" customHeight="1">
      <c r="A1116" s="1" t="s">
        <v>3182</v>
      </c>
      <c r="B1116" s="1" t="s">
        <v>2636</v>
      </c>
      <c r="C1116" s="4">
        <v>39881.964583333334</v>
      </c>
      <c r="D1116" s="1" t="s">
        <v>54</v>
      </c>
      <c r="E1116" s="1"/>
      <c r="F1116" s="2" t="s">
        <v>3184</v>
      </c>
      <c r="G1116" s="1">
        <f ca="1">IFERROR(__xludf.DUMMYFUNCTION("COUNTA(SPLIT(F1116,"" ""))"),733)</f>
        <v>733</v>
      </c>
      <c r="H1116" s="1">
        <v>733</v>
      </c>
      <c r="I1116" s="1"/>
      <c r="J1116" s="1"/>
      <c r="K1116" s="1"/>
      <c r="L1116" s="1"/>
      <c r="M1116" s="1"/>
      <c r="N1116" s="1"/>
      <c r="O1116" s="1"/>
      <c r="P1116" s="1"/>
      <c r="Q1116" s="1"/>
      <c r="R1116" s="1"/>
      <c r="S1116" s="1"/>
      <c r="T1116" s="1"/>
    </row>
    <row r="1117" spans="1:20" ht="33.75" customHeight="1">
      <c r="A1117" s="1" t="s">
        <v>12</v>
      </c>
      <c r="B1117" s="1" t="s">
        <v>3156</v>
      </c>
      <c r="C1117" s="4">
        <v>39881.973124999997</v>
      </c>
      <c r="D1117" s="1" t="s">
        <v>14</v>
      </c>
      <c r="E1117" s="1"/>
      <c r="F1117" s="2" t="s">
        <v>3187</v>
      </c>
      <c r="G1117" s="1">
        <f ca="1">IFERROR(__xludf.DUMMYFUNCTION("COUNTA(SPLIT(F1117,"" ""))"),430)</f>
        <v>430</v>
      </c>
      <c r="H1117" s="1">
        <v>430</v>
      </c>
      <c r="I1117" s="1"/>
      <c r="J1117" s="1"/>
      <c r="K1117" s="1"/>
      <c r="L1117" s="1"/>
      <c r="M1117" s="1"/>
      <c r="N1117" s="1"/>
      <c r="O1117" s="1"/>
      <c r="P1117" s="1"/>
      <c r="Q1117" s="1"/>
      <c r="R1117" s="1"/>
      <c r="S1117" s="1"/>
      <c r="T1117" s="1"/>
    </row>
    <row r="1118" spans="1:20" ht="33.75" customHeight="1">
      <c r="A1118" s="1" t="s">
        <v>3188</v>
      </c>
      <c r="B1118" s="1" t="s">
        <v>2636</v>
      </c>
      <c r="C1118" s="4">
        <v>39881.988888888889</v>
      </c>
      <c r="D1118" s="1" t="s">
        <v>14</v>
      </c>
      <c r="E1118" s="1"/>
      <c r="F1118" s="2" t="s">
        <v>3190</v>
      </c>
      <c r="G1118" s="1">
        <f ca="1">IFERROR(__xludf.DUMMYFUNCTION("COUNTA(SPLIT(F1118,"" ""))"),16)</f>
        <v>16</v>
      </c>
      <c r="H1118" s="1">
        <v>16</v>
      </c>
      <c r="I1118" s="1"/>
      <c r="J1118" s="1"/>
      <c r="K1118" s="1"/>
      <c r="L1118" s="1"/>
      <c r="M1118" s="1"/>
      <c r="N1118" s="1"/>
      <c r="O1118" s="1"/>
      <c r="P1118" s="1"/>
      <c r="Q1118" s="1"/>
      <c r="R1118" s="1"/>
      <c r="S1118" s="1"/>
      <c r="T1118" s="1"/>
    </row>
    <row r="1119" spans="1:20" ht="33.75" customHeight="1">
      <c r="A1119" s="1" t="s">
        <v>3191</v>
      </c>
      <c r="B1119" s="1" t="s">
        <v>2636</v>
      </c>
      <c r="C1119" s="4">
        <v>39881.998611111114</v>
      </c>
      <c r="D1119" s="1" t="s">
        <v>14</v>
      </c>
      <c r="E1119" s="1"/>
      <c r="F1119" s="2" t="s">
        <v>3192</v>
      </c>
      <c r="G1119" s="1">
        <f ca="1">IFERROR(__xludf.DUMMYFUNCTION("COUNTA(SPLIT(F1119,"" ""))"),387)</f>
        <v>387</v>
      </c>
      <c r="H1119" s="1">
        <v>387</v>
      </c>
      <c r="I1119" s="1"/>
      <c r="J1119" s="1"/>
      <c r="K1119" s="1"/>
      <c r="L1119" s="1"/>
      <c r="M1119" s="1"/>
      <c r="N1119" s="1"/>
      <c r="O1119" s="1"/>
      <c r="P1119" s="1"/>
      <c r="Q1119" s="1"/>
      <c r="R1119" s="1"/>
      <c r="S1119" s="1"/>
      <c r="T1119" s="1"/>
    </row>
    <row r="1120" spans="1:20" ht="33.75" hidden="1" customHeight="1">
      <c r="A1120" s="1" t="s">
        <v>3193</v>
      </c>
      <c r="B1120" s="1" t="s">
        <v>2636</v>
      </c>
      <c r="C1120" s="4">
        <v>39882.017361111109</v>
      </c>
      <c r="D1120" s="1" t="s">
        <v>14</v>
      </c>
      <c r="E1120" s="1">
        <v>897.1</v>
      </c>
      <c r="F1120" s="2" t="s">
        <v>3195</v>
      </c>
      <c r="G1120" s="1">
        <f ca="1">IFERROR(__xludf.DUMMYFUNCTION("COUNTA(SPLIT(F1120,"" ""))"),71)</f>
        <v>71</v>
      </c>
      <c r="H1120" s="1">
        <v>71</v>
      </c>
      <c r="I1120" s="1"/>
      <c r="J1120" s="1"/>
      <c r="K1120" s="1"/>
      <c r="L1120" s="1"/>
      <c r="M1120" s="1"/>
      <c r="N1120" s="1"/>
      <c r="O1120" s="1"/>
      <c r="P1120" s="1"/>
      <c r="Q1120" s="1"/>
      <c r="R1120" s="1"/>
      <c r="S1120" s="1"/>
      <c r="T1120" s="1"/>
    </row>
    <row r="1121" spans="1:20" ht="33.75" hidden="1" customHeight="1">
      <c r="A1121" s="1" t="s">
        <v>3196</v>
      </c>
      <c r="B1121" s="1" t="s">
        <v>2636</v>
      </c>
      <c r="C1121" s="4">
        <v>39882.063194444447</v>
      </c>
      <c r="D1121" s="1" t="s">
        <v>14</v>
      </c>
      <c r="E1121" s="1" t="s">
        <v>3191</v>
      </c>
      <c r="F1121" s="2" t="s">
        <v>3197</v>
      </c>
      <c r="G1121" s="1">
        <f ca="1">IFERROR(__xludf.DUMMYFUNCTION("COUNTA(SPLIT(F1121,"" ""))"),186)</f>
        <v>186</v>
      </c>
      <c r="H1121" s="1">
        <v>186</v>
      </c>
      <c r="I1121" s="1"/>
      <c r="J1121" s="1"/>
      <c r="K1121" s="1"/>
      <c r="L1121" s="1"/>
      <c r="M1121" s="1"/>
      <c r="N1121" s="1"/>
      <c r="O1121" s="1"/>
      <c r="P1121" s="1"/>
      <c r="Q1121" s="1"/>
      <c r="R1121" s="1"/>
      <c r="S1121" s="1"/>
      <c r="T1121" s="1"/>
    </row>
    <row r="1122" spans="1:20" ht="33.75" hidden="1" customHeight="1">
      <c r="A1122" s="1" t="s">
        <v>3198</v>
      </c>
      <c r="B1122" s="1" t="s">
        <v>3156</v>
      </c>
      <c r="C1122" s="4">
        <v>39882.063888888886</v>
      </c>
      <c r="D1122" s="1" t="s">
        <v>84</v>
      </c>
      <c r="E1122" s="1" t="s">
        <v>3199</v>
      </c>
      <c r="F1122" s="2" t="s">
        <v>3201</v>
      </c>
      <c r="G1122" s="1">
        <f ca="1">IFERROR(__xludf.DUMMYFUNCTION("COUNTA(SPLIT(F1122,"" ""))"),13)</f>
        <v>13</v>
      </c>
      <c r="H1122" s="1">
        <v>13</v>
      </c>
      <c r="I1122" s="1"/>
      <c r="J1122" s="1"/>
      <c r="K1122" s="1"/>
      <c r="L1122" s="1"/>
      <c r="M1122" s="1"/>
      <c r="N1122" s="1"/>
      <c r="O1122" s="1"/>
      <c r="P1122" s="1"/>
      <c r="Q1122" s="1"/>
      <c r="R1122" s="1"/>
      <c r="S1122" s="1"/>
      <c r="T1122" s="1"/>
    </row>
    <row r="1123" spans="1:20" ht="33.75" hidden="1" customHeight="1">
      <c r="A1123" s="1" t="s">
        <v>3202</v>
      </c>
      <c r="B1123" s="1" t="s">
        <v>2636</v>
      </c>
      <c r="C1123" s="4">
        <v>39882.067361111112</v>
      </c>
      <c r="D1123" s="1" t="s">
        <v>14</v>
      </c>
      <c r="E1123" s="1" t="s">
        <v>3191</v>
      </c>
      <c r="F1123" s="2" t="s">
        <v>3203</v>
      </c>
      <c r="G1123" s="1">
        <f ca="1">IFERROR(__xludf.DUMMYFUNCTION("COUNTA(SPLIT(F1123,"" ""))"),15)</f>
        <v>15</v>
      </c>
      <c r="H1123" s="1">
        <v>15</v>
      </c>
      <c r="I1123" s="1"/>
      <c r="J1123" s="1"/>
      <c r="K1123" s="1"/>
      <c r="L1123" s="1"/>
      <c r="M1123" s="1"/>
      <c r="N1123" s="1"/>
      <c r="O1123" s="1"/>
      <c r="P1123" s="1"/>
      <c r="Q1123" s="1"/>
      <c r="R1123" s="1"/>
      <c r="S1123" s="1"/>
      <c r="T1123" s="1"/>
    </row>
    <row r="1124" spans="1:20" ht="33.75" customHeight="1">
      <c r="A1124" s="1" t="s">
        <v>3204</v>
      </c>
      <c r="B1124" s="1" t="s">
        <v>3156</v>
      </c>
      <c r="C1124" s="4">
        <v>39882.150694444441</v>
      </c>
      <c r="D1124" s="1" t="s">
        <v>54</v>
      </c>
      <c r="E1124" s="1"/>
      <c r="F1124" s="2" t="s">
        <v>3206</v>
      </c>
      <c r="G1124" s="1">
        <f ca="1">IFERROR(__xludf.DUMMYFUNCTION("COUNTA(SPLIT(F1124,"" ""))"),162)</f>
        <v>162</v>
      </c>
      <c r="H1124" s="1">
        <v>162</v>
      </c>
      <c r="I1124" s="1"/>
      <c r="J1124" s="1"/>
      <c r="K1124" s="1"/>
      <c r="L1124" s="1"/>
      <c r="M1124" s="1"/>
      <c r="N1124" s="1"/>
      <c r="O1124" s="1"/>
      <c r="P1124" s="1"/>
      <c r="Q1124" s="1"/>
      <c r="R1124" s="1"/>
      <c r="S1124" s="1"/>
      <c r="T1124" s="1"/>
    </row>
    <row r="1125" spans="1:20" ht="33.75" customHeight="1">
      <c r="A1125" s="1" t="s">
        <v>3207</v>
      </c>
      <c r="B1125" s="1" t="s">
        <v>2870</v>
      </c>
      <c r="C1125" s="4">
        <v>39882.22152777778</v>
      </c>
      <c r="D1125" s="1" t="s">
        <v>1089</v>
      </c>
      <c r="E1125" s="1"/>
      <c r="F1125" s="2" t="s">
        <v>3208</v>
      </c>
      <c r="G1125" s="1">
        <f ca="1">IFERROR(__xludf.DUMMYFUNCTION("COUNTA(SPLIT(F1125,"" ""))"),47)</f>
        <v>47</v>
      </c>
      <c r="H1125" s="1">
        <v>47</v>
      </c>
      <c r="I1125" s="1"/>
      <c r="J1125" s="1"/>
      <c r="K1125" s="1"/>
      <c r="L1125" s="1"/>
      <c r="M1125" s="1"/>
      <c r="N1125" s="1"/>
      <c r="O1125" s="1"/>
      <c r="P1125" s="1"/>
      <c r="Q1125" s="1"/>
      <c r="R1125" s="1"/>
      <c r="S1125" s="1"/>
      <c r="T1125" s="1"/>
    </row>
    <row r="1126" spans="1:20" ht="33.75" hidden="1" customHeight="1">
      <c r="A1126" s="1" t="s">
        <v>3209</v>
      </c>
      <c r="B1126" s="1" t="s">
        <v>2870</v>
      </c>
      <c r="C1126" s="4">
        <v>39882.304166666669</v>
      </c>
      <c r="D1126" s="1" t="s">
        <v>54</v>
      </c>
      <c r="E1126" s="1" t="s">
        <v>3207</v>
      </c>
      <c r="F1126" s="2" t="s">
        <v>3210</v>
      </c>
      <c r="G1126" s="1">
        <f ca="1">IFERROR(__xludf.DUMMYFUNCTION("COUNTA(SPLIT(F1126,"" ""))"),116)</f>
        <v>116</v>
      </c>
      <c r="H1126" s="1">
        <v>116</v>
      </c>
      <c r="I1126" s="1"/>
      <c r="J1126" s="1"/>
      <c r="K1126" s="1"/>
      <c r="L1126" s="1"/>
      <c r="M1126" s="1"/>
      <c r="N1126" s="1"/>
      <c r="O1126" s="1"/>
      <c r="P1126" s="1"/>
      <c r="Q1126" s="1"/>
      <c r="R1126" s="1"/>
      <c r="S1126" s="1"/>
      <c r="T1126" s="1"/>
    </row>
    <row r="1127" spans="1:20" ht="33.75" customHeight="1">
      <c r="A1127" s="1" t="s">
        <v>3211</v>
      </c>
      <c r="B1127" s="1" t="s">
        <v>3156</v>
      </c>
      <c r="C1127" s="4">
        <v>39882.305555555555</v>
      </c>
      <c r="D1127" s="1" t="s">
        <v>320</v>
      </c>
      <c r="E1127" s="1"/>
      <c r="F1127" s="2" t="s">
        <v>3213</v>
      </c>
      <c r="G1127" s="1">
        <f ca="1">IFERROR(__xludf.DUMMYFUNCTION("COUNTA(SPLIT(F1127,"" ""))"),363)</f>
        <v>363</v>
      </c>
      <c r="H1127" s="1">
        <v>363</v>
      </c>
      <c r="I1127" s="1"/>
      <c r="J1127" s="1"/>
      <c r="K1127" s="1"/>
      <c r="L1127" s="1"/>
      <c r="M1127" s="1"/>
      <c r="N1127" s="1"/>
      <c r="O1127" s="1"/>
      <c r="P1127" s="1"/>
      <c r="Q1127" s="1"/>
      <c r="R1127" s="1"/>
      <c r="S1127" s="1"/>
      <c r="T1127" s="1"/>
    </row>
    <row r="1128" spans="1:20" ht="33.75" hidden="1" customHeight="1">
      <c r="A1128" s="1" t="s">
        <v>3214</v>
      </c>
      <c r="B1128" s="1" t="s">
        <v>3156</v>
      </c>
      <c r="C1128" s="4">
        <v>39882.306250000001</v>
      </c>
      <c r="D1128" s="1" t="s">
        <v>320</v>
      </c>
      <c r="E1128" s="1" t="s">
        <v>3211</v>
      </c>
      <c r="F1128" s="2" t="s">
        <v>3215</v>
      </c>
      <c r="G1128" s="1">
        <f ca="1">IFERROR(__xludf.DUMMYFUNCTION("COUNTA(SPLIT(F1128,"" ""))"),9)</f>
        <v>9</v>
      </c>
      <c r="H1128" s="1">
        <v>9</v>
      </c>
      <c r="I1128" s="1"/>
      <c r="J1128" s="1"/>
      <c r="K1128" s="1"/>
      <c r="L1128" s="1"/>
      <c r="M1128" s="1"/>
      <c r="N1128" s="1"/>
      <c r="O1128" s="1"/>
      <c r="P1128" s="1"/>
      <c r="Q1128" s="1"/>
      <c r="R1128" s="1"/>
      <c r="S1128" s="1"/>
      <c r="T1128" s="1"/>
    </row>
    <row r="1129" spans="1:20" ht="33.75" hidden="1" customHeight="1">
      <c r="A1129" s="1" t="s">
        <v>3216</v>
      </c>
      <c r="B1129" s="1" t="s">
        <v>3156</v>
      </c>
      <c r="C1129" s="4">
        <v>39882.652083333334</v>
      </c>
      <c r="D1129" s="1" t="s">
        <v>1528</v>
      </c>
      <c r="E1129" s="1" t="s">
        <v>3155</v>
      </c>
      <c r="F1129" s="2" t="s">
        <v>3217</v>
      </c>
      <c r="G1129" s="1">
        <f ca="1">IFERROR(__xludf.DUMMYFUNCTION("COUNTA(SPLIT(F1129,"" ""))"),183)</f>
        <v>183</v>
      </c>
      <c r="H1129" s="1">
        <v>183</v>
      </c>
      <c r="I1129" s="1"/>
      <c r="J1129" s="1"/>
      <c r="K1129" s="1"/>
      <c r="L1129" s="1"/>
      <c r="M1129" s="1"/>
      <c r="N1129" s="1"/>
      <c r="O1129" s="1"/>
      <c r="P1129" s="1"/>
      <c r="Q1129" s="1"/>
      <c r="R1129" s="1"/>
      <c r="S1129" s="1"/>
      <c r="T1129" s="1"/>
    </row>
    <row r="1130" spans="1:20" ht="33.75" hidden="1" customHeight="1">
      <c r="A1130" s="1" t="s">
        <v>3218</v>
      </c>
      <c r="B1130" s="1" t="s">
        <v>3156</v>
      </c>
      <c r="C1130" s="4">
        <v>39882.383333333331</v>
      </c>
      <c r="D1130" s="1" t="s">
        <v>14</v>
      </c>
      <c r="E1130" s="1" t="s">
        <v>3211</v>
      </c>
      <c r="F1130" s="2" t="s">
        <v>3219</v>
      </c>
      <c r="G1130" s="1">
        <f ca="1">IFERROR(__xludf.DUMMYFUNCTION("COUNTA(SPLIT(F1130,"" ""))"),127)</f>
        <v>127</v>
      </c>
      <c r="H1130" s="1">
        <v>127</v>
      </c>
      <c r="I1130" s="1"/>
      <c r="J1130" s="1"/>
      <c r="K1130" s="1"/>
      <c r="L1130" s="1"/>
      <c r="M1130" s="1"/>
      <c r="N1130" s="1"/>
      <c r="O1130" s="1"/>
      <c r="P1130" s="1"/>
      <c r="Q1130" s="1"/>
      <c r="R1130" s="1"/>
      <c r="S1130" s="1"/>
      <c r="T1130" s="1"/>
    </row>
    <row r="1131" spans="1:20" ht="33.75" hidden="1" customHeight="1">
      <c r="A1131" s="1" t="s">
        <v>3220</v>
      </c>
      <c r="B1131" s="1" t="s">
        <v>3156</v>
      </c>
      <c r="C1131" s="4">
        <v>39882.387499999997</v>
      </c>
      <c r="D1131" s="1" t="s">
        <v>14</v>
      </c>
      <c r="E1131" s="1" t="s">
        <v>3155</v>
      </c>
      <c r="F1131" s="2" t="s">
        <v>3221</v>
      </c>
      <c r="G1131" s="1">
        <f ca="1">IFERROR(__xludf.DUMMYFUNCTION("COUNTA(SPLIT(F1131,"" ""))"),96)</f>
        <v>96</v>
      </c>
      <c r="H1131" s="1">
        <v>96</v>
      </c>
      <c r="I1131" s="1"/>
      <c r="J1131" s="1"/>
      <c r="K1131" s="1"/>
      <c r="L1131" s="1"/>
      <c r="M1131" s="1"/>
      <c r="N1131" s="1"/>
      <c r="O1131" s="1"/>
      <c r="P1131" s="1"/>
      <c r="Q1131" s="1"/>
      <c r="R1131" s="1"/>
      <c r="S1131" s="1"/>
      <c r="T1131" s="1"/>
    </row>
    <row r="1132" spans="1:20" ht="33.75" hidden="1" customHeight="1">
      <c r="A1132" s="1" t="s">
        <v>3222</v>
      </c>
      <c r="B1132" s="1" t="s">
        <v>3156</v>
      </c>
      <c r="C1132" s="4">
        <v>39882.442361111112</v>
      </c>
      <c r="D1132" s="1" t="s">
        <v>14</v>
      </c>
      <c r="E1132" s="1" t="s">
        <v>3204</v>
      </c>
      <c r="F1132" s="2" t="s">
        <v>3223</v>
      </c>
      <c r="G1132" s="1">
        <f ca="1">IFERROR(__xludf.DUMMYFUNCTION("COUNTA(SPLIT(F1132,"" ""))"),63)</f>
        <v>63</v>
      </c>
      <c r="H1132" s="1">
        <v>63</v>
      </c>
      <c r="I1132" s="1"/>
      <c r="J1132" s="1"/>
      <c r="K1132" s="1"/>
      <c r="L1132" s="1"/>
      <c r="M1132" s="1"/>
      <c r="N1132" s="1"/>
      <c r="O1132" s="1"/>
      <c r="P1132" s="1"/>
      <c r="Q1132" s="1"/>
      <c r="R1132" s="1"/>
      <c r="S1132" s="1"/>
      <c r="T1132" s="1"/>
    </row>
    <row r="1133" spans="1:20" ht="33.75" hidden="1" customHeight="1">
      <c r="A1133" s="1" t="s">
        <v>3224</v>
      </c>
      <c r="B1133" s="1" t="s">
        <v>3156</v>
      </c>
      <c r="C1133" s="4">
        <v>39882.445138888892</v>
      </c>
      <c r="D1133" s="1" t="s">
        <v>14</v>
      </c>
      <c r="E1133" s="1" t="s">
        <v>3211</v>
      </c>
      <c r="F1133" s="2" t="s">
        <v>3225</v>
      </c>
      <c r="G1133" s="1">
        <f ca="1">IFERROR(__xludf.DUMMYFUNCTION("COUNTA(SPLIT(F1133,"" ""))"),50)</f>
        <v>50</v>
      </c>
      <c r="H1133" s="1">
        <v>50</v>
      </c>
      <c r="I1133" s="1"/>
      <c r="J1133" s="1"/>
      <c r="K1133" s="1"/>
      <c r="L1133" s="1"/>
      <c r="M1133" s="1"/>
      <c r="N1133" s="1"/>
      <c r="O1133" s="1"/>
      <c r="P1133" s="1"/>
      <c r="Q1133" s="1"/>
      <c r="R1133" s="1"/>
      <c r="S1133" s="1"/>
      <c r="T1133" s="1"/>
    </row>
    <row r="1134" spans="1:20" ht="33.75" customHeight="1">
      <c r="A1134" s="1" t="s">
        <v>3226</v>
      </c>
      <c r="B1134" s="1" t="s">
        <v>3156</v>
      </c>
      <c r="C1134" s="4">
        <v>39882.450694444444</v>
      </c>
      <c r="D1134" s="1" t="s">
        <v>14</v>
      </c>
      <c r="E1134" s="1"/>
      <c r="F1134" s="2" t="s">
        <v>3228</v>
      </c>
      <c r="G1134" s="1">
        <f ca="1">IFERROR(__xludf.DUMMYFUNCTION("COUNTA(SPLIT(F1134,"" ""))"),28)</f>
        <v>28</v>
      </c>
      <c r="H1134" s="1">
        <v>28</v>
      </c>
      <c r="I1134" s="1"/>
      <c r="J1134" s="1"/>
      <c r="K1134" s="1"/>
      <c r="L1134" s="1"/>
      <c r="M1134" s="1"/>
      <c r="N1134" s="1"/>
      <c r="O1134" s="1"/>
      <c r="P1134" s="1"/>
      <c r="Q1134" s="1"/>
      <c r="R1134" s="1"/>
      <c r="S1134" s="1"/>
      <c r="T1134" s="1"/>
    </row>
    <row r="1135" spans="1:20" ht="33.75" hidden="1" customHeight="1">
      <c r="A1135" s="1" t="s">
        <v>3229</v>
      </c>
      <c r="B1135" s="1" t="s">
        <v>3156</v>
      </c>
      <c r="C1135" s="4">
        <v>39882.790277777778</v>
      </c>
      <c r="D1135" s="1" t="s">
        <v>1528</v>
      </c>
      <c r="E1135" s="1" t="s">
        <v>3155</v>
      </c>
      <c r="F1135" s="2" t="s">
        <v>3230</v>
      </c>
      <c r="G1135" s="1">
        <f ca="1">IFERROR(__xludf.DUMMYFUNCTION("COUNTA(SPLIT(F1135,"" ""))"),81)</f>
        <v>81</v>
      </c>
      <c r="H1135" s="1">
        <v>81</v>
      </c>
      <c r="I1135" s="1"/>
      <c r="J1135" s="1"/>
      <c r="K1135" s="1"/>
      <c r="L1135" s="1"/>
      <c r="M1135" s="1"/>
      <c r="N1135" s="1"/>
      <c r="O1135" s="1"/>
      <c r="P1135" s="1"/>
      <c r="Q1135" s="1"/>
      <c r="R1135" s="1"/>
      <c r="S1135" s="1"/>
      <c r="T1135" s="1"/>
    </row>
    <row r="1136" spans="1:20" ht="33.75" hidden="1" customHeight="1">
      <c r="A1136" s="1" t="s">
        <v>3231</v>
      </c>
      <c r="B1136" s="1" t="s">
        <v>3156</v>
      </c>
      <c r="C1136" s="4">
        <v>39882.695138888892</v>
      </c>
      <c r="D1136" s="1" t="s">
        <v>320</v>
      </c>
      <c r="E1136" s="1" t="s">
        <v>3211</v>
      </c>
      <c r="F1136" s="2" t="s">
        <v>3232</v>
      </c>
      <c r="G1136" s="1">
        <f ca="1">IFERROR(__xludf.DUMMYFUNCTION("COUNTA(SPLIT(F1136,"" ""))"),43)</f>
        <v>43</v>
      </c>
      <c r="H1136" s="1">
        <v>43</v>
      </c>
      <c r="I1136" s="1"/>
      <c r="J1136" s="1"/>
      <c r="K1136" s="1"/>
      <c r="L1136" s="1"/>
      <c r="M1136" s="1"/>
      <c r="N1136" s="1"/>
      <c r="O1136" s="1"/>
      <c r="P1136" s="1"/>
      <c r="Q1136" s="1"/>
      <c r="R1136" s="1"/>
      <c r="S1136" s="1"/>
      <c r="T1136" s="1"/>
    </row>
    <row r="1137" spans="1:20" ht="33.75" customHeight="1">
      <c r="A1137" s="1" t="s">
        <v>3233</v>
      </c>
      <c r="B1137" s="1" t="s">
        <v>2870</v>
      </c>
      <c r="C1137" s="4">
        <v>39882.703472222223</v>
      </c>
      <c r="D1137" s="1" t="s">
        <v>1089</v>
      </c>
      <c r="E1137" s="1"/>
      <c r="F1137" s="2" t="s">
        <v>3236</v>
      </c>
      <c r="G1137" s="1">
        <f ca="1">IFERROR(__xludf.DUMMYFUNCTION("COUNTA(SPLIT(F1137,"" ""))"),17)</f>
        <v>17</v>
      </c>
      <c r="H1137" s="1">
        <v>17</v>
      </c>
      <c r="I1137" s="1"/>
      <c r="J1137" s="1"/>
      <c r="K1137" s="1"/>
      <c r="L1137" s="1"/>
      <c r="M1137" s="1"/>
      <c r="N1137" s="1"/>
      <c r="O1137" s="1"/>
      <c r="P1137" s="1"/>
      <c r="Q1137" s="1"/>
      <c r="R1137" s="1"/>
      <c r="S1137" s="1"/>
      <c r="T1137" s="1"/>
    </row>
    <row r="1138" spans="1:20" ht="33.75" customHeight="1">
      <c r="A1138" s="1" t="s">
        <v>3237</v>
      </c>
      <c r="B1138" s="1" t="s">
        <v>2870</v>
      </c>
      <c r="C1138" s="4">
        <v>39882.71875</v>
      </c>
      <c r="D1138" s="1" t="s">
        <v>54</v>
      </c>
      <c r="E1138" s="1"/>
      <c r="F1138" s="2" t="s">
        <v>3239</v>
      </c>
      <c r="G1138" s="1">
        <f ca="1">IFERROR(__xludf.DUMMYFUNCTION("COUNTA(SPLIT(F1138,"" ""))"),185)</f>
        <v>185</v>
      </c>
      <c r="H1138" s="1">
        <v>185</v>
      </c>
      <c r="I1138" s="1"/>
      <c r="J1138" s="1"/>
      <c r="K1138" s="1"/>
      <c r="L1138" s="1"/>
      <c r="M1138" s="1"/>
      <c r="N1138" s="1"/>
      <c r="O1138" s="1"/>
      <c r="P1138" s="1"/>
      <c r="Q1138" s="1"/>
      <c r="R1138" s="1"/>
      <c r="S1138" s="1"/>
      <c r="T1138" s="1"/>
    </row>
    <row r="1139" spans="1:20" ht="33.75" hidden="1" customHeight="1">
      <c r="A1139" s="1" t="s">
        <v>3240</v>
      </c>
      <c r="B1139" s="1" t="s">
        <v>3156</v>
      </c>
      <c r="C1139" s="4">
        <v>39883.81527777778</v>
      </c>
      <c r="D1139" s="1" t="s">
        <v>1528</v>
      </c>
      <c r="E1139" s="1" t="s">
        <v>3155</v>
      </c>
      <c r="F1139" s="2" t="s">
        <v>3241</v>
      </c>
      <c r="G1139" s="1">
        <f ca="1">IFERROR(__xludf.DUMMYFUNCTION("COUNTA(SPLIT(F1139,"" ""))"),100)</f>
        <v>100</v>
      </c>
      <c r="H1139" s="1">
        <v>100</v>
      </c>
      <c r="I1139" s="1"/>
      <c r="J1139" s="1"/>
      <c r="K1139" s="1"/>
      <c r="L1139" s="1"/>
      <c r="M1139" s="1"/>
      <c r="N1139" s="1"/>
      <c r="O1139" s="1"/>
      <c r="P1139" s="1"/>
      <c r="Q1139" s="1"/>
      <c r="R1139" s="1"/>
      <c r="S1139" s="1"/>
      <c r="T1139" s="1"/>
    </row>
    <row r="1140" spans="1:20" ht="33.75" customHeight="1">
      <c r="A1140" s="1" t="s">
        <v>3242</v>
      </c>
      <c r="B1140" s="1" t="s">
        <v>3156</v>
      </c>
      <c r="C1140" s="4">
        <v>39882.798611111109</v>
      </c>
      <c r="D1140" s="1" t="s">
        <v>54</v>
      </c>
      <c r="E1140" s="1"/>
      <c r="F1140" s="2" t="s">
        <v>3244</v>
      </c>
      <c r="G1140" s="1">
        <f ca="1">IFERROR(__xludf.DUMMYFUNCTION("COUNTA(SPLIT(F1140,"" ""))"),171)</f>
        <v>171</v>
      </c>
      <c r="H1140" s="1">
        <v>171</v>
      </c>
      <c r="I1140" s="1"/>
      <c r="J1140" s="1"/>
      <c r="K1140" s="1"/>
      <c r="L1140" s="1"/>
      <c r="M1140" s="1"/>
      <c r="N1140" s="1"/>
      <c r="O1140" s="1"/>
      <c r="P1140" s="1"/>
      <c r="Q1140" s="1"/>
      <c r="R1140" s="1"/>
      <c r="S1140" s="1"/>
      <c r="T1140" s="1"/>
    </row>
    <row r="1141" spans="1:20" ht="33.75" customHeight="1">
      <c r="A1141" s="1" t="s">
        <v>3245</v>
      </c>
      <c r="B1141" s="1" t="s">
        <v>3156</v>
      </c>
      <c r="C1141" s="4">
        <v>39882.821527777778</v>
      </c>
      <c r="D1141" s="1" t="s">
        <v>54</v>
      </c>
      <c r="E1141" s="1"/>
      <c r="F1141" s="2" t="s">
        <v>3247</v>
      </c>
      <c r="G1141" s="1">
        <f ca="1">IFERROR(__xludf.DUMMYFUNCTION("COUNTA(SPLIT(F1141,"" ""))"),489)</f>
        <v>489</v>
      </c>
      <c r="H1141" s="1">
        <v>489</v>
      </c>
      <c r="I1141" s="1"/>
      <c r="J1141" s="1"/>
      <c r="K1141" s="1"/>
      <c r="L1141" s="1"/>
      <c r="M1141" s="1"/>
      <c r="N1141" s="1"/>
      <c r="O1141" s="1"/>
      <c r="P1141" s="1"/>
      <c r="Q1141" s="1"/>
      <c r="R1141" s="1"/>
      <c r="S1141" s="1"/>
      <c r="T1141" s="1"/>
    </row>
    <row r="1142" spans="1:20" ht="33.75" customHeight="1">
      <c r="A1142" s="1" t="s">
        <v>3248</v>
      </c>
      <c r="B1142" s="1" t="s">
        <v>3156</v>
      </c>
      <c r="C1142" s="4">
        <v>39882.822222222225</v>
      </c>
      <c r="D1142" s="1" t="s">
        <v>54</v>
      </c>
      <c r="E1142" s="1"/>
      <c r="F1142" s="2" t="s">
        <v>3249</v>
      </c>
      <c r="G1142" s="1">
        <f ca="1">IFERROR(__xludf.DUMMYFUNCTION("COUNTA(SPLIT(F1142,"" ""))"),41)</f>
        <v>41</v>
      </c>
      <c r="H1142" s="1">
        <v>41</v>
      </c>
      <c r="I1142" s="1"/>
      <c r="J1142" s="1"/>
      <c r="K1142" s="1"/>
      <c r="L1142" s="1"/>
      <c r="M1142" s="1"/>
      <c r="N1142" s="1"/>
      <c r="O1142" s="1"/>
      <c r="P1142" s="1"/>
      <c r="Q1142" s="1"/>
      <c r="R1142" s="1"/>
      <c r="S1142" s="1"/>
      <c r="T1142" s="1"/>
    </row>
    <row r="1143" spans="1:20" ht="33.75" hidden="1" customHeight="1">
      <c r="A1143" s="1" t="s">
        <v>3250</v>
      </c>
      <c r="B1143" s="1" t="s">
        <v>3156</v>
      </c>
      <c r="C1143" s="4">
        <v>39882.822916666664</v>
      </c>
      <c r="D1143" s="1" t="s">
        <v>14</v>
      </c>
      <c r="E1143" s="1" t="s">
        <v>3242</v>
      </c>
      <c r="F1143" s="2" t="s">
        <v>3252</v>
      </c>
      <c r="G1143" s="1">
        <f ca="1">IFERROR(__xludf.DUMMYFUNCTION("COUNTA(SPLIT(F1143,"" ""))"),55)</f>
        <v>55</v>
      </c>
      <c r="H1143" s="1">
        <v>55</v>
      </c>
      <c r="I1143" s="1"/>
      <c r="J1143" s="1"/>
      <c r="K1143" s="1"/>
      <c r="L1143" s="1"/>
      <c r="M1143" s="1"/>
      <c r="N1143" s="1"/>
      <c r="O1143" s="1"/>
      <c r="P1143" s="1"/>
      <c r="Q1143" s="1"/>
      <c r="R1143" s="1"/>
      <c r="S1143" s="1"/>
      <c r="T1143" s="1"/>
    </row>
    <row r="1144" spans="1:20" ht="33.75" hidden="1" customHeight="1">
      <c r="A1144" s="1" t="s">
        <v>3253</v>
      </c>
      <c r="B1144" s="1" t="s">
        <v>3156</v>
      </c>
      <c r="C1144" s="4">
        <v>39882.829861111109</v>
      </c>
      <c r="D1144" s="1" t="s">
        <v>54</v>
      </c>
      <c r="E1144" s="1" t="s">
        <v>3245</v>
      </c>
      <c r="F1144" s="2" t="s">
        <v>3254</v>
      </c>
      <c r="G1144" s="1">
        <f ca="1">IFERROR(__xludf.DUMMYFUNCTION("COUNTA(SPLIT(F1144,"" ""))"),85)</f>
        <v>85</v>
      </c>
      <c r="H1144" s="1">
        <v>85</v>
      </c>
      <c r="I1144" s="1"/>
      <c r="J1144" s="1"/>
      <c r="K1144" s="1"/>
      <c r="L1144" s="1"/>
      <c r="M1144" s="1"/>
      <c r="N1144" s="1"/>
      <c r="O1144" s="1"/>
      <c r="P1144" s="1"/>
      <c r="Q1144" s="1"/>
      <c r="R1144" s="1"/>
      <c r="S1144" s="1"/>
      <c r="T1144" s="1"/>
    </row>
    <row r="1145" spans="1:20" ht="33.75" customHeight="1">
      <c r="A1145" s="1" t="s">
        <v>12</v>
      </c>
      <c r="B1145" s="1" t="s">
        <v>3255</v>
      </c>
      <c r="C1145" s="4">
        <v>39882.90420138889</v>
      </c>
      <c r="D1145" s="1" t="s">
        <v>14</v>
      </c>
      <c r="E1145" s="1"/>
      <c r="F1145" s="2" t="s">
        <v>3257</v>
      </c>
      <c r="G1145" s="1">
        <f ca="1">IFERROR(__xludf.DUMMYFUNCTION("COUNTA(SPLIT(F1145,"" ""))"),1346)</f>
        <v>1346</v>
      </c>
      <c r="H1145" s="1">
        <v>1346</v>
      </c>
      <c r="I1145" s="1"/>
      <c r="J1145" s="1"/>
      <c r="K1145" s="1"/>
      <c r="L1145" s="1"/>
      <c r="M1145" s="1"/>
      <c r="N1145" s="1"/>
      <c r="O1145" s="1"/>
      <c r="P1145" s="1"/>
      <c r="Q1145" s="1"/>
      <c r="R1145" s="1"/>
      <c r="S1145" s="1"/>
      <c r="T1145" s="1"/>
    </row>
    <row r="1146" spans="1:20" ht="33.75" customHeight="1">
      <c r="A1146" s="1" t="s">
        <v>3258</v>
      </c>
      <c r="B1146" s="1" t="s">
        <v>3156</v>
      </c>
      <c r="C1146" s="4">
        <v>39882.912499999999</v>
      </c>
      <c r="D1146" s="1" t="s">
        <v>320</v>
      </c>
      <c r="E1146" s="1"/>
      <c r="F1146" s="2" t="s">
        <v>3259</v>
      </c>
      <c r="G1146" s="1">
        <f ca="1">IFERROR(__xludf.DUMMYFUNCTION("COUNTA(SPLIT(F1146,"" ""))"),484)</f>
        <v>484</v>
      </c>
      <c r="H1146" s="1">
        <v>484</v>
      </c>
      <c r="I1146" s="1"/>
      <c r="J1146" s="1"/>
      <c r="K1146" s="1"/>
      <c r="L1146" s="1"/>
      <c r="M1146" s="1"/>
      <c r="N1146" s="1"/>
      <c r="O1146" s="1"/>
      <c r="P1146" s="1"/>
      <c r="Q1146" s="1"/>
      <c r="R1146" s="1"/>
      <c r="S1146" s="1"/>
      <c r="T1146" s="1"/>
    </row>
    <row r="1147" spans="1:20" ht="33.75" customHeight="1">
      <c r="A1147" s="1" t="s">
        <v>3260</v>
      </c>
      <c r="B1147" s="1" t="s">
        <v>3156</v>
      </c>
      <c r="C1147" s="4">
        <v>39882.913194444445</v>
      </c>
      <c r="D1147" s="1" t="s">
        <v>54</v>
      </c>
      <c r="E1147" s="1"/>
      <c r="F1147" s="2" t="s">
        <v>3261</v>
      </c>
      <c r="G1147" s="1">
        <f ca="1">IFERROR(__xludf.DUMMYFUNCTION("COUNTA(SPLIT(F1147,"" ""))"),177)</f>
        <v>177</v>
      </c>
      <c r="H1147" s="1">
        <v>177</v>
      </c>
      <c r="I1147" s="1"/>
      <c r="J1147" s="1"/>
      <c r="K1147" s="1"/>
      <c r="L1147" s="1"/>
      <c r="M1147" s="1"/>
      <c r="N1147" s="1"/>
      <c r="O1147" s="1"/>
      <c r="P1147" s="1"/>
      <c r="Q1147" s="1"/>
      <c r="R1147" s="1"/>
      <c r="S1147" s="1"/>
      <c r="T1147" s="1"/>
    </row>
    <row r="1148" spans="1:20" ht="33.75" hidden="1" customHeight="1">
      <c r="A1148" s="1" t="s">
        <v>3262</v>
      </c>
      <c r="B1148" s="1" t="s">
        <v>3156</v>
      </c>
      <c r="C1148" s="4">
        <v>39882.925000000003</v>
      </c>
      <c r="D1148" s="1" t="s">
        <v>320</v>
      </c>
      <c r="E1148" s="1" t="s">
        <v>3258</v>
      </c>
      <c r="F1148" s="2" t="s">
        <v>3263</v>
      </c>
      <c r="G1148" s="1">
        <f ca="1">IFERROR(__xludf.DUMMYFUNCTION("COUNTA(SPLIT(F1148,"" ""))"),16)</f>
        <v>16</v>
      </c>
      <c r="H1148" s="1">
        <v>16</v>
      </c>
      <c r="I1148" s="1"/>
      <c r="J1148" s="1"/>
      <c r="K1148" s="1"/>
      <c r="L1148" s="1"/>
      <c r="M1148" s="1"/>
      <c r="N1148" s="1"/>
      <c r="O1148" s="1"/>
      <c r="P1148" s="1"/>
      <c r="Q1148" s="1"/>
      <c r="R1148" s="1"/>
      <c r="S1148" s="1"/>
      <c r="T1148" s="1"/>
    </row>
    <row r="1149" spans="1:20" ht="33.75" customHeight="1">
      <c r="A1149" s="1" t="s">
        <v>3264</v>
      </c>
      <c r="B1149" s="1" t="s">
        <v>3156</v>
      </c>
      <c r="C1149" s="4">
        <v>39882.935416666667</v>
      </c>
      <c r="D1149" s="1" t="s">
        <v>320</v>
      </c>
      <c r="E1149" s="1"/>
      <c r="F1149" s="2" t="s">
        <v>3266</v>
      </c>
      <c r="G1149" s="1">
        <f ca="1">IFERROR(__xludf.DUMMYFUNCTION("COUNTA(SPLIT(F1149,"" ""))"),236)</f>
        <v>236</v>
      </c>
      <c r="H1149" s="1">
        <v>236</v>
      </c>
      <c r="I1149" s="1"/>
      <c r="J1149" s="1"/>
      <c r="K1149" s="1"/>
      <c r="L1149" s="1"/>
      <c r="M1149" s="1"/>
      <c r="N1149" s="1"/>
      <c r="O1149" s="1"/>
      <c r="P1149" s="1"/>
      <c r="Q1149" s="1"/>
      <c r="R1149" s="1"/>
      <c r="S1149" s="1"/>
      <c r="T1149" s="1"/>
    </row>
    <row r="1150" spans="1:20" ht="33.75" customHeight="1">
      <c r="A1150" s="1" t="s">
        <v>3267</v>
      </c>
      <c r="B1150" s="1" t="s">
        <v>3255</v>
      </c>
      <c r="C1150" s="4">
        <v>39882.95416666667</v>
      </c>
      <c r="D1150" s="1" t="s">
        <v>3268</v>
      </c>
      <c r="E1150" s="1"/>
      <c r="F1150" s="2" t="s">
        <v>3270</v>
      </c>
      <c r="G1150" s="1">
        <f ca="1">IFERROR(__xludf.DUMMYFUNCTION("COUNTA(SPLIT(F1150,"" ""))"),87)</f>
        <v>87</v>
      </c>
      <c r="H1150" s="1">
        <v>87</v>
      </c>
      <c r="I1150" s="1"/>
      <c r="J1150" s="1"/>
      <c r="K1150" s="1"/>
      <c r="L1150" s="1"/>
      <c r="M1150" s="1"/>
      <c r="N1150" s="1"/>
      <c r="O1150" s="1"/>
      <c r="P1150" s="1"/>
      <c r="Q1150" s="1"/>
      <c r="R1150" s="1"/>
      <c r="S1150" s="1"/>
      <c r="T1150" s="1"/>
    </row>
    <row r="1151" spans="1:20" ht="33.75" customHeight="1">
      <c r="A1151" s="1" t="s">
        <v>3271</v>
      </c>
      <c r="B1151" s="1" t="s">
        <v>2870</v>
      </c>
      <c r="C1151" s="4">
        <v>39882.955555555556</v>
      </c>
      <c r="D1151" s="1" t="s">
        <v>913</v>
      </c>
      <c r="E1151" s="1"/>
      <c r="F1151" s="2" t="s">
        <v>3272</v>
      </c>
      <c r="G1151" s="1">
        <f ca="1">IFERROR(__xludf.DUMMYFUNCTION("COUNTA(SPLIT(F1151,"" ""))"),14)</f>
        <v>14</v>
      </c>
      <c r="H1151" s="1">
        <v>14</v>
      </c>
      <c r="I1151" s="1"/>
      <c r="J1151" s="1"/>
      <c r="K1151" s="1"/>
      <c r="L1151" s="1"/>
      <c r="M1151" s="1"/>
      <c r="N1151" s="1"/>
      <c r="O1151" s="1"/>
      <c r="P1151" s="1"/>
      <c r="Q1151" s="1"/>
      <c r="R1151" s="1"/>
      <c r="S1151" s="1"/>
      <c r="T1151" s="1"/>
    </row>
    <row r="1152" spans="1:20" ht="33.75" hidden="1" customHeight="1">
      <c r="A1152" s="1" t="s">
        <v>3273</v>
      </c>
      <c r="B1152" s="1" t="s">
        <v>3156</v>
      </c>
      <c r="C1152" s="4">
        <v>39882.955555555556</v>
      </c>
      <c r="D1152" s="1" t="s">
        <v>14</v>
      </c>
      <c r="E1152" s="1" t="s">
        <v>3258</v>
      </c>
      <c r="F1152" s="2" t="s">
        <v>3274</v>
      </c>
      <c r="G1152" s="1">
        <f ca="1">IFERROR(__xludf.DUMMYFUNCTION("COUNTA(SPLIT(F1152,"" ""))"),153)</f>
        <v>153</v>
      </c>
      <c r="H1152" s="1">
        <v>153</v>
      </c>
      <c r="I1152" s="1"/>
      <c r="J1152" s="1"/>
      <c r="K1152" s="1"/>
      <c r="L1152" s="1"/>
      <c r="M1152" s="1"/>
      <c r="N1152" s="1"/>
      <c r="O1152" s="1"/>
      <c r="P1152" s="1"/>
      <c r="Q1152" s="1"/>
      <c r="R1152" s="1"/>
      <c r="S1152" s="1"/>
      <c r="T1152" s="1"/>
    </row>
    <row r="1153" spans="1:20" ht="33.75" hidden="1" customHeight="1">
      <c r="A1153" s="1" t="s">
        <v>3275</v>
      </c>
      <c r="B1153" s="1" t="s">
        <v>3156</v>
      </c>
      <c r="C1153" s="4">
        <v>39882.963888888888</v>
      </c>
      <c r="D1153" s="1" t="s">
        <v>14</v>
      </c>
      <c r="E1153" s="1" t="s">
        <v>3260</v>
      </c>
      <c r="F1153" s="2" t="s">
        <v>3276</v>
      </c>
      <c r="G1153" s="1">
        <f ca="1">IFERROR(__xludf.DUMMYFUNCTION("COUNTA(SPLIT(F1153,"" ""))"),130)</f>
        <v>130</v>
      </c>
      <c r="H1153" s="1">
        <v>130</v>
      </c>
      <c r="I1153" s="1"/>
      <c r="J1153" s="1"/>
      <c r="K1153" s="1"/>
      <c r="L1153" s="1"/>
      <c r="M1153" s="1"/>
      <c r="N1153" s="1"/>
      <c r="O1153" s="1"/>
      <c r="P1153" s="1"/>
      <c r="Q1153" s="1"/>
      <c r="R1153" s="1"/>
      <c r="S1153" s="1"/>
      <c r="T1153" s="1"/>
    </row>
    <row r="1154" spans="1:20" ht="33.75" hidden="1" customHeight="1">
      <c r="A1154" s="1" t="s">
        <v>3277</v>
      </c>
      <c r="B1154" s="1" t="s">
        <v>3156</v>
      </c>
      <c r="C1154" s="4">
        <v>39882.966666666667</v>
      </c>
      <c r="D1154" s="1" t="s">
        <v>14</v>
      </c>
      <c r="E1154" s="1" t="s">
        <v>3264</v>
      </c>
      <c r="F1154" s="2" t="s">
        <v>3278</v>
      </c>
      <c r="G1154" s="1">
        <f ca="1">IFERROR(__xludf.DUMMYFUNCTION("COUNTA(SPLIT(F1154,"" ""))"),167)</f>
        <v>167</v>
      </c>
      <c r="H1154" s="1">
        <v>167</v>
      </c>
      <c r="I1154" s="1"/>
      <c r="J1154" s="1"/>
      <c r="K1154" s="1"/>
      <c r="L1154" s="1"/>
      <c r="M1154" s="1"/>
      <c r="N1154" s="1"/>
      <c r="O1154" s="1"/>
      <c r="P1154" s="1"/>
      <c r="Q1154" s="1"/>
      <c r="R1154" s="1"/>
      <c r="S1154" s="1"/>
      <c r="T1154" s="1"/>
    </row>
    <row r="1155" spans="1:20" ht="33.75" hidden="1" customHeight="1">
      <c r="A1155" s="1" t="s">
        <v>3279</v>
      </c>
      <c r="B1155" s="1" t="s">
        <v>3255</v>
      </c>
      <c r="C1155" s="4">
        <v>39882.968055555553</v>
      </c>
      <c r="D1155" s="1" t="s">
        <v>3280</v>
      </c>
      <c r="E1155" s="1" t="s">
        <v>3281</v>
      </c>
      <c r="F1155" s="2" t="s">
        <v>3283</v>
      </c>
      <c r="G1155" s="1">
        <f ca="1">IFERROR(__xludf.DUMMYFUNCTION("COUNTA(SPLIT(F1155,"" ""))"),93)</f>
        <v>93</v>
      </c>
      <c r="H1155" s="1">
        <v>93</v>
      </c>
      <c r="I1155" s="1"/>
      <c r="J1155" s="1"/>
      <c r="K1155" s="1"/>
      <c r="L1155" s="1"/>
      <c r="M1155" s="1"/>
      <c r="N1155" s="1"/>
      <c r="O1155" s="1"/>
      <c r="P1155" s="1"/>
      <c r="Q1155" s="1"/>
      <c r="R1155" s="1"/>
      <c r="S1155" s="1"/>
      <c r="T1155" s="1"/>
    </row>
    <row r="1156" spans="1:20" ht="33.75" hidden="1" customHeight="1">
      <c r="A1156" s="1" t="s">
        <v>3284</v>
      </c>
      <c r="B1156" s="1" t="s">
        <v>3156</v>
      </c>
      <c r="C1156" s="4">
        <v>39882.993055555555</v>
      </c>
      <c r="D1156" s="1" t="s">
        <v>14</v>
      </c>
      <c r="E1156" s="1" t="s">
        <v>3285</v>
      </c>
      <c r="F1156" s="2" t="s">
        <v>3286</v>
      </c>
      <c r="G1156" s="1">
        <f ca="1">IFERROR(__xludf.DUMMYFUNCTION("COUNTA(SPLIT(F1156,"" ""))"),58)</f>
        <v>58</v>
      </c>
      <c r="H1156" s="1">
        <v>58</v>
      </c>
      <c r="I1156" s="1"/>
      <c r="J1156" s="1"/>
      <c r="K1156" s="1"/>
      <c r="L1156" s="1"/>
      <c r="M1156" s="1"/>
      <c r="N1156" s="1"/>
      <c r="O1156" s="1"/>
      <c r="P1156" s="1"/>
      <c r="Q1156" s="1"/>
      <c r="R1156" s="1"/>
      <c r="S1156" s="1"/>
      <c r="T1156" s="1"/>
    </row>
    <row r="1157" spans="1:20" ht="33.75" hidden="1" customHeight="1">
      <c r="A1157" s="1" t="s">
        <v>3287</v>
      </c>
      <c r="B1157" s="1" t="s">
        <v>3156</v>
      </c>
      <c r="C1157" s="4">
        <v>39882.995138888888</v>
      </c>
      <c r="D1157" s="1" t="s">
        <v>320</v>
      </c>
      <c r="E1157" s="1" t="s">
        <v>3258</v>
      </c>
      <c r="F1157" s="2" t="s">
        <v>3288</v>
      </c>
      <c r="G1157" s="1">
        <f ca="1">IFERROR(__xludf.DUMMYFUNCTION("COUNTA(SPLIT(F1157,"" ""))"),216)</f>
        <v>216</v>
      </c>
      <c r="H1157" s="1">
        <v>216</v>
      </c>
      <c r="I1157" s="1"/>
      <c r="J1157" s="1"/>
      <c r="K1157" s="1"/>
      <c r="L1157" s="1"/>
      <c r="M1157" s="1"/>
      <c r="N1157" s="1"/>
      <c r="O1157" s="1"/>
      <c r="P1157" s="1"/>
      <c r="Q1157" s="1"/>
      <c r="R1157" s="1"/>
      <c r="S1157" s="1"/>
      <c r="T1157" s="1"/>
    </row>
    <row r="1158" spans="1:20" ht="33.75" customHeight="1">
      <c r="A1158" s="1" t="s">
        <v>3289</v>
      </c>
      <c r="B1158" s="1" t="s">
        <v>3255</v>
      </c>
      <c r="C1158" s="4">
        <v>39883.001388888886</v>
      </c>
      <c r="D1158" s="1" t="s">
        <v>45</v>
      </c>
      <c r="E1158" s="1"/>
      <c r="F1158" s="2" t="s">
        <v>3291</v>
      </c>
      <c r="G1158" s="1">
        <f ca="1">IFERROR(__xludf.DUMMYFUNCTION("COUNTA(SPLIT(F1158,"" ""))"),113)</f>
        <v>113</v>
      </c>
      <c r="H1158" s="1">
        <v>113</v>
      </c>
      <c r="I1158" s="1"/>
      <c r="J1158" s="1"/>
      <c r="K1158" s="1"/>
      <c r="L1158" s="1"/>
      <c r="M1158" s="1"/>
      <c r="N1158" s="1"/>
      <c r="O1158" s="1"/>
      <c r="P1158" s="1"/>
      <c r="Q1158" s="1"/>
      <c r="R1158" s="1"/>
      <c r="S1158" s="1"/>
      <c r="T1158" s="1"/>
    </row>
    <row r="1159" spans="1:20" ht="33.75" customHeight="1">
      <c r="A1159" s="1" t="s">
        <v>3292</v>
      </c>
      <c r="B1159" s="1" t="s">
        <v>3156</v>
      </c>
      <c r="C1159" s="4">
        <v>39883.005555555559</v>
      </c>
      <c r="D1159" s="1" t="s">
        <v>320</v>
      </c>
      <c r="E1159" s="1"/>
      <c r="F1159" s="2" t="s">
        <v>3293</v>
      </c>
      <c r="G1159" s="1">
        <f ca="1">IFERROR(__xludf.DUMMYFUNCTION("COUNTA(SPLIT(F1159,"" ""))"),42)</f>
        <v>42</v>
      </c>
      <c r="H1159" s="1">
        <v>42</v>
      </c>
      <c r="I1159" s="1"/>
      <c r="J1159" s="1"/>
      <c r="K1159" s="1"/>
      <c r="L1159" s="1"/>
      <c r="M1159" s="1"/>
      <c r="N1159" s="1"/>
      <c r="O1159" s="1"/>
      <c r="P1159" s="1"/>
      <c r="Q1159" s="1"/>
      <c r="R1159" s="1"/>
      <c r="S1159" s="1"/>
      <c r="T1159" s="1"/>
    </row>
    <row r="1160" spans="1:20" ht="33.75" hidden="1" customHeight="1">
      <c r="A1160" s="1" t="s">
        <v>3294</v>
      </c>
      <c r="B1160" s="1" t="s">
        <v>3156</v>
      </c>
      <c r="C1160" s="4">
        <v>39883.011111111111</v>
      </c>
      <c r="D1160" s="1" t="s">
        <v>14</v>
      </c>
      <c r="E1160" s="1" t="s">
        <v>3258</v>
      </c>
      <c r="F1160" s="2" t="s">
        <v>3295</v>
      </c>
      <c r="G1160" s="1">
        <f ca="1">IFERROR(__xludf.DUMMYFUNCTION("COUNTA(SPLIT(F1160,"" ""))"),11)</f>
        <v>11</v>
      </c>
      <c r="H1160" s="1">
        <v>11</v>
      </c>
      <c r="I1160" s="1"/>
      <c r="J1160" s="1"/>
      <c r="K1160" s="1"/>
      <c r="L1160" s="1"/>
      <c r="M1160" s="1"/>
      <c r="N1160" s="1"/>
      <c r="O1160" s="1"/>
      <c r="P1160" s="1"/>
      <c r="Q1160" s="1"/>
      <c r="R1160" s="1"/>
      <c r="S1160" s="1"/>
      <c r="T1160" s="1"/>
    </row>
    <row r="1161" spans="1:20" ht="33.75" customHeight="1">
      <c r="A1161" s="1" t="s">
        <v>3296</v>
      </c>
      <c r="B1161" s="1" t="s">
        <v>3255</v>
      </c>
      <c r="C1161" s="4">
        <v>39883.018750000003</v>
      </c>
      <c r="D1161" s="1" t="s">
        <v>3297</v>
      </c>
      <c r="E1161" s="1"/>
      <c r="F1161" s="2" t="s">
        <v>3299</v>
      </c>
      <c r="G1161" s="1">
        <f ca="1">IFERROR(__xludf.DUMMYFUNCTION("COUNTA(SPLIT(F1161,"" ""))"),805)</f>
        <v>805</v>
      </c>
      <c r="H1161" s="1">
        <v>805</v>
      </c>
      <c r="I1161" s="1"/>
      <c r="J1161" s="1"/>
      <c r="K1161" s="1"/>
      <c r="L1161" s="1"/>
      <c r="M1161" s="1"/>
      <c r="N1161" s="1"/>
      <c r="O1161" s="1"/>
      <c r="P1161" s="1"/>
      <c r="Q1161" s="1"/>
      <c r="R1161" s="1"/>
      <c r="S1161" s="1"/>
      <c r="T1161" s="1"/>
    </row>
    <row r="1162" spans="1:20" ht="33.75" hidden="1" customHeight="1">
      <c r="A1162" s="1" t="s">
        <v>3300</v>
      </c>
      <c r="B1162" s="1" t="s">
        <v>3255</v>
      </c>
      <c r="C1162" s="4">
        <v>39883.019444444442</v>
      </c>
      <c r="D1162" s="1" t="s">
        <v>3297</v>
      </c>
      <c r="E1162" s="1" t="s">
        <v>3296</v>
      </c>
      <c r="F1162" s="2" t="s">
        <v>3301</v>
      </c>
      <c r="G1162" s="1">
        <f ca="1">IFERROR(__xludf.DUMMYFUNCTION("COUNTA(SPLIT(F1162,"" ""))"),4)</f>
        <v>4</v>
      </c>
      <c r="H1162" s="1">
        <v>4</v>
      </c>
      <c r="I1162" s="1"/>
      <c r="J1162" s="1"/>
      <c r="K1162" s="1"/>
      <c r="L1162" s="1"/>
      <c r="M1162" s="1"/>
      <c r="N1162" s="1"/>
      <c r="O1162" s="1"/>
      <c r="P1162" s="1"/>
      <c r="Q1162" s="1"/>
      <c r="R1162" s="1"/>
      <c r="S1162" s="1"/>
      <c r="T1162" s="1"/>
    </row>
    <row r="1163" spans="1:20" ht="33.75" customHeight="1">
      <c r="A1163" s="1" t="s">
        <v>3302</v>
      </c>
      <c r="B1163" s="1" t="s">
        <v>3255</v>
      </c>
      <c r="C1163" s="4">
        <v>39883.036111111112</v>
      </c>
      <c r="D1163" s="1" t="s">
        <v>3303</v>
      </c>
      <c r="E1163" s="1"/>
      <c r="F1163" s="2" t="s">
        <v>3305</v>
      </c>
      <c r="G1163" s="1">
        <f ca="1">IFERROR(__xludf.DUMMYFUNCTION("COUNTA(SPLIT(F1163,"" ""))"),102)</f>
        <v>102</v>
      </c>
      <c r="H1163" s="1">
        <v>102</v>
      </c>
      <c r="I1163" s="1"/>
      <c r="J1163" s="1"/>
      <c r="K1163" s="1"/>
      <c r="L1163" s="1"/>
      <c r="M1163" s="1"/>
      <c r="N1163" s="1"/>
      <c r="O1163" s="1"/>
      <c r="P1163" s="1"/>
      <c r="Q1163" s="1"/>
      <c r="R1163" s="1"/>
      <c r="S1163" s="1"/>
      <c r="T1163" s="1"/>
    </row>
    <row r="1164" spans="1:20" ht="33.75" customHeight="1">
      <c r="A1164" s="1" t="s">
        <v>3306</v>
      </c>
      <c r="B1164" s="1" t="s">
        <v>3156</v>
      </c>
      <c r="C1164" s="4">
        <v>39883.038194444445</v>
      </c>
      <c r="D1164" s="1" t="s">
        <v>14</v>
      </c>
      <c r="E1164" s="1"/>
      <c r="F1164" s="2" t="s">
        <v>3308</v>
      </c>
      <c r="G1164" s="1">
        <f ca="1">IFERROR(__xludf.DUMMYFUNCTION("COUNTA(SPLIT(F1164,"" ""))"),80)</f>
        <v>80</v>
      </c>
      <c r="H1164" s="1">
        <v>80</v>
      </c>
      <c r="I1164" s="1"/>
      <c r="J1164" s="1"/>
      <c r="K1164" s="1"/>
      <c r="L1164" s="1"/>
      <c r="M1164" s="1"/>
      <c r="N1164" s="1"/>
      <c r="O1164" s="1"/>
      <c r="P1164" s="1"/>
      <c r="Q1164" s="1"/>
      <c r="R1164" s="1"/>
      <c r="S1164" s="1"/>
      <c r="T1164" s="1"/>
    </row>
    <row r="1165" spans="1:20" ht="33.75" hidden="1" customHeight="1">
      <c r="A1165" s="1" t="s">
        <v>3309</v>
      </c>
      <c r="B1165" s="1" t="s">
        <v>3255</v>
      </c>
      <c r="C1165" s="4">
        <v>39883.038888888892</v>
      </c>
      <c r="D1165" s="1" t="s">
        <v>3297</v>
      </c>
      <c r="E1165" s="1" t="s">
        <v>3296</v>
      </c>
      <c r="F1165" s="2" t="s">
        <v>3310</v>
      </c>
      <c r="G1165" s="1">
        <f ca="1">IFERROR(__xludf.DUMMYFUNCTION("COUNTA(SPLIT(F1165,"" ""))"),16)</f>
        <v>16</v>
      </c>
      <c r="H1165" s="1">
        <v>16</v>
      </c>
      <c r="I1165" s="1"/>
      <c r="J1165" s="1"/>
      <c r="K1165" s="1"/>
      <c r="L1165" s="1"/>
      <c r="M1165" s="1"/>
      <c r="N1165" s="1"/>
      <c r="O1165" s="1"/>
      <c r="P1165" s="1"/>
      <c r="Q1165" s="1"/>
      <c r="R1165" s="1"/>
      <c r="S1165" s="1"/>
      <c r="T1165" s="1"/>
    </row>
    <row r="1166" spans="1:20" ht="33.75" customHeight="1">
      <c r="A1166" s="1" t="s">
        <v>3311</v>
      </c>
      <c r="B1166" s="1" t="s">
        <v>3255</v>
      </c>
      <c r="C1166" s="4">
        <v>39883.038888888892</v>
      </c>
      <c r="D1166" s="1" t="s">
        <v>32</v>
      </c>
      <c r="E1166" s="1"/>
      <c r="F1166" s="2" t="s">
        <v>3313</v>
      </c>
      <c r="G1166" s="1">
        <f ca="1">IFERROR(__xludf.DUMMYFUNCTION("COUNTA(SPLIT(F1166,"" ""))"),404)</f>
        <v>404</v>
      </c>
      <c r="H1166" s="1">
        <v>404</v>
      </c>
      <c r="I1166" s="1"/>
      <c r="J1166" s="1"/>
      <c r="K1166" s="1"/>
      <c r="L1166" s="1"/>
      <c r="M1166" s="1"/>
      <c r="N1166" s="1"/>
      <c r="O1166" s="1"/>
      <c r="P1166" s="1"/>
      <c r="Q1166" s="1"/>
      <c r="R1166" s="1"/>
      <c r="S1166" s="1"/>
      <c r="T1166" s="1"/>
    </row>
    <row r="1167" spans="1:20" ht="33.75" hidden="1" customHeight="1">
      <c r="A1167" s="1" t="s">
        <v>3314</v>
      </c>
      <c r="B1167" s="1" t="s">
        <v>3156</v>
      </c>
      <c r="C1167" s="4">
        <v>39883.055555555555</v>
      </c>
      <c r="D1167" s="1" t="s">
        <v>54</v>
      </c>
      <c r="E1167" s="1" t="s">
        <v>3315</v>
      </c>
      <c r="F1167" s="2" t="s">
        <v>3316</v>
      </c>
      <c r="G1167" s="1">
        <f ca="1">IFERROR(__xludf.DUMMYFUNCTION("COUNTA(SPLIT(F1167,"" ""))"),72)</f>
        <v>72</v>
      </c>
      <c r="H1167" s="1">
        <v>72</v>
      </c>
      <c r="I1167" s="1"/>
      <c r="J1167" s="1"/>
      <c r="K1167" s="1"/>
      <c r="L1167" s="1"/>
      <c r="M1167" s="1"/>
      <c r="N1167" s="1"/>
      <c r="O1167" s="1"/>
      <c r="P1167" s="1"/>
      <c r="Q1167" s="1"/>
      <c r="R1167" s="1"/>
      <c r="S1167" s="1"/>
      <c r="T1167" s="1"/>
    </row>
    <row r="1168" spans="1:20" ht="33.75" customHeight="1">
      <c r="A1168" s="1" t="s">
        <v>3317</v>
      </c>
      <c r="B1168" s="1" t="s">
        <v>2870</v>
      </c>
      <c r="C1168" s="4">
        <v>39883.06527777778</v>
      </c>
      <c r="D1168" s="1" t="s">
        <v>1887</v>
      </c>
      <c r="E1168" s="1"/>
      <c r="F1168" s="2" t="s">
        <v>3319</v>
      </c>
      <c r="G1168" s="1">
        <f ca="1">IFERROR(__xludf.DUMMYFUNCTION("COUNTA(SPLIT(F1168,"" ""))"),283)</f>
        <v>283</v>
      </c>
      <c r="H1168" s="1">
        <v>283</v>
      </c>
      <c r="I1168" s="1"/>
      <c r="J1168" s="1"/>
      <c r="K1168" s="1"/>
      <c r="L1168" s="1"/>
      <c r="M1168" s="1"/>
      <c r="N1168" s="1"/>
      <c r="O1168" s="1"/>
      <c r="P1168" s="1"/>
      <c r="Q1168" s="1"/>
      <c r="R1168" s="1"/>
      <c r="S1168" s="1"/>
      <c r="T1168" s="1"/>
    </row>
    <row r="1169" spans="1:20" ht="33.75" customHeight="1">
      <c r="A1169" s="1" t="s">
        <v>3320</v>
      </c>
      <c r="B1169" s="1" t="s">
        <v>3255</v>
      </c>
      <c r="C1169" s="4">
        <v>39883.065972222219</v>
      </c>
      <c r="D1169" s="1" t="s">
        <v>3321</v>
      </c>
      <c r="E1169" s="1"/>
      <c r="F1169" s="2" t="s">
        <v>3323</v>
      </c>
      <c r="G1169" s="1">
        <f ca="1">IFERROR(__xludf.DUMMYFUNCTION("COUNTA(SPLIT(F1169,"" ""))"),132)</f>
        <v>132</v>
      </c>
      <c r="H1169" s="1">
        <v>132</v>
      </c>
      <c r="I1169" s="1"/>
      <c r="J1169" s="1"/>
      <c r="K1169" s="1"/>
      <c r="L1169" s="1"/>
      <c r="M1169" s="1"/>
      <c r="N1169" s="1"/>
      <c r="O1169" s="1"/>
      <c r="P1169" s="1"/>
      <c r="Q1169" s="1"/>
      <c r="R1169" s="1"/>
      <c r="S1169" s="1"/>
      <c r="T1169" s="1"/>
    </row>
    <row r="1170" spans="1:20" ht="33.75" customHeight="1">
      <c r="A1170" s="1" t="s">
        <v>3324</v>
      </c>
      <c r="B1170" s="1" t="s">
        <v>2870</v>
      </c>
      <c r="C1170" s="4">
        <v>39883.067361111112</v>
      </c>
      <c r="D1170" s="1" t="s">
        <v>1887</v>
      </c>
      <c r="E1170" s="1"/>
      <c r="F1170" s="2" t="s">
        <v>3326</v>
      </c>
      <c r="G1170" s="1">
        <f ca="1">IFERROR(__xludf.DUMMYFUNCTION("COUNTA(SPLIT(F1170,"" ""))"),16)</f>
        <v>16</v>
      </c>
      <c r="H1170" s="1">
        <v>16</v>
      </c>
      <c r="I1170" s="1"/>
      <c r="J1170" s="1"/>
      <c r="K1170" s="1"/>
      <c r="L1170" s="1"/>
      <c r="M1170" s="1"/>
      <c r="N1170" s="1"/>
      <c r="O1170" s="1"/>
      <c r="P1170" s="1"/>
      <c r="Q1170" s="1"/>
      <c r="R1170" s="1"/>
      <c r="S1170" s="1"/>
      <c r="T1170" s="1"/>
    </row>
    <row r="1171" spans="1:20" ht="33.75" customHeight="1">
      <c r="A1171" s="1" t="s">
        <v>3327</v>
      </c>
      <c r="B1171" s="1" t="s">
        <v>3255</v>
      </c>
      <c r="C1171" s="4">
        <v>39883.085416666669</v>
      </c>
      <c r="D1171" s="1" t="s">
        <v>54</v>
      </c>
      <c r="E1171" s="1"/>
      <c r="F1171" s="2" t="s">
        <v>3329</v>
      </c>
      <c r="G1171" s="1">
        <f ca="1">IFERROR(__xludf.DUMMYFUNCTION("COUNTA(SPLIT(F1171,"" ""))"),157)</f>
        <v>157</v>
      </c>
      <c r="H1171" s="1">
        <v>157</v>
      </c>
      <c r="I1171" s="1"/>
      <c r="J1171" s="1"/>
      <c r="K1171" s="1"/>
      <c r="L1171" s="1"/>
      <c r="M1171" s="1"/>
      <c r="N1171" s="1"/>
      <c r="O1171" s="1"/>
      <c r="P1171" s="1"/>
      <c r="Q1171" s="1"/>
      <c r="R1171" s="1"/>
      <c r="S1171" s="1"/>
      <c r="T1171" s="1"/>
    </row>
    <row r="1172" spans="1:20" ht="33.75" customHeight="1">
      <c r="A1172" s="1" t="s">
        <v>3330</v>
      </c>
      <c r="B1172" s="1" t="s">
        <v>3255</v>
      </c>
      <c r="C1172" s="4">
        <v>39883.106249999997</v>
      </c>
      <c r="D1172" s="1" t="s">
        <v>54</v>
      </c>
      <c r="E1172" s="1"/>
      <c r="F1172" s="2" t="s">
        <v>3332</v>
      </c>
      <c r="G1172" s="1">
        <f ca="1">IFERROR(__xludf.DUMMYFUNCTION("COUNTA(SPLIT(F1172,"" ""))"),221)</f>
        <v>221</v>
      </c>
      <c r="H1172" s="1">
        <v>221</v>
      </c>
      <c r="I1172" s="1"/>
      <c r="J1172" s="1"/>
      <c r="K1172" s="1"/>
      <c r="L1172" s="1"/>
      <c r="M1172" s="1"/>
      <c r="N1172" s="1"/>
      <c r="O1172" s="1"/>
      <c r="P1172" s="1"/>
      <c r="Q1172" s="1"/>
      <c r="R1172" s="1"/>
      <c r="S1172" s="1"/>
      <c r="T1172" s="1"/>
    </row>
    <row r="1173" spans="1:20" ht="33.75" hidden="1" customHeight="1">
      <c r="A1173" s="1" t="s">
        <v>3333</v>
      </c>
      <c r="B1173" s="1" t="s">
        <v>2870</v>
      </c>
      <c r="C1173" s="4">
        <v>39883.107638888891</v>
      </c>
      <c r="D1173" s="1" t="s">
        <v>381</v>
      </c>
      <c r="E1173" s="1" t="s">
        <v>3139</v>
      </c>
      <c r="F1173" s="2" t="s">
        <v>3334</v>
      </c>
      <c r="G1173" s="1">
        <f ca="1">IFERROR(__xludf.DUMMYFUNCTION("COUNTA(SPLIT(F1173,"" ""))"),362)</f>
        <v>362</v>
      </c>
      <c r="H1173" s="1">
        <v>362</v>
      </c>
      <c r="I1173" s="1"/>
      <c r="J1173" s="1"/>
      <c r="K1173" s="1"/>
      <c r="L1173" s="1"/>
      <c r="M1173" s="1"/>
      <c r="N1173" s="1"/>
      <c r="O1173" s="1"/>
      <c r="P1173" s="1"/>
      <c r="Q1173" s="1"/>
      <c r="R1173" s="1"/>
      <c r="S1173" s="1"/>
      <c r="T1173" s="1"/>
    </row>
    <row r="1174" spans="1:20" ht="33.75" customHeight="1">
      <c r="A1174" s="1" t="s">
        <v>3335</v>
      </c>
      <c r="B1174" s="1" t="s">
        <v>3255</v>
      </c>
      <c r="C1174" s="4">
        <v>39883.175694444442</v>
      </c>
      <c r="D1174" s="1" t="s">
        <v>526</v>
      </c>
      <c r="E1174" s="1"/>
      <c r="F1174" s="2" t="s">
        <v>3337</v>
      </c>
      <c r="G1174" s="1">
        <f ca="1">IFERROR(__xludf.DUMMYFUNCTION("COUNTA(SPLIT(F1174,"" ""))"),316)</f>
        <v>316</v>
      </c>
      <c r="H1174" s="1">
        <v>316</v>
      </c>
      <c r="I1174" s="1"/>
      <c r="J1174" s="1"/>
      <c r="K1174" s="1"/>
      <c r="L1174" s="1"/>
      <c r="M1174" s="1"/>
      <c r="N1174" s="1"/>
      <c r="O1174" s="1"/>
      <c r="P1174" s="1"/>
      <c r="Q1174" s="1"/>
      <c r="R1174" s="1"/>
      <c r="S1174" s="1"/>
      <c r="T1174" s="1"/>
    </row>
    <row r="1175" spans="1:20" ht="33.75" customHeight="1">
      <c r="A1175" s="1" t="s">
        <v>3338</v>
      </c>
      <c r="B1175" s="1" t="s">
        <v>3255</v>
      </c>
      <c r="C1175" s="4">
        <v>39883.199999999997</v>
      </c>
      <c r="D1175" s="1" t="s">
        <v>84</v>
      </c>
      <c r="E1175" s="1"/>
      <c r="F1175" s="2" t="s">
        <v>3340</v>
      </c>
      <c r="G1175" s="1">
        <f ca="1">IFERROR(__xludf.DUMMYFUNCTION("COUNTA(SPLIT(F1175,"" ""))"),47)</f>
        <v>47</v>
      </c>
      <c r="H1175" s="1">
        <v>47</v>
      </c>
      <c r="I1175" s="1"/>
      <c r="J1175" s="1"/>
      <c r="K1175" s="1"/>
      <c r="L1175" s="1"/>
      <c r="M1175" s="1"/>
      <c r="N1175" s="1"/>
      <c r="O1175" s="1"/>
      <c r="P1175" s="1"/>
      <c r="Q1175" s="1"/>
      <c r="R1175" s="1"/>
      <c r="S1175" s="1"/>
      <c r="T1175" s="1"/>
    </row>
    <row r="1176" spans="1:20" ht="33.75" customHeight="1">
      <c r="A1176" s="1" t="s">
        <v>3341</v>
      </c>
      <c r="B1176" s="1" t="s">
        <v>3255</v>
      </c>
      <c r="C1176" s="4">
        <v>39883.231944444444</v>
      </c>
      <c r="D1176" s="1" t="s">
        <v>54</v>
      </c>
      <c r="E1176" s="1"/>
      <c r="F1176" s="2" t="s">
        <v>3343</v>
      </c>
      <c r="G1176" s="1">
        <f ca="1">IFERROR(__xludf.DUMMYFUNCTION("COUNTA(SPLIT(F1176,"" ""))"),565)</f>
        <v>565</v>
      </c>
      <c r="H1176" s="1">
        <v>565</v>
      </c>
      <c r="I1176" s="1"/>
      <c r="J1176" s="1"/>
      <c r="K1176" s="1"/>
      <c r="L1176" s="1"/>
      <c r="M1176" s="1"/>
      <c r="N1176" s="1"/>
      <c r="O1176" s="1"/>
      <c r="P1176" s="1"/>
      <c r="Q1176" s="1"/>
      <c r="R1176" s="1"/>
      <c r="S1176" s="1"/>
      <c r="T1176" s="1"/>
    </row>
    <row r="1177" spans="1:20" ht="33.75" customHeight="1">
      <c r="A1177" s="1" t="s">
        <v>3344</v>
      </c>
      <c r="B1177" s="1" t="s">
        <v>3156</v>
      </c>
      <c r="C1177" s="4">
        <v>39883.234722222223</v>
      </c>
      <c r="D1177" s="1" t="s">
        <v>320</v>
      </c>
      <c r="E1177" s="1"/>
      <c r="F1177" s="2" t="s">
        <v>3346</v>
      </c>
      <c r="G1177" s="1">
        <f ca="1">IFERROR(__xludf.DUMMYFUNCTION("COUNTA(SPLIT(F1177,"" ""))"),296)</f>
        <v>296</v>
      </c>
      <c r="H1177" s="1">
        <v>296</v>
      </c>
      <c r="I1177" s="1"/>
      <c r="J1177" s="1"/>
      <c r="K1177" s="1"/>
      <c r="L1177" s="1"/>
      <c r="M1177" s="1"/>
      <c r="N1177" s="1"/>
      <c r="O1177" s="1"/>
      <c r="P1177" s="1"/>
      <c r="Q1177" s="1"/>
      <c r="R1177" s="1"/>
      <c r="S1177" s="1"/>
      <c r="T1177" s="1"/>
    </row>
    <row r="1178" spans="1:20" ht="33.75" customHeight="1">
      <c r="A1178" s="1" t="s">
        <v>3347</v>
      </c>
      <c r="B1178" s="1" t="s">
        <v>3156</v>
      </c>
      <c r="C1178" s="4">
        <v>39897.872916666667</v>
      </c>
      <c r="D1178" s="1" t="s">
        <v>1528</v>
      </c>
      <c r="E1178" s="1"/>
      <c r="F1178" s="2" t="s">
        <v>3348</v>
      </c>
      <c r="G1178" s="1">
        <f ca="1">IFERROR(__xludf.DUMMYFUNCTION("COUNTA(SPLIT(F1178,"" ""))"),39)</f>
        <v>39</v>
      </c>
      <c r="H1178" s="1">
        <v>39</v>
      </c>
      <c r="I1178" s="1"/>
      <c r="J1178" s="1"/>
      <c r="K1178" s="1"/>
      <c r="L1178" s="1"/>
      <c r="M1178" s="1"/>
      <c r="N1178" s="1"/>
      <c r="O1178" s="1"/>
      <c r="P1178" s="1"/>
      <c r="Q1178" s="1"/>
      <c r="R1178" s="1"/>
      <c r="S1178" s="1"/>
      <c r="T1178" s="1"/>
    </row>
    <row r="1179" spans="1:20" ht="33.75" hidden="1" customHeight="1">
      <c r="A1179" s="1" t="s">
        <v>3349</v>
      </c>
      <c r="B1179" s="1" t="s">
        <v>3255</v>
      </c>
      <c r="C1179" s="4">
        <v>39883.245833333334</v>
      </c>
      <c r="D1179" s="1" t="s">
        <v>178</v>
      </c>
      <c r="E1179" s="1" t="s">
        <v>3341</v>
      </c>
      <c r="F1179" s="2" t="s">
        <v>3350</v>
      </c>
      <c r="G1179" s="1">
        <f ca="1">IFERROR(__xludf.DUMMYFUNCTION("COUNTA(SPLIT(F1179,"" ""))"),38)</f>
        <v>38</v>
      </c>
      <c r="H1179" s="1">
        <v>38</v>
      </c>
      <c r="I1179" s="1"/>
      <c r="J1179" s="1"/>
      <c r="K1179" s="1"/>
      <c r="L1179" s="1"/>
      <c r="M1179" s="1"/>
      <c r="N1179" s="1"/>
      <c r="O1179" s="1"/>
      <c r="P1179" s="1"/>
      <c r="Q1179" s="1"/>
      <c r="R1179" s="1"/>
      <c r="S1179" s="1"/>
      <c r="T1179" s="1"/>
    </row>
    <row r="1180" spans="1:20" ht="33.75" customHeight="1">
      <c r="A1180" s="1" t="s">
        <v>3351</v>
      </c>
      <c r="B1180" s="1" t="s">
        <v>3156</v>
      </c>
      <c r="C1180" s="4">
        <v>39883.250694444447</v>
      </c>
      <c r="D1180" s="1" t="s">
        <v>320</v>
      </c>
      <c r="E1180" s="1"/>
      <c r="F1180" s="2" t="s">
        <v>3352</v>
      </c>
      <c r="G1180" s="1">
        <f ca="1">IFERROR(__xludf.DUMMYFUNCTION("COUNTA(SPLIT(F1180,"" ""))"),476)</f>
        <v>476</v>
      </c>
      <c r="H1180" s="1">
        <v>476</v>
      </c>
      <c r="I1180" s="1"/>
      <c r="J1180" s="1"/>
      <c r="K1180" s="1"/>
      <c r="L1180" s="1"/>
      <c r="M1180" s="1"/>
      <c r="N1180" s="1"/>
      <c r="O1180" s="1"/>
      <c r="P1180" s="1"/>
      <c r="Q1180" s="1"/>
      <c r="R1180" s="1"/>
      <c r="S1180" s="1"/>
      <c r="T1180" s="1"/>
    </row>
    <row r="1181" spans="1:20" ht="33.75" customHeight="1">
      <c r="A1181" s="1" t="s">
        <v>3353</v>
      </c>
      <c r="B1181" s="1" t="s">
        <v>3255</v>
      </c>
      <c r="C1181" s="4">
        <v>39883.255555555559</v>
      </c>
      <c r="D1181" s="1" t="s">
        <v>320</v>
      </c>
      <c r="E1181" s="1"/>
      <c r="F1181" s="2" t="s">
        <v>3357</v>
      </c>
      <c r="G1181" s="1">
        <f ca="1">IFERROR(__xludf.DUMMYFUNCTION("COUNTA(SPLIT(F1181,"" ""))"),9)</f>
        <v>9</v>
      </c>
      <c r="H1181" s="1">
        <v>9</v>
      </c>
      <c r="I1181" s="1"/>
      <c r="J1181" s="1"/>
      <c r="K1181" s="1"/>
      <c r="L1181" s="1"/>
      <c r="M1181" s="1"/>
      <c r="N1181" s="1"/>
      <c r="O1181" s="1"/>
      <c r="P1181" s="1"/>
      <c r="Q1181" s="1"/>
      <c r="R1181" s="1"/>
      <c r="S1181" s="1"/>
      <c r="T1181" s="1"/>
    </row>
    <row r="1182" spans="1:20" ht="33.75" hidden="1" customHeight="1">
      <c r="A1182" s="1" t="s">
        <v>3358</v>
      </c>
      <c r="B1182" s="1" t="s">
        <v>3255</v>
      </c>
      <c r="C1182" s="4">
        <v>39883.26666666667</v>
      </c>
      <c r="D1182" s="1" t="s">
        <v>178</v>
      </c>
      <c r="E1182" s="1" t="s">
        <v>3341</v>
      </c>
      <c r="F1182" s="2" t="s">
        <v>3359</v>
      </c>
      <c r="G1182" s="1">
        <f ca="1">IFERROR(__xludf.DUMMYFUNCTION("COUNTA(SPLIT(F1182,"" ""))"),24)</f>
        <v>24</v>
      </c>
      <c r="H1182" s="1">
        <v>24</v>
      </c>
      <c r="I1182" s="1"/>
      <c r="J1182" s="1"/>
      <c r="K1182" s="1"/>
      <c r="L1182" s="1"/>
      <c r="M1182" s="1"/>
      <c r="N1182" s="1"/>
      <c r="O1182" s="1"/>
      <c r="P1182" s="1"/>
      <c r="Q1182" s="1"/>
      <c r="R1182" s="1"/>
      <c r="S1182" s="1"/>
      <c r="T1182" s="1"/>
    </row>
    <row r="1183" spans="1:20" ht="33.75" hidden="1" customHeight="1">
      <c r="A1183" s="1" t="s">
        <v>3360</v>
      </c>
      <c r="B1183" s="1" t="s">
        <v>2870</v>
      </c>
      <c r="C1183" s="4">
        <v>39883.318055555559</v>
      </c>
      <c r="D1183" s="1" t="s">
        <v>2893</v>
      </c>
      <c r="E1183" s="1" t="s">
        <v>3333</v>
      </c>
      <c r="F1183" s="2" t="s">
        <v>3362</v>
      </c>
      <c r="G1183" s="1">
        <f ca="1">IFERROR(__xludf.DUMMYFUNCTION("COUNTA(SPLIT(F1183,"" ""))"),32)</f>
        <v>32</v>
      </c>
      <c r="H1183" s="1">
        <v>32</v>
      </c>
      <c r="I1183" s="1"/>
      <c r="J1183" s="1"/>
      <c r="K1183" s="1"/>
      <c r="L1183" s="1"/>
      <c r="M1183" s="1"/>
      <c r="N1183" s="1"/>
      <c r="O1183" s="1"/>
      <c r="P1183" s="1"/>
      <c r="Q1183" s="1"/>
      <c r="R1183" s="1"/>
      <c r="S1183" s="1"/>
      <c r="T1183" s="1"/>
    </row>
    <row r="1184" spans="1:20" ht="33.75" hidden="1" customHeight="1">
      <c r="A1184" s="1" t="s">
        <v>3363</v>
      </c>
      <c r="B1184" s="1" t="s">
        <v>2870</v>
      </c>
      <c r="C1184" s="4">
        <v>39883.324305555558</v>
      </c>
      <c r="D1184" s="1" t="s">
        <v>54</v>
      </c>
      <c r="E1184" s="1">
        <v>944</v>
      </c>
      <c r="F1184" s="2" t="s">
        <v>3364</v>
      </c>
      <c r="G1184" s="1">
        <f ca="1">IFERROR(__xludf.DUMMYFUNCTION("COUNTA(SPLIT(F1184,"" ""))"),261)</f>
        <v>261</v>
      </c>
      <c r="H1184" s="1">
        <v>261</v>
      </c>
      <c r="I1184" s="1"/>
      <c r="J1184" s="1"/>
      <c r="K1184" s="1"/>
      <c r="L1184" s="1"/>
      <c r="M1184" s="1"/>
      <c r="N1184" s="1"/>
      <c r="O1184" s="1"/>
      <c r="P1184" s="1"/>
      <c r="Q1184" s="1"/>
      <c r="R1184" s="1"/>
      <c r="S1184" s="1"/>
      <c r="T1184" s="1"/>
    </row>
    <row r="1185" spans="1:20" ht="33.75" customHeight="1">
      <c r="A1185" s="1" t="s">
        <v>3365</v>
      </c>
      <c r="B1185" s="1" t="s">
        <v>3255</v>
      </c>
      <c r="C1185" s="4">
        <v>39883.329861111109</v>
      </c>
      <c r="D1185" s="1" t="s">
        <v>913</v>
      </c>
      <c r="E1185" s="1"/>
      <c r="F1185" s="2" t="s">
        <v>3272</v>
      </c>
      <c r="G1185" s="1">
        <f ca="1">IFERROR(__xludf.DUMMYFUNCTION("COUNTA(SPLIT(F1185,"" ""))"),14)</f>
        <v>14</v>
      </c>
      <c r="H1185" s="1">
        <v>14</v>
      </c>
      <c r="I1185" s="1"/>
      <c r="J1185" s="1"/>
      <c r="K1185" s="1"/>
      <c r="L1185" s="1"/>
      <c r="M1185" s="1"/>
      <c r="N1185" s="1"/>
      <c r="O1185" s="1"/>
      <c r="P1185" s="1"/>
      <c r="Q1185" s="1"/>
      <c r="R1185" s="1"/>
      <c r="S1185" s="1"/>
      <c r="T1185" s="1"/>
    </row>
    <row r="1186" spans="1:20" ht="33.75" customHeight="1">
      <c r="A1186" s="1" t="s">
        <v>3366</v>
      </c>
      <c r="B1186" s="1" t="s">
        <v>3156</v>
      </c>
      <c r="C1186" s="4">
        <v>39883.333333333336</v>
      </c>
      <c r="D1186" s="1" t="s">
        <v>196</v>
      </c>
      <c r="E1186" s="1"/>
      <c r="F1186" s="2" t="s">
        <v>3368</v>
      </c>
      <c r="G1186" s="1">
        <f ca="1">IFERROR(__xludf.DUMMYFUNCTION("COUNTA(SPLIT(F1186,"" ""))"),643)</f>
        <v>643</v>
      </c>
      <c r="H1186" s="1">
        <v>643</v>
      </c>
      <c r="I1186" s="1"/>
      <c r="J1186" s="1"/>
      <c r="K1186" s="1"/>
      <c r="L1186" s="1"/>
      <c r="M1186" s="1"/>
      <c r="N1186" s="1"/>
      <c r="O1186" s="1"/>
      <c r="P1186" s="1"/>
      <c r="Q1186" s="1"/>
      <c r="R1186" s="1"/>
      <c r="S1186" s="1"/>
      <c r="T1186" s="1"/>
    </row>
    <row r="1187" spans="1:20" ht="33.75" hidden="1" customHeight="1">
      <c r="A1187" s="1" t="s">
        <v>3369</v>
      </c>
      <c r="B1187" s="1" t="s">
        <v>3156</v>
      </c>
      <c r="C1187" s="4">
        <v>39883.37222222222</v>
      </c>
      <c r="D1187" s="1" t="s">
        <v>196</v>
      </c>
      <c r="E1187" s="1" t="s">
        <v>3366</v>
      </c>
      <c r="F1187" s="2" t="s">
        <v>3371</v>
      </c>
      <c r="G1187" s="1">
        <f ca="1">IFERROR(__xludf.DUMMYFUNCTION("COUNTA(SPLIT(F1187,"" ""))"),199)</f>
        <v>199</v>
      </c>
      <c r="H1187" s="1">
        <v>199</v>
      </c>
      <c r="I1187" s="1"/>
      <c r="J1187" s="1"/>
      <c r="K1187" s="1"/>
      <c r="L1187" s="1"/>
      <c r="M1187" s="1"/>
      <c r="N1187" s="1"/>
      <c r="O1187" s="1"/>
      <c r="P1187" s="1"/>
      <c r="Q1187" s="1"/>
      <c r="R1187" s="1"/>
      <c r="S1187" s="1"/>
      <c r="T1187" s="1"/>
    </row>
    <row r="1188" spans="1:20" ht="33.75" customHeight="1">
      <c r="A1188" s="1" t="s">
        <v>3372</v>
      </c>
      <c r="B1188" s="1" t="s">
        <v>3156</v>
      </c>
      <c r="C1188" s="4">
        <v>39883.375</v>
      </c>
      <c r="D1188" s="1" t="s">
        <v>196</v>
      </c>
      <c r="E1188" s="1"/>
      <c r="F1188" s="2" t="s">
        <v>3374</v>
      </c>
      <c r="G1188" s="1">
        <f ca="1">IFERROR(__xludf.DUMMYFUNCTION("COUNTA(SPLIT(F1188,"" ""))"),188)</f>
        <v>188</v>
      </c>
      <c r="H1188" s="1">
        <v>188</v>
      </c>
      <c r="I1188" s="1"/>
      <c r="J1188" s="1"/>
      <c r="K1188" s="1"/>
      <c r="L1188" s="1"/>
      <c r="M1188" s="1"/>
      <c r="N1188" s="1"/>
      <c r="O1188" s="1"/>
      <c r="P1188" s="1"/>
      <c r="Q1188" s="1"/>
      <c r="R1188" s="1"/>
      <c r="S1188" s="1"/>
      <c r="T1188" s="1"/>
    </row>
    <row r="1189" spans="1:20" ht="33.75" hidden="1" customHeight="1">
      <c r="A1189" s="1" t="s">
        <v>3375</v>
      </c>
      <c r="B1189" s="1" t="s">
        <v>3156</v>
      </c>
      <c r="C1189" s="4">
        <v>39883.388888888891</v>
      </c>
      <c r="D1189" s="1" t="s">
        <v>14</v>
      </c>
      <c r="E1189" s="1" t="s">
        <v>3372</v>
      </c>
      <c r="F1189" s="2" t="s">
        <v>3378</v>
      </c>
      <c r="G1189" s="1">
        <f ca="1">IFERROR(__xludf.DUMMYFUNCTION("COUNTA(SPLIT(F1189,"" ""))"),162)</f>
        <v>162</v>
      </c>
      <c r="H1189" s="1">
        <v>162</v>
      </c>
      <c r="I1189" s="1"/>
      <c r="J1189" s="1"/>
      <c r="K1189" s="1"/>
      <c r="L1189" s="1"/>
      <c r="M1189" s="1"/>
      <c r="N1189" s="1"/>
      <c r="O1189" s="1"/>
      <c r="P1189" s="1"/>
      <c r="Q1189" s="1"/>
      <c r="R1189" s="1"/>
      <c r="S1189" s="1"/>
      <c r="T1189" s="1"/>
    </row>
    <row r="1190" spans="1:20" ht="33.75" customHeight="1">
      <c r="A1190" s="1" t="s">
        <v>3379</v>
      </c>
      <c r="B1190" s="1" t="s">
        <v>2870</v>
      </c>
      <c r="C1190" s="4">
        <v>39883.407638888886</v>
      </c>
      <c r="D1190" s="1" t="s">
        <v>84</v>
      </c>
      <c r="E1190" s="1"/>
      <c r="F1190" s="2" t="s">
        <v>3380</v>
      </c>
      <c r="G1190" s="1">
        <f ca="1">IFERROR(__xludf.DUMMYFUNCTION("COUNTA(SPLIT(F1190,"" ""))"),62)</f>
        <v>62</v>
      </c>
      <c r="H1190" s="1">
        <v>62</v>
      </c>
      <c r="I1190" s="1"/>
      <c r="J1190" s="1"/>
      <c r="K1190" s="1"/>
      <c r="L1190" s="1"/>
      <c r="M1190" s="1"/>
      <c r="N1190" s="1"/>
      <c r="O1190" s="1"/>
      <c r="P1190" s="1"/>
      <c r="Q1190" s="1"/>
      <c r="R1190" s="1"/>
      <c r="S1190" s="1"/>
      <c r="T1190" s="1"/>
    </row>
    <row r="1191" spans="1:20" ht="33.75" customHeight="1">
      <c r="A1191" s="1" t="s">
        <v>3381</v>
      </c>
      <c r="B1191" s="1" t="s">
        <v>2870</v>
      </c>
      <c r="C1191" s="4">
        <v>39883.413194444445</v>
      </c>
      <c r="D1191" s="1" t="s">
        <v>84</v>
      </c>
      <c r="E1191" s="1"/>
      <c r="F1191" s="2" t="s">
        <v>3382</v>
      </c>
      <c r="G1191" s="1">
        <f ca="1">IFERROR(__xludf.DUMMYFUNCTION("COUNTA(SPLIT(F1191,"" ""))"),44)</f>
        <v>44</v>
      </c>
      <c r="H1191" s="1">
        <v>44</v>
      </c>
      <c r="I1191" s="1"/>
      <c r="J1191" s="1"/>
      <c r="K1191" s="1"/>
      <c r="L1191" s="1"/>
      <c r="M1191" s="1"/>
      <c r="N1191" s="1"/>
      <c r="O1191" s="1"/>
      <c r="P1191" s="1"/>
      <c r="Q1191" s="1"/>
      <c r="R1191" s="1"/>
      <c r="S1191" s="1"/>
      <c r="T1191" s="1"/>
    </row>
    <row r="1192" spans="1:20" ht="33.75" customHeight="1">
      <c r="A1192" s="1" t="s">
        <v>3383</v>
      </c>
      <c r="B1192" s="1" t="s">
        <v>3255</v>
      </c>
      <c r="C1192" s="4">
        <v>39883.413888888892</v>
      </c>
      <c r="D1192" s="1" t="s">
        <v>3384</v>
      </c>
      <c r="E1192" s="1"/>
      <c r="F1192" s="2" t="s">
        <v>3386</v>
      </c>
      <c r="G1192" s="1">
        <f ca="1">IFERROR(__xludf.DUMMYFUNCTION("COUNTA(SPLIT(F1192,"" ""))"),465)</f>
        <v>465</v>
      </c>
      <c r="H1192" s="1">
        <v>465</v>
      </c>
      <c r="I1192" s="1"/>
      <c r="J1192" s="1"/>
      <c r="K1192" s="1"/>
      <c r="L1192" s="1"/>
      <c r="M1192" s="1"/>
      <c r="N1192" s="1"/>
      <c r="O1192" s="1"/>
      <c r="P1192" s="1"/>
      <c r="Q1192" s="1"/>
      <c r="R1192" s="1"/>
      <c r="S1192" s="1"/>
      <c r="T1192" s="1"/>
    </row>
    <row r="1193" spans="1:20" ht="33.75" hidden="1" customHeight="1">
      <c r="A1193" s="1" t="s">
        <v>3387</v>
      </c>
      <c r="B1193" s="1" t="s">
        <v>3255</v>
      </c>
      <c r="C1193" s="4">
        <v>39883.452777777777</v>
      </c>
      <c r="D1193" s="1" t="s">
        <v>3388</v>
      </c>
      <c r="E1193" s="1" t="s">
        <v>3341</v>
      </c>
      <c r="F1193" s="2" t="s">
        <v>3389</v>
      </c>
      <c r="G1193" s="1">
        <f ca="1">IFERROR(__xludf.DUMMYFUNCTION("COUNTA(SPLIT(F1193,"" ""))"),17)</f>
        <v>17</v>
      </c>
      <c r="H1193" s="1">
        <v>17</v>
      </c>
      <c r="I1193" s="1"/>
      <c r="J1193" s="1"/>
      <c r="K1193" s="1"/>
      <c r="L1193" s="1"/>
      <c r="M1193" s="1"/>
      <c r="N1193" s="1"/>
      <c r="O1193" s="1"/>
      <c r="P1193" s="1"/>
      <c r="Q1193" s="1"/>
      <c r="R1193" s="1"/>
      <c r="S1193" s="1"/>
      <c r="T1193" s="1"/>
    </row>
    <row r="1194" spans="1:20" ht="33.75" customHeight="1">
      <c r="A1194" s="1" t="s">
        <v>3390</v>
      </c>
      <c r="B1194" s="1" t="s">
        <v>3255</v>
      </c>
      <c r="C1194" s="4">
        <v>39883.502083333333</v>
      </c>
      <c r="D1194" s="1" t="s">
        <v>14</v>
      </c>
      <c r="E1194" s="1"/>
      <c r="F1194" s="2" t="s">
        <v>3392</v>
      </c>
      <c r="G1194" s="1">
        <f ca="1">IFERROR(__xludf.DUMMYFUNCTION("COUNTA(SPLIT(F1194,"" ""))"),109)</f>
        <v>109</v>
      </c>
      <c r="H1194" s="1">
        <v>109</v>
      </c>
      <c r="I1194" s="1"/>
      <c r="J1194" s="1"/>
      <c r="K1194" s="1"/>
      <c r="L1194" s="1"/>
      <c r="M1194" s="1"/>
      <c r="N1194" s="1"/>
      <c r="O1194" s="1"/>
      <c r="P1194" s="1"/>
      <c r="Q1194" s="1"/>
      <c r="R1194" s="1"/>
      <c r="S1194" s="1"/>
      <c r="T1194" s="1"/>
    </row>
    <row r="1195" spans="1:20" ht="33.75" customHeight="1">
      <c r="A1195" s="1" t="s">
        <v>3393</v>
      </c>
      <c r="B1195" s="1" t="s">
        <v>2870</v>
      </c>
      <c r="C1195" s="4">
        <v>39883.512499999997</v>
      </c>
      <c r="D1195" s="1" t="s">
        <v>772</v>
      </c>
      <c r="E1195" s="1"/>
      <c r="F1195" s="2" t="s">
        <v>3394</v>
      </c>
      <c r="G1195" s="1">
        <f ca="1">IFERROR(__xludf.DUMMYFUNCTION("COUNTA(SPLIT(F1195,"" ""))"),47)</f>
        <v>47</v>
      </c>
      <c r="H1195" s="1">
        <v>47</v>
      </c>
      <c r="I1195" s="1"/>
      <c r="J1195" s="1"/>
      <c r="K1195" s="1"/>
      <c r="L1195" s="1"/>
      <c r="M1195" s="1"/>
      <c r="N1195" s="1"/>
      <c r="O1195" s="1"/>
      <c r="P1195" s="1"/>
      <c r="Q1195" s="1"/>
      <c r="R1195" s="1"/>
      <c r="S1195" s="1"/>
      <c r="T1195" s="1"/>
    </row>
    <row r="1196" spans="1:20" ht="33.75" hidden="1" customHeight="1">
      <c r="A1196" s="1" t="s">
        <v>3395</v>
      </c>
      <c r="B1196" s="1" t="s">
        <v>3156</v>
      </c>
      <c r="C1196" s="4">
        <v>39883.537499999999</v>
      </c>
      <c r="D1196" s="1" t="s">
        <v>14</v>
      </c>
      <c r="E1196" s="1" t="s">
        <v>3366</v>
      </c>
      <c r="F1196" s="2" t="s">
        <v>3397</v>
      </c>
      <c r="G1196" s="1">
        <f ca="1">IFERROR(__xludf.DUMMYFUNCTION("COUNTA(SPLIT(F1196,"" ""))"),621)</f>
        <v>621</v>
      </c>
      <c r="H1196" s="1">
        <v>621</v>
      </c>
      <c r="I1196" s="1"/>
      <c r="J1196" s="1"/>
      <c r="K1196" s="1"/>
      <c r="L1196" s="1"/>
      <c r="M1196" s="1"/>
      <c r="N1196" s="1"/>
      <c r="O1196" s="1"/>
      <c r="P1196" s="1"/>
      <c r="Q1196" s="1"/>
      <c r="R1196" s="1"/>
      <c r="S1196" s="1"/>
      <c r="T1196" s="1"/>
    </row>
    <row r="1197" spans="1:20" ht="33.75" hidden="1" customHeight="1">
      <c r="A1197" s="1" t="s">
        <v>3398</v>
      </c>
      <c r="B1197" s="1" t="s">
        <v>3156</v>
      </c>
      <c r="C1197" s="4">
        <v>39883.54583333333</v>
      </c>
      <c r="D1197" s="1" t="s">
        <v>14</v>
      </c>
      <c r="E1197" s="1" t="s">
        <v>3399</v>
      </c>
      <c r="F1197" s="2" t="s">
        <v>3400</v>
      </c>
      <c r="G1197" s="1">
        <f ca="1">IFERROR(__xludf.DUMMYFUNCTION("COUNTA(SPLIT(F1197,"" ""))"),441)</f>
        <v>441</v>
      </c>
      <c r="H1197" s="1">
        <v>441</v>
      </c>
      <c r="I1197" s="1"/>
      <c r="J1197" s="1"/>
      <c r="K1197" s="1"/>
      <c r="L1197" s="1"/>
      <c r="M1197" s="1"/>
      <c r="N1197" s="1"/>
      <c r="O1197" s="1"/>
      <c r="P1197" s="1"/>
      <c r="Q1197" s="1"/>
      <c r="R1197" s="1"/>
      <c r="S1197" s="1"/>
      <c r="T1197" s="1"/>
    </row>
    <row r="1198" spans="1:20" ht="33.75" hidden="1" customHeight="1">
      <c r="A1198" s="1" t="s">
        <v>3401</v>
      </c>
      <c r="B1198" s="1" t="s">
        <v>3156</v>
      </c>
      <c r="C1198" s="4">
        <v>39883.552777777775</v>
      </c>
      <c r="D1198" s="1" t="s">
        <v>14</v>
      </c>
      <c r="E1198" s="1" t="s">
        <v>320</v>
      </c>
      <c r="F1198" s="2" t="s">
        <v>3403</v>
      </c>
      <c r="G1198" s="1">
        <f ca="1">IFERROR(__xludf.DUMMYFUNCTION("COUNTA(SPLIT(F1198,"" ""))"),223)</f>
        <v>223</v>
      </c>
      <c r="H1198" s="1">
        <v>223</v>
      </c>
      <c r="I1198" s="1"/>
      <c r="J1198" s="1"/>
      <c r="K1198" s="1"/>
      <c r="L1198" s="1"/>
      <c r="M1198" s="1"/>
      <c r="N1198" s="1"/>
      <c r="O1198" s="1"/>
      <c r="P1198" s="1"/>
      <c r="Q1198" s="1"/>
      <c r="R1198" s="1"/>
      <c r="S1198" s="1"/>
      <c r="T1198" s="1"/>
    </row>
    <row r="1199" spans="1:20" ht="33.75" hidden="1" customHeight="1">
      <c r="A1199" s="1" t="s">
        <v>3404</v>
      </c>
      <c r="B1199" s="1" t="s">
        <v>2870</v>
      </c>
      <c r="C1199" s="4">
        <v>39883.558333333334</v>
      </c>
      <c r="D1199" s="1" t="s">
        <v>2893</v>
      </c>
      <c r="E1199" s="1" t="s">
        <v>3363</v>
      </c>
      <c r="F1199" s="2" t="s">
        <v>3406</v>
      </c>
      <c r="G1199" s="1">
        <f ca="1">IFERROR(__xludf.DUMMYFUNCTION("COUNTA(SPLIT(F1199,"" ""))"),556)</f>
        <v>556</v>
      </c>
      <c r="H1199" s="1">
        <v>556</v>
      </c>
      <c r="I1199" s="1"/>
      <c r="J1199" s="1"/>
      <c r="K1199" s="1"/>
      <c r="L1199" s="1"/>
      <c r="M1199" s="1"/>
      <c r="N1199" s="1"/>
      <c r="O1199" s="1"/>
      <c r="P1199" s="1"/>
      <c r="Q1199" s="1"/>
      <c r="R1199" s="1"/>
      <c r="S1199" s="1"/>
      <c r="T1199" s="1"/>
    </row>
    <row r="1200" spans="1:20" ht="33.75" customHeight="1">
      <c r="A1200" s="1" t="s">
        <v>3407</v>
      </c>
      <c r="B1200" s="1" t="s">
        <v>3255</v>
      </c>
      <c r="C1200" s="4">
        <v>39883.57708333333</v>
      </c>
      <c r="D1200" s="1" t="s">
        <v>1089</v>
      </c>
      <c r="E1200" s="1"/>
      <c r="F1200" s="2" t="s">
        <v>3409</v>
      </c>
      <c r="G1200" s="1">
        <f ca="1">IFERROR(__xludf.DUMMYFUNCTION("COUNTA(SPLIT(F1200,"" ""))"),104)</f>
        <v>104</v>
      </c>
      <c r="H1200" s="1">
        <v>104</v>
      </c>
      <c r="I1200" s="1"/>
      <c r="J1200" s="1"/>
      <c r="K1200" s="1"/>
      <c r="L1200" s="1"/>
      <c r="M1200" s="1"/>
      <c r="N1200" s="1"/>
      <c r="O1200" s="1"/>
      <c r="P1200" s="1"/>
      <c r="Q1200" s="1"/>
      <c r="R1200" s="1"/>
      <c r="S1200" s="1"/>
      <c r="T1200" s="1"/>
    </row>
    <row r="1201" spans="1:20" ht="33.75" customHeight="1">
      <c r="A1201" s="1" t="s">
        <v>3410</v>
      </c>
      <c r="B1201" s="1" t="s">
        <v>3255</v>
      </c>
      <c r="C1201" s="4">
        <v>39883.618750000001</v>
      </c>
      <c r="D1201" s="1" t="s">
        <v>84</v>
      </c>
      <c r="E1201" s="1"/>
      <c r="F1201" s="2" t="s">
        <v>3412</v>
      </c>
      <c r="G1201" s="1">
        <f ca="1">IFERROR(__xludf.DUMMYFUNCTION("COUNTA(SPLIT(F1201,"" ""))"),136)</f>
        <v>136</v>
      </c>
      <c r="H1201" s="1">
        <v>136</v>
      </c>
      <c r="I1201" s="1"/>
      <c r="J1201" s="1"/>
      <c r="K1201" s="1"/>
      <c r="L1201" s="1"/>
      <c r="M1201" s="1"/>
      <c r="N1201" s="1"/>
      <c r="O1201" s="1"/>
      <c r="P1201" s="1"/>
      <c r="Q1201" s="1"/>
      <c r="R1201" s="1"/>
      <c r="S1201" s="1"/>
      <c r="T1201" s="1"/>
    </row>
    <row r="1202" spans="1:20" ht="33.75" customHeight="1">
      <c r="A1202" s="1" t="s">
        <v>3413</v>
      </c>
      <c r="B1202" s="1" t="s">
        <v>2870</v>
      </c>
      <c r="C1202" s="4">
        <v>39883.620138888888</v>
      </c>
      <c r="D1202" s="1" t="s">
        <v>381</v>
      </c>
      <c r="E1202" s="1"/>
      <c r="F1202" s="2" t="s">
        <v>3414</v>
      </c>
      <c r="G1202" s="1">
        <f ca="1">IFERROR(__xludf.DUMMYFUNCTION("COUNTA(SPLIT(F1202,"" ""))"),105)</f>
        <v>105</v>
      </c>
      <c r="H1202" s="1">
        <v>105</v>
      </c>
      <c r="I1202" s="1"/>
      <c r="J1202" s="1"/>
      <c r="K1202" s="1"/>
      <c r="L1202" s="1"/>
      <c r="M1202" s="1"/>
      <c r="N1202" s="1"/>
      <c r="O1202" s="1"/>
      <c r="P1202" s="1"/>
      <c r="Q1202" s="1"/>
      <c r="R1202" s="1"/>
      <c r="S1202" s="1"/>
      <c r="T1202" s="1"/>
    </row>
    <row r="1203" spans="1:20" ht="33.75" customHeight="1">
      <c r="A1203" s="1" t="s">
        <v>3415</v>
      </c>
      <c r="B1203" s="1" t="s">
        <v>3255</v>
      </c>
      <c r="C1203" s="4">
        <v>39883.668055555558</v>
      </c>
      <c r="D1203" s="1" t="s">
        <v>84</v>
      </c>
      <c r="E1203" s="1"/>
      <c r="F1203" s="2" t="s">
        <v>3417</v>
      </c>
      <c r="G1203" s="1">
        <f ca="1">IFERROR(__xludf.DUMMYFUNCTION("COUNTA(SPLIT(F1203,"" ""))"),184)</f>
        <v>184</v>
      </c>
      <c r="H1203" s="1">
        <v>184</v>
      </c>
      <c r="I1203" s="1"/>
      <c r="J1203" s="1"/>
      <c r="K1203" s="1"/>
      <c r="L1203" s="1"/>
      <c r="M1203" s="1"/>
      <c r="N1203" s="1"/>
      <c r="O1203" s="1"/>
      <c r="P1203" s="1"/>
      <c r="Q1203" s="1"/>
      <c r="R1203" s="1"/>
      <c r="S1203" s="1"/>
      <c r="T1203" s="1"/>
    </row>
    <row r="1204" spans="1:20" ht="33.75" customHeight="1">
      <c r="A1204" s="1" t="s">
        <v>3418</v>
      </c>
      <c r="B1204" s="1" t="s">
        <v>2870</v>
      </c>
      <c r="C1204" s="4">
        <v>39883.676388888889</v>
      </c>
      <c r="D1204" s="1" t="s">
        <v>54</v>
      </c>
      <c r="E1204" s="1"/>
      <c r="F1204" s="2" t="s">
        <v>3420</v>
      </c>
      <c r="G1204" s="1">
        <f ca="1">IFERROR(__xludf.DUMMYFUNCTION("COUNTA(SPLIT(F1204,"" ""))"),176)</f>
        <v>176</v>
      </c>
      <c r="H1204" s="1">
        <v>176</v>
      </c>
      <c r="I1204" s="1"/>
      <c r="J1204" s="1"/>
      <c r="K1204" s="1"/>
      <c r="L1204" s="1"/>
      <c r="M1204" s="1"/>
      <c r="N1204" s="1"/>
      <c r="O1204" s="1"/>
      <c r="P1204" s="1"/>
      <c r="Q1204" s="1"/>
      <c r="R1204" s="1"/>
      <c r="S1204" s="1"/>
      <c r="T1204" s="1"/>
    </row>
    <row r="1205" spans="1:20" ht="33.75" customHeight="1">
      <c r="A1205" s="1" t="s">
        <v>3421</v>
      </c>
      <c r="B1205" s="1" t="s">
        <v>2870</v>
      </c>
      <c r="C1205" s="4">
        <v>39883.714583333334</v>
      </c>
      <c r="D1205" s="1" t="s">
        <v>54</v>
      </c>
      <c r="E1205" s="1"/>
      <c r="F1205" s="2" t="s">
        <v>3422</v>
      </c>
      <c r="G1205" s="1">
        <f ca="1">IFERROR(__xludf.DUMMYFUNCTION("COUNTA(SPLIT(F1205,"" ""))"),119)</f>
        <v>119</v>
      </c>
      <c r="H1205" s="1">
        <v>119</v>
      </c>
      <c r="I1205" s="1"/>
      <c r="J1205" s="1"/>
      <c r="K1205" s="1"/>
      <c r="L1205" s="1"/>
      <c r="M1205" s="1"/>
      <c r="N1205" s="1"/>
      <c r="O1205" s="1"/>
      <c r="P1205" s="1"/>
      <c r="Q1205" s="1"/>
      <c r="R1205" s="1"/>
      <c r="S1205" s="1"/>
      <c r="T1205" s="1"/>
    </row>
    <row r="1206" spans="1:20" ht="33.75" customHeight="1">
      <c r="A1206" s="1" t="s">
        <v>3423</v>
      </c>
      <c r="B1206" s="1" t="s">
        <v>2870</v>
      </c>
      <c r="C1206" s="4">
        <v>39883.738194444442</v>
      </c>
      <c r="D1206" s="1" t="s">
        <v>54</v>
      </c>
      <c r="E1206" s="1"/>
      <c r="F1206" s="2" t="s">
        <v>3425</v>
      </c>
      <c r="G1206" s="1">
        <f ca="1">IFERROR(__xludf.DUMMYFUNCTION("COUNTA(SPLIT(F1206,"" ""))"),166)</f>
        <v>166</v>
      </c>
      <c r="H1206" s="1">
        <v>166</v>
      </c>
      <c r="I1206" s="1"/>
      <c r="J1206" s="1"/>
      <c r="K1206" s="1"/>
      <c r="L1206" s="1"/>
      <c r="M1206" s="1"/>
      <c r="N1206" s="1"/>
      <c r="O1206" s="1"/>
      <c r="P1206" s="1"/>
      <c r="Q1206" s="1"/>
      <c r="R1206" s="1"/>
      <c r="S1206" s="1"/>
      <c r="T1206" s="1"/>
    </row>
    <row r="1207" spans="1:20" ht="33.75" hidden="1" customHeight="1">
      <c r="A1207" s="1" t="s">
        <v>3426</v>
      </c>
      <c r="B1207" s="1" t="s">
        <v>3156</v>
      </c>
      <c r="C1207" s="4">
        <v>39883.740972222222</v>
      </c>
      <c r="D1207" s="1" t="s">
        <v>196</v>
      </c>
      <c r="E1207" s="1" t="s">
        <v>3398</v>
      </c>
      <c r="F1207" s="2" t="s">
        <v>3427</v>
      </c>
      <c r="G1207" s="1">
        <f ca="1">IFERROR(__xludf.DUMMYFUNCTION("COUNTA(SPLIT(F1207,"" ""))"),95)</f>
        <v>95</v>
      </c>
      <c r="H1207" s="1">
        <v>95</v>
      </c>
      <c r="I1207" s="1"/>
      <c r="J1207" s="1"/>
      <c r="K1207" s="1"/>
      <c r="L1207" s="1"/>
      <c r="M1207" s="1"/>
      <c r="N1207" s="1"/>
      <c r="O1207" s="1"/>
      <c r="P1207" s="1"/>
      <c r="Q1207" s="1"/>
      <c r="R1207" s="1"/>
      <c r="S1207" s="1"/>
      <c r="T1207" s="1"/>
    </row>
    <row r="1208" spans="1:20" ht="33.75" hidden="1" customHeight="1">
      <c r="A1208" s="1" t="s">
        <v>3428</v>
      </c>
      <c r="B1208" s="1" t="s">
        <v>2870</v>
      </c>
      <c r="C1208" s="4">
        <v>39883.745138888888</v>
      </c>
      <c r="D1208" s="1" t="s">
        <v>2893</v>
      </c>
      <c r="E1208" s="1" t="s">
        <v>3413</v>
      </c>
      <c r="F1208" s="2" t="s">
        <v>3429</v>
      </c>
      <c r="G1208" s="1">
        <f ca="1">IFERROR(__xludf.DUMMYFUNCTION("COUNTA(SPLIT(F1208,"" ""))"),62)</f>
        <v>62</v>
      </c>
      <c r="H1208" s="1">
        <v>62</v>
      </c>
      <c r="I1208" s="1"/>
      <c r="J1208" s="1"/>
      <c r="K1208" s="1"/>
      <c r="L1208" s="1"/>
      <c r="M1208" s="1"/>
      <c r="N1208" s="1"/>
      <c r="O1208" s="1"/>
      <c r="P1208" s="1"/>
      <c r="Q1208" s="1"/>
      <c r="R1208" s="1"/>
      <c r="S1208" s="1"/>
      <c r="T1208" s="1"/>
    </row>
    <row r="1209" spans="1:20" ht="33.75" customHeight="1">
      <c r="A1209" s="1" t="s">
        <v>3430</v>
      </c>
      <c r="B1209" s="1" t="s">
        <v>3156</v>
      </c>
      <c r="C1209" s="4">
        <v>39883.762499999997</v>
      </c>
      <c r="D1209" s="1" t="s">
        <v>196</v>
      </c>
      <c r="E1209" s="1"/>
      <c r="F1209" s="2" t="s">
        <v>3432</v>
      </c>
      <c r="G1209" s="1">
        <f ca="1">IFERROR(__xludf.DUMMYFUNCTION("COUNTA(SPLIT(F1209,"" ""))"),54)</f>
        <v>54</v>
      </c>
      <c r="H1209" s="1">
        <v>54</v>
      </c>
      <c r="I1209" s="1"/>
      <c r="J1209" s="1"/>
      <c r="K1209" s="1"/>
      <c r="L1209" s="1"/>
      <c r="M1209" s="1"/>
      <c r="N1209" s="1"/>
      <c r="O1209" s="1"/>
      <c r="P1209" s="1"/>
      <c r="Q1209" s="1"/>
      <c r="R1209" s="1"/>
      <c r="S1209" s="1"/>
      <c r="T1209" s="1"/>
    </row>
    <row r="1210" spans="1:20" ht="33.75" customHeight="1">
      <c r="A1210" s="1" t="s">
        <v>3433</v>
      </c>
      <c r="B1210" s="1" t="s">
        <v>3255</v>
      </c>
      <c r="C1210" s="4">
        <v>39883.772916666669</v>
      </c>
      <c r="D1210" s="1" t="s">
        <v>59</v>
      </c>
      <c r="E1210" s="1"/>
      <c r="F1210" s="2" t="s">
        <v>3435</v>
      </c>
      <c r="G1210" s="1">
        <f ca="1">IFERROR(__xludf.DUMMYFUNCTION("COUNTA(SPLIT(F1210,"" ""))"),174)</f>
        <v>174</v>
      </c>
      <c r="H1210" s="1">
        <v>174</v>
      </c>
      <c r="I1210" s="1"/>
      <c r="J1210" s="1"/>
      <c r="K1210" s="1"/>
      <c r="L1210" s="1"/>
      <c r="M1210" s="1"/>
      <c r="N1210" s="1"/>
      <c r="O1210" s="1"/>
      <c r="P1210" s="1"/>
      <c r="Q1210" s="1"/>
      <c r="R1210" s="1"/>
      <c r="S1210" s="1"/>
      <c r="T1210" s="1"/>
    </row>
    <row r="1211" spans="1:20" ht="33.75" hidden="1" customHeight="1">
      <c r="A1211" s="1" t="s">
        <v>3436</v>
      </c>
      <c r="B1211" s="1" t="s">
        <v>3255</v>
      </c>
      <c r="C1211" s="4">
        <v>39883.787499999999</v>
      </c>
      <c r="D1211" s="1" t="s">
        <v>3437</v>
      </c>
      <c r="E1211" s="1" t="s">
        <v>3438</v>
      </c>
      <c r="F1211" s="2" t="s">
        <v>3440</v>
      </c>
      <c r="G1211" s="1">
        <f ca="1">IFERROR(__xludf.DUMMYFUNCTION("COUNTA(SPLIT(F1211,"" ""))"),11)</f>
        <v>11</v>
      </c>
      <c r="H1211" s="1">
        <v>11</v>
      </c>
      <c r="I1211" s="1"/>
      <c r="J1211" s="1"/>
      <c r="K1211" s="1"/>
      <c r="L1211" s="1"/>
      <c r="M1211" s="1"/>
      <c r="N1211" s="1"/>
      <c r="O1211" s="1"/>
      <c r="P1211" s="1"/>
      <c r="Q1211" s="1"/>
      <c r="R1211" s="1"/>
      <c r="S1211" s="1"/>
      <c r="T1211" s="1"/>
    </row>
    <row r="1212" spans="1:20" ht="33.75" hidden="1" customHeight="1">
      <c r="A1212" s="1" t="s">
        <v>3441</v>
      </c>
      <c r="B1212" s="1" t="s">
        <v>3156</v>
      </c>
      <c r="C1212" s="4">
        <v>39883.802083333336</v>
      </c>
      <c r="D1212" s="1" t="s">
        <v>14</v>
      </c>
      <c r="E1212" s="1" t="s">
        <v>3398</v>
      </c>
      <c r="F1212" s="2" t="s">
        <v>3442</v>
      </c>
      <c r="G1212" s="1">
        <f ca="1">IFERROR(__xludf.DUMMYFUNCTION("COUNTA(SPLIT(F1212,"" ""))"),95)</f>
        <v>95</v>
      </c>
      <c r="H1212" s="1">
        <v>95</v>
      </c>
      <c r="I1212" s="1"/>
      <c r="J1212" s="1"/>
      <c r="K1212" s="1"/>
      <c r="L1212" s="1"/>
      <c r="M1212" s="1"/>
      <c r="N1212" s="1"/>
      <c r="O1212" s="1"/>
      <c r="P1212" s="1"/>
      <c r="Q1212" s="1"/>
      <c r="R1212" s="1"/>
      <c r="S1212" s="1"/>
      <c r="T1212" s="1"/>
    </row>
    <row r="1213" spans="1:20" ht="33.75" customHeight="1">
      <c r="A1213" s="1" t="s">
        <v>3443</v>
      </c>
      <c r="B1213" s="1" t="s">
        <v>3255</v>
      </c>
      <c r="C1213" s="4">
        <v>39883.804166666669</v>
      </c>
      <c r="D1213" s="1" t="s">
        <v>3437</v>
      </c>
      <c r="E1213" s="1"/>
      <c r="F1213" s="2" t="s">
        <v>3446</v>
      </c>
      <c r="G1213" s="1">
        <f ca="1">IFERROR(__xludf.DUMMYFUNCTION("COUNTA(SPLIT(F1213,"" ""))"),135)</f>
        <v>135</v>
      </c>
      <c r="H1213" s="1">
        <v>135</v>
      </c>
      <c r="I1213" s="1"/>
      <c r="J1213" s="1"/>
      <c r="K1213" s="1"/>
      <c r="L1213" s="1"/>
      <c r="M1213" s="1"/>
      <c r="N1213" s="1"/>
      <c r="O1213" s="1"/>
      <c r="P1213" s="1"/>
      <c r="Q1213" s="1"/>
      <c r="R1213" s="1"/>
      <c r="S1213" s="1"/>
      <c r="T1213" s="1"/>
    </row>
    <row r="1214" spans="1:20" ht="33.75" customHeight="1">
      <c r="A1214" s="1" t="s">
        <v>3447</v>
      </c>
      <c r="B1214" s="1" t="s">
        <v>3156</v>
      </c>
      <c r="C1214" s="4">
        <v>39886.927777777775</v>
      </c>
      <c r="D1214" s="1" t="s">
        <v>1528</v>
      </c>
      <c r="E1214" s="1"/>
      <c r="F1214" s="2" t="s">
        <v>3448</v>
      </c>
      <c r="G1214" s="1">
        <f ca="1">IFERROR(__xludf.DUMMYFUNCTION("COUNTA(SPLIT(F1214,"" ""))"),64)</f>
        <v>64</v>
      </c>
      <c r="H1214" s="1">
        <v>64</v>
      </c>
      <c r="I1214" s="1"/>
      <c r="J1214" s="1"/>
      <c r="K1214" s="1"/>
      <c r="L1214" s="1"/>
      <c r="M1214" s="1"/>
      <c r="N1214" s="1"/>
      <c r="O1214" s="1"/>
      <c r="P1214" s="1"/>
      <c r="Q1214" s="1"/>
      <c r="R1214" s="1"/>
      <c r="S1214" s="1"/>
      <c r="T1214" s="1"/>
    </row>
    <row r="1215" spans="1:20" ht="33.75" customHeight="1">
      <c r="A1215" s="1" t="s">
        <v>3449</v>
      </c>
      <c r="B1215" s="1" t="s">
        <v>3255</v>
      </c>
      <c r="C1215" s="4">
        <v>39883.817361111112</v>
      </c>
      <c r="D1215" s="1" t="s">
        <v>3437</v>
      </c>
      <c r="E1215" s="1"/>
      <c r="F1215" s="2" t="s">
        <v>3451</v>
      </c>
      <c r="G1215" s="1">
        <f ca="1">IFERROR(__xludf.DUMMYFUNCTION("COUNTA(SPLIT(F1215,"" ""))"),177)</f>
        <v>177</v>
      </c>
      <c r="H1215" s="1">
        <v>177</v>
      </c>
      <c r="I1215" s="1"/>
      <c r="J1215" s="1"/>
      <c r="K1215" s="1"/>
      <c r="L1215" s="1"/>
      <c r="M1215" s="1"/>
      <c r="N1215" s="1"/>
      <c r="O1215" s="1"/>
      <c r="P1215" s="1"/>
      <c r="Q1215" s="1"/>
      <c r="R1215" s="1"/>
      <c r="S1215" s="1"/>
      <c r="T1215" s="1"/>
    </row>
    <row r="1216" spans="1:20" ht="33.75" customHeight="1">
      <c r="A1216" s="1" t="s">
        <v>3452</v>
      </c>
      <c r="B1216" s="1" t="s">
        <v>3255</v>
      </c>
      <c r="C1216" s="4">
        <v>39883.817361111112</v>
      </c>
      <c r="D1216" s="1" t="s">
        <v>14</v>
      </c>
      <c r="E1216" s="1"/>
      <c r="F1216" s="2" t="s">
        <v>3455</v>
      </c>
      <c r="G1216" s="1">
        <f ca="1">IFERROR(__xludf.DUMMYFUNCTION("COUNTA(SPLIT(F1216,"" ""))"),130)</f>
        <v>130</v>
      </c>
      <c r="H1216" s="1">
        <v>130</v>
      </c>
      <c r="I1216" s="1"/>
      <c r="J1216" s="1"/>
      <c r="K1216" s="1"/>
      <c r="L1216" s="1"/>
      <c r="M1216" s="1"/>
      <c r="N1216" s="1"/>
      <c r="O1216" s="1"/>
      <c r="P1216" s="1"/>
      <c r="Q1216" s="1"/>
      <c r="R1216" s="1"/>
      <c r="S1216" s="1"/>
      <c r="T1216" s="1"/>
    </row>
    <row r="1217" spans="1:20" ht="33.75" customHeight="1">
      <c r="A1217" s="1" t="s">
        <v>3456</v>
      </c>
      <c r="B1217" s="1" t="s">
        <v>3156</v>
      </c>
      <c r="C1217" s="4">
        <v>39883.818749999999</v>
      </c>
      <c r="D1217" s="1" t="s">
        <v>314</v>
      </c>
      <c r="E1217" s="1"/>
      <c r="F1217" s="2" t="s">
        <v>3459</v>
      </c>
      <c r="G1217" s="1">
        <f ca="1">IFERROR(__xludf.DUMMYFUNCTION("COUNTA(SPLIT(F1217,"" ""))"),269)</f>
        <v>269</v>
      </c>
      <c r="H1217" s="1">
        <v>269</v>
      </c>
      <c r="I1217" s="1"/>
      <c r="J1217" s="1"/>
      <c r="K1217" s="1"/>
      <c r="L1217" s="1"/>
      <c r="M1217" s="1"/>
      <c r="N1217" s="1"/>
      <c r="O1217" s="1"/>
      <c r="P1217" s="1"/>
      <c r="Q1217" s="1"/>
      <c r="R1217" s="1"/>
      <c r="S1217" s="1"/>
      <c r="T1217" s="1"/>
    </row>
    <row r="1218" spans="1:20" ht="33.75" customHeight="1">
      <c r="A1218" s="1" t="s">
        <v>3460</v>
      </c>
      <c r="B1218" s="1" t="s">
        <v>3255</v>
      </c>
      <c r="C1218" s="4">
        <v>39883.820833333331</v>
      </c>
      <c r="D1218" s="1" t="s">
        <v>3461</v>
      </c>
      <c r="E1218" s="1"/>
      <c r="F1218" s="2" t="s">
        <v>3463</v>
      </c>
      <c r="G1218" s="1">
        <f ca="1">IFERROR(__xludf.DUMMYFUNCTION("COUNTA(SPLIT(F1218,"" ""))"),105)</f>
        <v>105</v>
      </c>
      <c r="H1218" s="1">
        <v>105</v>
      </c>
      <c r="I1218" s="1"/>
      <c r="J1218" s="1"/>
      <c r="K1218" s="1"/>
      <c r="L1218" s="1"/>
      <c r="M1218" s="1"/>
      <c r="N1218" s="1"/>
      <c r="O1218" s="1"/>
      <c r="P1218" s="1"/>
      <c r="Q1218" s="1"/>
      <c r="R1218" s="1"/>
      <c r="S1218" s="1"/>
      <c r="T1218" s="1"/>
    </row>
    <row r="1219" spans="1:20" ht="33.75" hidden="1" customHeight="1">
      <c r="A1219" s="1" t="s">
        <v>3464</v>
      </c>
      <c r="B1219" s="1" t="s">
        <v>3156</v>
      </c>
      <c r="C1219" s="4">
        <v>39883.825694444444</v>
      </c>
      <c r="D1219" s="1" t="s">
        <v>14</v>
      </c>
      <c r="E1219" s="1" t="s">
        <v>3456</v>
      </c>
      <c r="F1219" s="2" t="s">
        <v>3465</v>
      </c>
      <c r="G1219" s="1">
        <f ca="1">IFERROR(__xludf.DUMMYFUNCTION("COUNTA(SPLIT(F1219,"" ""))"),121)</f>
        <v>121</v>
      </c>
      <c r="H1219" s="1">
        <v>121</v>
      </c>
      <c r="I1219" s="1"/>
      <c r="J1219" s="1"/>
      <c r="K1219" s="1"/>
      <c r="L1219" s="1"/>
      <c r="M1219" s="1"/>
      <c r="N1219" s="1"/>
      <c r="O1219" s="1"/>
      <c r="P1219" s="1"/>
      <c r="Q1219" s="1"/>
      <c r="R1219" s="1"/>
      <c r="S1219" s="1"/>
      <c r="T1219" s="1"/>
    </row>
    <row r="1220" spans="1:20" ht="33.75" customHeight="1">
      <c r="A1220" s="1" t="s">
        <v>3466</v>
      </c>
      <c r="B1220" s="1" t="s">
        <v>3156</v>
      </c>
      <c r="C1220" s="4">
        <v>39883.832638888889</v>
      </c>
      <c r="D1220" s="1" t="s">
        <v>196</v>
      </c>
      <c r="E1220" s="1"/>
      <c r="F1220" s="2" t="s">
        <v>3468</v>
      </c>
      <c r="G1220" s="1">
        <f ca="1">IFERROR(__xludf.DUMMYFUNCTION("COUNTA(SPLIT(F1220,"" ""))"),56)</f>
        <v>56</v>
      </c>
      <c r="H1220" s="1">
        <v>56</v>
      </c>
      <c r="I1220" s="1"/>
      <c r="J1220" s="1"/>
      <c r="K1220" s="1"/>
      <c r="L1220" s="1"/>
      <c r="M1220" s="1"/>
      <c r="N1220" s="1"/>
      <c r="O1220" s="1"/>
      <c r="P1220" s="1"/>
      <c r="Q1220" s="1"/>
      <c r="R1220" s="1"/>
      <c r="S1220" s="1"/>
      <c r="T1220" s="1"/>
    </row>
    <row r="1221" spans="1:20" ht="33.75" hidden="1" customHeight="1">
      <c r="A1221" s="1" t="s">
        <v>3469</v>
      </c>
      <c r="B1221" s="1" t="s">
        <v>3156</v>
      </c>
      <c r="C1221" s="4">
        <v>39883.834722222222</v>
      </c>
      <c r="D1221" s="1" t="s">
        <v>14</v>
      </c>
      <c r="E1221" s="1" t="s">
        <v>3466</v>
      </c>
      <c r="F1221" s="2" t="s">
        <v>3470</v>
      </c>
      <c r="G1221" s="1">
        <f ca="1">IFERROR(__xludf.DUMMYFUNCTION("COUNTA(SPLIT(F1221,"" ""))"),16)</f>
        <v>16</v>
      </c>
      <c r="H1221" s="1">
        <v>16</v>
      </c>
      <c r="I1221" s="1"/>
      <c r="J1221" s="1"/>
      <c r="K1221" s="1"/>
      <c r="L1221" s="1"/>
      <c r="M1221" s="1"/>
      <c r="N1221" s="1"/>
      <c r="O1221" s="1"/>
      <c r="P1221" s="1"/>
      <c r="Q1221" s="1"/>
      <c r="R1221" s="1"/>
      <c r="S1221" s="1"/>
      <c r="T1221" s="1"/>
    </row>
    <row r="1222" spans="1:20" ht="33.75" customHeight="1">
      <c r="A1222" s="1" t="s">
        <v>3471</v>
      </c>
      <c r="B1222" s="1" t="s">
        <v>3255</v>
      </c>
      <c r="C1222" s="4">
        <v>39883.836805555555</v>
      </c>
      <c r="D1222" s="1" t="s">
        <v>314</v>
      </c>
      <c r="E1222" s="1"/>
      <c r="F1222" s="2" t="s">
        <v>3473</v>
      </c>
      <c r="G1222" s="1">
        <f ca="1">IFERROR(__xludf.DUMMYFUNCTION("COUNTA(SPLIT(F1222,"" ""))"),410)</f>
        <v>410</v>
      </c>
      <c r="H1222" s="1">
        <v>410</v>
      </c>
      <c r="I1222" s="1"/>
      <c r="J1222" s="1"/>
      <c r="K1222" s="1"/>
      <c r="L1222" s="1"/>
      <c r="M1222" s="1"/>
      <c r="N1222" s="1"/>
      <c r="O1222" s="1"/>
      <c r="P1222" s="1"/>
      <c r="Q1222" s="1"/>
      <c r="R1222" s="1"/>
      <c r="S1222" s="1"/>
      <c r="T1222" s="1"/>
    </row>
    <row r="1223" spans="1:20" ht="33.75" hidden="1" customHeight="1">
      <c r="A1223" s="1" t="s">
        <v>3474</v>
      </c>
      <c r="B1223" s="1" t="s">
        <v>3156</v>
      </c>
      <c r="C1223" s="4">
        <v>39883.841666666667</v>
      </c>
      <c r="D1223" s="1" t="s">
        <v>14</v>
      </c>
      <c r="E1223" s="1" t="s">
        <v>3366</v>
      </c>
      <c r="F1223" s="2" t="s">
        <v>3475</v>
      </c>
      <c r="G1223" s="1">
        <f ca="1">IFERROR(__xludf.DUMMYFUNCTION("COUNTA(SPLIT(F1223,"" ""))"),611)</f>
        <v>611</v>
      </c>
      <c r="H1223" s="1">
        <v>611</v>
      </c>
      <c r="I1223" s="1"/>
      <c r="J1223" s="1"/>
      <c r="K1223" s="1"/>
      <c r="L1223" s="1"/>
      <c r="M1223" s="1"/>
      <c r="N1223" s="1"/>
      <c r="O1223" s="1"/>
      <c r="P1223" s="1"/>
      <c r="Q1223" s="1"/>
      <c r="R1223" s="1"/>
      <c r="S1223" s="1"/>
      <c r="T1223" s="1"/>
    </row>
    <row r="1224" spans="1:20" ht="33.75" hidden="1" customHeight="1">
      <c r="A1224" s="1" t="s">
        <v>3476</v>
      </c>
      <c r="B1224" s="1" t="s">
        <v>3255</v>
      </c>
      <c r="C1224" s="4">
        <v>39883.844444444447</v>
      </c>
      <c r="D1224" s="1" t="s">
        <v>14</v>
      </c>
      <c r="E1224" s="1" t="s">
        <v>3471</v>
      </c>
      <c r="F1224" s="2" t="s">
        <v>3478</v>
      </c>
      <c r="G1224" s="1">
        <f ca="1">IFERROR(__xludf.DUMMYFUNCTION("COUNTA(SPLIT(F1224,"" ""))"),91)</f>
        <v>91</v>
      </c>
      <c r="H1224" s="1">
        <v>91</v>
      </c>
      <c r="I1224" s="1"/>
      <c r="J1224" s="1"/>
      <c r="K1224" s="1"/>
      <c r="L1224" s="1"/>
      <c r="M1224" s="1"/>
      <c r="N1224" s="1"/>
      <c r="O1224" s="1"/>
      <c r="P1224" s="1"/>
      <c r="Q1224" s="1"/>
      <c r="R1224" s="1"/>
      <c r="S1224" s="1"/>
      <c r="T1224" s="1"/>
    </row>
    <row r="1225" spans="1:20" ht="33.75" hidden="1" customHeight="1">
      <c r="A1225" s="1" t="s">
        <v>3479</v>
      </c>
      <c r="B1225" s="1" t="s">
        <v>3156</v>
      </c>
      <c r="C1225" s="4">
        <v>39883.869444444441</v>
      </c>
      <c r="D1225" s="1" t="s">
        <v>196</v>
      </c>
      <c r="E1225" s="1" t="s">
        <v>3474</v>
      </c>
      <c r="F1225" s="2" t="s">
        <v>3480</v>
      </c>
      <c r="G1225" s="1">
        <f ca="1">IFERROR(__xludf.DUMMYFUNCTION("COUNTA(SPLIT(F1225,"" ""))"),67)</f>
        <v>67</v>
      </c>
      <c r="H1225" s="1">
        <v>67</v>
      </c>
      <c r="I1225" s="1"/>
      <c r="J1225" s="1"/>
      <c r="K1225" s="1"/>
      <c r="L1225" s="1"/>
      <c r="M1225" s="1"/>
      <c r="N1225" s="1"/>
      <c r="O1225" s="1"/>
      <c r="P1225" s="1"/>
      <c r="Q1225" s="1"/>
      <c r="R1225" s="1"/>
      <c r="S1225" s="1"/>
      <c r="T1225" s="1"/>
    </row>
    <row r="1226" spans="1:20" ht="33.75" customHeight="1">
      <c r="A1226" s="1" t="s">
        <v>3481</v>
      </c>
      <c r="B1226" s="1" t="s">
        <v>3255</v>
      </c>
      <c r="C1226" s="4">
        <v>39883.908333333333</v>
      </c>
      <c r="D1226" s="1" t="s">
        <v>54</v>
      </c>
      <c r="E1226" s="1"/>
      <c r="F1226" s="2" t="s">
        <v>3483</v>
      </c>
      <c r="G1226" s="1">
        <f ca="1">IFERROR(__xludf.DUMMYFUNCTION("COUNTA(SPLIT(F1226,"" ""))"),139)</f>
        <v>139</v>
      </c>
      <c r="H1226" s="1">
        <v>139</v>
      </c>
      <c r="I1226" s="1"/>
      <c r="J1226" s="1"/>
      <c r="K1226" s="1"/>
      <c r="L1226" s="1"/>
      <c r="M1226" s="1"/>
      <c r="N1226" s="1"/>
      <c r="O1226" s="1"/>
      <c r="P1226" s="1"/>
      <c r="Q1226" s="1"/>
      <c r="R1226" s="1"/>
      <c r="S1226" s="1"/>
      <c r="T1226" s="1"/>
    </row>
    <row r="1227" spans="1:20" ht="33.75" customHeight="1">
      <c r="A1227" s="1" t="s">
        <v>3484</v>
      </c>
      <c r="B1227" s="1" t="s">
        <v>3255</v>
      </c>
      <c r="C1227" s="4">
        <v>39883.911111111112</v>
      </c>
      <c r="D1227" s="1" t="s">
        <v>3485</v>
      </c>
      <c r="E1227" s="1"/>
      <c r="F1227" s="2" t="s">
        <v>3487</v>
      </c>
      <c r="G1227" s="1">
        <f ca="1">IFERROR(__xludf.DUMMYFUNCTION("COUNTA(SPLIT(F1227,"" ""))"),911)</f>
        <v>911</v>
      </c>
      <c r="H1227" s="1">
        <v>911</v>
      </c>
      <c r="I1227" s="1"/>
      <c r="J1227" s="1"/>
      <c r="K1227" s="1"/>
      <c r="L1227" s="1"/>
      <c r="M1227" s="1"/>
      <c r="N1227" s="1"/>
      <c r="O1227" s="1"/>
      <c r="P1227" s="1"/>
      <c r="Q1227" s="1"/>
      <c r="R1227" s="1"/>
      <c r="S1227" s="1"/>
      <c r="T1227" s="1"/>
    </row>
    <row r="1228" spans="1:20" ht="33.75" hidden="1" customHeight="1">
      <c r="A1228" s="1" t="s">
        <v>3488</v>
      </c>
      <c r="B1228" s="1" t="s">
        <v>3255</v>
      </c>
      <c r="C1228" s="4">
        <v>39883.929861111108</v>
      </c>
      <c r="D1228" s="1" t="s">
        <v>14</v>
      </c>
      <c r="E1228" s="1" t="s">
        <v>3484</v>
      </c>
      <c r="F1228" s="2" t="s">
        <v>3489</v>
      </c>
      <c r="G1228" s="1">
        <f ca="1">IFERROR(__xludf.DUMMYFUNCTION("COUNTA(SPLIT(F1228,"" ""))"),117)</f>
        <v>117</v>
      </c>
      <c r="H1228" s="1">
        <v>117</v>
      </c>
      <c r="I1228" s="1"/>
      <c r="J1228" s="1"/>
      <c r="K1228" s="1"/>
      <c r="L1228" s="1"/>
      <c r="M1228" s="1"/>
      <c r="N1228" s="1"/>
      <c r="O1228" s="1"/>
      <c r="P1228" s="1"/>
      <c r="Q1228" s="1"/>
      <c r="R1228" s="1"/>
      <c r="S1228" s="1"/>
      <c r="T1228" s="1"/>
    </row>
    <row r="1229" spans="1:20" ht="33.75" customHeight="1">
      <c r="A1229" s="1" t="s">
        <v>3490</v>
      </c>
      <c r="B1229" s="1" t="s">
        <v>3156</v>
      </c>
      <c r="C1229" s="4">
        <v>39883.944444444445</v>
      </c>
      <c r="D1229" s="1" t="s">
        <v>196</v>
      </c>
      <c r="E1229" s="1"/>
      <c r="F1229" s="2" t="s">
        <v>3492</v>
      </c>
      <c r="G1229" s="1">
        <f ca="1">IFERROR(__xludf.DUMMYFUNCTION("COUNTA(SPLIT(F1229,"" ""))"),36)</f>
        <v>36</v>
      </c>
      <c r="H1229" s="1">
        <v>36</v>
      </c>
      <c r="I1229" s="1"/>
      <c r="J1229" s="1"/>
      <c r="K1229" s="1"/>
      <c r="L1229" s="1"/>
      <c r="M1229" s="1"/>
      <c r="N1229" s="1"/>
      <c r="O1229" s="1"/>
      <c r="P1229" s="1"/>
      <c r="Q1229" s="1"/>
      <c r="R1229" s="1"/>
      <c r="S1229" s="1"/>
      <c r="T1229" s="1"/>
    </row>
    <row r="1230" spans="1:20" ht="33.75" hidden="1" customHeight="1">
      <c r="A1230" s="1" t="s">
        <v>3493</v>
      </c>
      <c r="B1230" s="1" t="s">
        <v>3156</v>
      </c>
      <c r="C1230" s="4">
        <v>39883.946527777778</v>
      </c>
      <c r="D1230" s="1" t="s">
        <v>320</v>
      </c>
      <c r="E1230" s="1">
        <v>1010.1</v>
      </c>
      <c r="F1230" s="2" t="s">
        <v>3495</v>
      </c>
      <c r="G1230" s="1">
        <f ca="1">IFERROR(__xludf.DUMMYFUNCTION("COUNTA(SPLIT(F1230,"" ""))"),136)</f>
        <v>136</v>
      </c>
      <c r="H1230" s="1">
        <v>136</v>
      </c>
      <c r="I1230" s="1"/>
      <c r="J1230" s="1"/>
      <c r="K1230" s="1"/>
      <c r="L1230" s="1"/>
      <c r="M1230" s="1"/>
      <c r="N1230" s="1"/>
      <c r="O1230" s="1"/>
      <c r="P1230" s="1"/>
      <c r="Q1230" s="1"/>
      <c r="R1230" s="1"/>
      <c r="S1230" s="1"/>
      <c r="T1230" s="1"/>
    </row>
    <row r="1231" spans="1:20" ht="33.75" customHeight="1">
      <c r="A1231" s="1" t="s">
        <v>3496</v>
      </c>
      <c r="B1231" s="1" t="s">
        <v>3156</v>
      </c>
      <c r="C1231" s="4">
        <v>39883.950694444444</v>
      </c>
      <c r="D1231" s="1" t="s">
        <v>14</v>
      </c>
      <c r="E1231" s="1"/>
      <c r="F1231" s="2" t="s">
        <v>3497</v>
      </c>
      <c r="G1231" s="1">
        <f ca="1">IFERROR(__xludf.DUMMYFUNCTION("COUNTA(SPLIT(F1231,"" ""))"),143)</f>
        <v>143</v>
      </c>
      <c r="H1231" s="1">
        <v>143</v>
      </c>
      <c r="I1231" s="1"/>
      <c r="J1231" s="1"/>
      <c r="K1231" s="1"/>
      <c r="L1231" s="1"/>
      <c r="M1231" s="1"/>
      <c r="N1231" s="1"/>
      <c r="O1231" s="1"/>
      <c r="P1231" s="1"/>
      <c r="Q1231" s="1"/>
      <c r="R1231" s="1"/>
      <c r="S1231" s="1"/>
      <c r="T1231" s="1"/>
    </row>
    <row r="1232" spans="1:20" ht="33.75" hidden="1" customHeight="1">
      <c r="A1232" s="1" t="s">
        <v>3498</v>
      </c>
      <c r="B1232" s="1" t="s">
        <v>3156</v>
      </c>
      <c r="C1232" s="4">
        <v>39883.951388888891</v>
      </c>
      <c r="D1232" s="1" t="s">
        <v>14</v>
      </c>
      <c r="E1232" s="1" t="s">
        <v>3493</v>
      </c>
      <c r="F1232" s="2" t="s">
        <v>3501</v>
      </c>
      <c r="G1232" s="1">
        <f ca="1">IFERROR(__xludf.DUMMYFUNCTION("COUNTA(SPLIT(F1232,"" ""))"),20)</f>
        <v>20</v>
      </c>
      <c r="H1232" s="1">
        <v>20</v>
      </c>
      <c r="I1232" s="1"/>
      <c r="J1232" s="1"/>
      <c r="K1232" s="1"/>
      <c r="L1232" s="1"/>
      <c r="M1232" s="1"/>
      <c r="N1232" s="1"/>
      <c r="O1232" s="1"/>
      <c r="P1232" s="1"/>
      <c r="Q1232" s="1"/>
      <c r="R1232" s="1"/>
      <c r="S1232" s="1"/>
      <c r="T1232" s="1"/>
    </row>
    <row r="1233" spans="1:20" ht="33.75" customHeight="1">
      <c r="A1233" s="1" t="s">
        <v>3502</v>
      </c>
      <c r="B1233" s="1" t="s">
        <v>3255</v>
      </c>
      <c r="C1233" s="4">
        <v>39883.96597222222</v>
      </c>
      <c r="D1233" s="1" t="s">
        <v>393</v>
      </c>
      <c r="E1233" s="1"/>
      <c r="F1233" s="2" t="s">
        <v>3504</v>
      </c>
      <c r="G1233" s="1">
        <f ca="1">IFERROR(__xludf.DUMMYFUNCTION("COUNTA(SPLIT(F1233,"" ""))"),204)</f>
        <v>204</v>
      </c>
      <c r="H1233" s="1">
        <v>204</v>
      </c>
      <c r="I1233" s="1"/>
      <c r="J1233" s="1"/>
      <c r="K1233" s="1"/>
      <c r="L1233" s="1"/>
      <c r="M1233" s="1"/>
      <c r="N1233" s="1"/>
      <c r="O1233" s="1"/>
      <c r="P1233" s="1"/>
      <c r="Q1233" s="1"/>
      <c r="R1233" s="1"/>
      <c r="S1233" s="1"/>
      <c r="T1233" s="1"/>
    </row>
    <row r="1234" spans="1:20" ht="33.75" customHeight="1">
      <c r="A1234" s="1" t="s">
        <v>3505</v>
      </c>
      <c r="B1234" s="1" t="s">
        <v>3255</v>
      </c>
      <c r="C1234" s="4">
        <v>39883.970833333333</v>
      </c>
      <c r="D1234" s="1" t="s">
        <v>54</v>
      </c>
      <c r="E1234" s="1"/>
      <c r="F1234" s="2" t="s">
        <v>3507</v>
      </c>
      <c r="G1234" s="1">
        <f ca="1">IFERROR(__xludf.DUMMYFUNCTION("COUNTA(SPLIT(F1234,"" ""))"),120)</f>
        <v>120</v>
      </c>
      <c r="H1234" s="1">
        <v>120</v>
      </c>
      <c r="I1234" s="1"/>
      <c r="J1234" s="1"/>
      <c r="K1234" s="1"/>
      <c r="L1234" s="1"/>
      <c r="M1234" s="1"/>
      <c r="N1234" s="1"/>
      <c r="O1234" s="1"/>
      <c r="P1234" s="1"/>
      <c r="Q1234" s="1"/>
      <c r="R1234" s="1"/>
      <c r="S1234" s="1"/>
      <c r="T1234" s="1"/>
    </row>
    <row r="1235" spans="1:20" ht="33.75" customHeight="1">
      <c r="A1235" s="1" t="s">
        <v>3508</v>
      </c>
      <c r="B1235" s="1" t="s">
        <v>3156</v>
      </c>
      <c r="C1235" s="4">
        <v>39883.986111111109</v>
      </c>
      <c r="D1235" s="1" t="s">
        <v>320</v>
      </c>
      <c r="E1235" s="1"/>
      <c r="F1235" s="2" t="s">
        <v>3509</v>
      </c>
      <c r="G1235" s="1">
        <f ca="1">IFERROR(__xludf.DUMMYFUNCTION("COUNTA(SPLIT(F1235,"" ""))"),581)</f>
        <v>581</v>
      </c>
      <c r="H1235" s="1">
        <v>581</v>
      </c>
      <c r="I1235" s="1"/>
      <c r="J1235" s="1"/>
      <c r="K1235" s="1"/>
      <c r="L1235" s="1"/>
      <c r="M1235" s="1"/>
      <c r="N1235" s="1"/>
      <c r="O1235" s="1"/>
      <c r="P1235" s="1"/>
      <c r="Q1235" s="1"/>
      <c r="R1235" s="1"/>
      <c r="S1235" s="1"/>
      <c r="T1235" s="1"/>
    </row>
    <row r="1236" spans="1:20" ht="33.75" customHeight="1">
      <c r="A1236" s="1" t="s">
        <v>3510</v>
      </c>
      <c r="B1236" s="1" t="s">
        <v>3156</v>
      </c>
      <c r="C1236" s="4">
        <v>39883.987500000003</v>
      </c>
      <c r="D1236" s="1" t="s">
        <v>196</v>
      </c>
      <c r="E1236" s="1"/>
      <c r="F1236" s="2" t="s">
        <v>3512</v>
      </c>
      <c r="G1236" s="1">
        <f ca="1">IFERROR(__xludf.DUMMYFUNCTION("COUNTA(SPLIT(F1236,"" ""))"),43)</f>
        <v>43</v>
      </c>
      <c r="H1236" s="1">
        <v>43</v>
      </c>
      <c r="I1236" s="1"/>
      <c r="J1236" s="1"/>
      <c r="K1236" s="1"/>
      <c r="L1236" s="1"/>
      <c r="M1236" s="1"/>
      <c r="N1236" s="1"/>
      <c r="O1236" s="1"/>
      <c r="P1236" s="1"/>
      <c r="Q1236" s="1"/>
      <c r="R1236" s="1"/>
      <c r="S1236" s="1"/>
      <c r="T1236" s="1"/>
    </row>
    <row r="1237" spans="1:20" ht="33.75" hidden="1" customHeight="1">
      <c r="A1237" s="1" t="s">
        <v>3513</v>
      </c>
      <c r="B1237" s="1" t="s">
        <v>3156</v>
      </c>
      <c r="C1237" s="4">
        <v>39883.995138888888</v>
      </c>
      <c r="D1237" s="1" t="s">
        <v>320</v>
      </c>
      <c r="E1237" s="1" t="s">
        <v>3508</v>
      </c>
      <c r="F1237" s="2" t="s">
        <v>3515</v>
      </c>
      <c r="G1237" s="1">
        <f ca="1">IFERROR(__xludf.DUMMYFUNCTION("COUNTA(SPLIT(F1237,"" ""))"),379)</f>
        <v>379</v>
      </c>
      <c r="H1237" s="1">
        <v>379</v>
      </c>
      <c r="I1237" s="1"/>
      <c r="J1237" s="1"/>
      <c r="K1237" s="1"/>
      <c r="L1237" s="1"/>
      <c r="M1237" s="1"/>
      <c r="N1237" s="1"/>
      <c r="O1237" s="1"/>
      <c r="P1237" s="1"/>
      <c r="Q1237" s="1"/>
      <c r="R1237" s="1"/>
      <c r="S1237" s="1"/>
      <c r="T1237" s="1"/>
    </row>
    <row r="1238" spans="1:20" ht="33.75" hidden="1" customHeight="1">
      <c r="A1238" s="1" t="s">
        <v>3516</v>
      </c>
      <c r="B1238" s="1" t="s">
        <v>2870</v>
      </c>
      <c r="C1238" s="4">
        <v>39884.025694444441</v>
      </c>
      <c r="D1238" s="1" t="s">
        <v>1887</v>
      </c>
      <c r="E1238" s="1" t="s">
        <v>3381</v>
      </c>
      <c r="F1238" s="2" t="s">
        <v>3517</v>
      </c>
      <c r="G1238" s="1">
        <f ca="1">IFERROR(__xludf.DUMMYFUNCTION("COUNTA(SPLIT(F1238,"" ""))"),38)</f>
        <v>38</v>
      </c>
      <c r="H1238" s="1">
        <v>38</v>
      </c>
      <c r="I1238" s="1"/>
      <c r="J1238" s="1"/>
      <c r="K1238" s="1"/>
      <c r="L1238" s="1"/>
      <c r="M1238" s="1"/>
      <c r="N1238" s="1"/>
      <c r="O1238" s="1"/>
      <c r="P1238" s="1"/>
      <c r="Q1238" s="1"/>
      <c r="R1238" s="1"/>
      <c r="S1238" s="1"/>
      <c r="T1238" s="1"/>
    </row>
    <row r="1239" spans="1:20" ht="33.75" customHeight="1">
      <c r="A1239" s="1" t="s">
        <v>3518</v>
      </c>
      <c r="B1239" s="1" t="s">
        <v>3255</v>
      </c>
      <c r="C1239" s="4">
        <v>39884.027083333334</v>
      </c>
      <c r="D1239" s="1" t="s">
        <v>3485</v>
      </c>
      <c r="E1239" s="1"/>
      <c r="F1239" s="2" t="s">
        <v>3520</v>
      </c>
      <c r="G1239" s="1">
        <f ca="1">IFERROR(__xludf.DUMMYFUNCTION("COUNTA(SPLIT(F1239,"" ""))"),103)</f>
        <v>103</v>
      </c>
      <c r="H1239" s="1">
        <v>103</v>
      </c>
      <c r="I1239" s="1"/>
      <c r="J1239" s="1"/>
      <c r="K1239" s="1"/>
      <c r="L1239" s="1"/>
      <c r="M1239" s="1"/>
      <c r="N1239" s="1"/>
      <c r="O1239" s="1"/>
      <c r="P1239" s="1"/>
      <c r="Q1239" s="1"/>
      <c r="R1239" s="1"/>
      <c r="S1239" s="1"/>
      <c r="T1239" s="1"/>
    </row>
    <row r="1240" spans="1:20" ht="33.75" customHeight="1">
      <c r="A1240" s="1" t="s">
        <v>3521</v>
      </c>
      <c r="B1240" s="1" t="s">
        <v>3255</v>
      </c>
      <c r="C1240" s="4">
        <v>39884.031944444447</v>
      </c>
      <c r="D1240" s="1" t="s">
        <v>84</v>
      </c>
      <c r="E1240" s="1"/>
      <c r="F1240" s="2" t="s">
        <v>3524</v>
      </c>
      <c r="G1240" s="1">
        <f ca="1">IFERROR(__xludf.DUMMYFUNCTION("COUNTA(SPLIT(F1240,"" ""))"),44)</f>
        <v>44</v>
      </c>
      <c r="H1240" s="1">
        <v>44</v>
      </c>
      <c r="I1240" s="1"/>
      <c r="J1240" s="1"/>
      <c r="K1240" s="1"/>
      <c r="L1240" s="1"/>
      <c r="M1240" s="1"/>
      <c r="N1240" s="1"/>
      <c r="O1240" s="1"/>
      <c r="P1240" s="1"/>
      <c r="Q1240" s="1"/>
      <c r="R1240" s="1"/>
      <c r="S1240" s="1"/>
      <c r="T1240" s="1"/>
    </row>
    <row r="1241" spans="1:20" ht="33.75" hidden="1" customHeight="1">
      <c r="A1241" s="1" t="s">
        <v>3525</v>
      </c>
      <c r="B1241" s="1" t="s">
        <v>3255</v>
      </c>
      <c r="C1241" s="4">
        <v>39884.040277777778</v>
      </c>
      <c r="D1241" s="1" t="s">
        <v>3280</v>
      </c>
      <c r="E1241" s="1" t="s">
        <v>3476</v>
      </c>
      <c r="F1241" s="2" t="s">
        <v>3526</v>
      </c>
      <c r="G1241" s="1">
        <f ca="1">IFERROR(__xludf.DUMMYFUNCTION("COUNTA(SPLIT(F1241,"" ""))"),31)</f>
        <v>31</v>
      </c>
      <c r="H1241" s="1">
        <v>31</v>
      </c>
      <c r="I1241" s="1"/>
      <c r="J1241" s="1"/>
      <c r="K1241" s="1"/>
      <c r="L1241" s="1"/>
      <c r="M1241" s="1"/>
      <c r="N1241" s="1"/>
      <c r="O1241" s="1"/>
      <c r="P1241" s="1"/>
      <c r="Q1241" s="1"/>
      <c r="R1241" s="1"/>
      <c r="S1241" s="1"/>
      <c r="T1241" s="1"/>
    </row>
    <row r="1242" spans="1:20" ht="33.75" hidden="1" customHeight="1">
      <c r="A1242" s="1" t="s">
        <v>3527</v>
      </c>
      <c r="B1242" s="1" t="s">
        <v>3255</v>
      </c>
      <c r="C1242" s="4">
        <v>39884.061805555553</v>
      </c>
      <c r="D1242" s="1" t="s">
        <v>14</v>
      </c>
      <c r="E1242" s="1" t="s">
        <v>3525</v>
      </c>
      <c r="F1242" s="2" t="s">
        <v>3528</v>
      </c>
      <c r="G1242" s="1">
        <f ca="1">IFERROR(__xludf.DUMMYFUNCTION("COUNTA(SPLIT(F1242,"" ""))"),19)</f>
        <v>19</v>
      </c>
      <c r="H1242" s="1">
        <v>19</v>
      </c>
      <c r="I1242" s="1"/>
      <c r="J1242" s="1"/>
      <c r="K1242" s="1"/>
      <c r="L1242" s="1"/>
      <c r="M1242" s="1"/>
      <c r="N1242" s="1"/>
      <c r="O1242" s="1"/>
      <c r="P1242" s="1"/>
      <c r="Q1242" s="1"/>
      <c r="R1242" s="1"/>
      <c r="S1242" s="1"/>
      <c r="T1242" s="1"/>
    </row>
    <row r="1243" spans="1:20" ht="33.75" customHeight="1">
      <c r="A1243" s="1" t="s">
        <v>3529</v>
      </c>
      <c r="B1243" s="1" t="s">
        <v>3156</v>
      </c>
      <c r="C1243" s="4">
        <v>39884.066666666666</v>
      </c>
      <c r="D1243" s="1" t="s">
        <v>14</v>
      </c>
      <c r="E1243" s="1"/>
      <c r="F1243" s="2" t="s">
        <v>3531</v>
      </c>
      <c r="G1243" s="1">
        <f ca="1">IFERROR(__xludf.DUMMYFUNCTION("COUNTA(SPLIT(F1243,"" ""))"),95)</f>
        <v>95</v>
      </c>
      <c r="H1243" s="1">
        <v>95</v>
      </c>
      <c r="I1243" s="1"/>
      <c r="J1243" s="1"/>
      <c r="K1243" s="1"/>
      <c r="L1243" s="1"/>
      <c r="M1243" s="1"/>
      <c r="N1243" s="1"/>
      <c r="O1243" s="1"/>
      <c r="P1243" s="1"/>
      <c r="Q1243" s="1"/>
      <c r="R1243" s="1"/>
      <c r="S1243" s="1"/>
      <c r="T1243" s="1"/>
    </row>
    <row r="1244" spans="1:20" ht="33.75" hidden="1" customHeight="1">
      <c r="A1244" s="1" t="s">
        <v>3532</v>
      </c>
      <c r="B1244" s="1" t="s">
        <v>3255</v>
      </c>
      <c r="C1244" s="4">
        <v>39884.213888888888</v>
      </c>
      <c r="D1244" s="1" t="s">
        <v>3533</v>
      </c>
      <c r="E1244" s="1" t="s">
        <v>3476</v>
      </c>
      <c r="F1244" s="2" t="s">
        <v>3534</v>
      </c>
      <c r="G1244" s="1">
        <f ca="1">IFERROR(__xludf.DUMMYFUNCTION("COUNTA(SPLIT(F1244,"" ""))"),16)</f>
        <v>16</v>
      </c>
      <c r="H1244" s="1">
        <v>16</v>
      </c>
      <c r="I1244" s="1"/>
      <c r="J1244" s="1"/>
      <c r="K1244" s="1"/>
      <c r="L1244" s="1"/>
      <c r="M1244" s="1"/>
      <c r="N1244" s="1"/>
      <c r="O1244" s="1"/>
      <c r="P1244" s="1"/>
      <c r="Q1244" s="1"/>
      <c r="R1244" s="1"/>
      <c r="S1244" s="1"/>
      <c r="T1244" s="1"/>
    </row>
    <row r="1245" spans="1:20" ht="33.75" customHeight="1">
      <c r="A1245" s="1" t="s">
        <v>3535</v>
      </c>
      <c r="B1245" s="1" t="s">
        <v>3255</v>
      </c>
      <c r="C1245" s="4">
        <v>39884.222222222219</v>
      </c>
      <c r="D1245" s="1" t="s">
        <v>320</v>
      </c>
      <c r="E1245" s="1"/>
      <c r="F1245" s="2" t="s">
        <v>3536</v>
      </c>
      <c r="G1245" s="1">
        <f ca="1">IFERROR(__xludf.DUMMYFUNCTION("COUNTA(SPLIT(F1245,"" ""))"),4)</f>
        <v>4</v>
      </c>
      <c r="H1245" s="1">
        <v>4</v>
      </c>
      <c r="I1245" s="1"/>
      <c r="J1245" s="1"/>
      <c r="K1245" s="1"/>
      <c r="L1245" s="1"/>
      <c r="M1245" s="1"/>
      <c r="N1245" s="1"/>
      <c r="O1245" s="1"/>
      <c r="P1245" s="1"/>
      <c r="Q1245" s="1"/>
      <c r="R1245" s="1"/>
      <c r="S1245" s="1"/>
      <c r="T1245" s="1"/>
    </row>
    <row r="1246" spans="1:20" ht="33.75" hidden="1" customHeight="1">
      <c r="A1246" s="1" t="s">
        <v>3537</v>
      </c>
      <c r="B1246" s="1" t="s">
        <v>2870</v>
      </c>
      <c r="C1246" s="4">
        <v>39884.242361111108</v>
      </c>
      <c r="D1246" s="1" t="s">
        <v>84</v>
      </c>
      <c r="E1246" s="1" t="s">
        <v>3538</v>
      </c>
      <c r="F1246" s="2" t="s">
        <v>3539</v>
      </c>
      <c r="G1246" s="1">
        <f ca="1">IFERROR(__xludf.DUMMYFUNCTION("COUNTA(SPLIT(F1246,"" ""))"),38)</f>
        <v>38</v>
      </c>
      <c r="H1246" s="1">
        <v>38</v>
      </c>
      <c r="I1246" s="1"/>
      <c r="J1246" s="1"/>
      <c r="K1246" s="1"/>
      <c r="L1246" s="1"/>
      <c r="M1246" s="1"/>
      <c r="N1246" s="1"/>
      <c r="O1246" s="1"/>
      <c r="P1246" s="1"/>
      <c r="Q1246" s="1"/>
      <c r="R1246" s="1"/>
      <c r="S1246" s="1"/>
      <c r="T1246" s="1"/>
    </row>
    <row r="1247" spans="1:20" ht="33.75" hidden="1" customHeight="1">
      <c r="A1247" s="1" t="s">
        <v>3540</v>
      </c>
      <c r="B1247" s="1" t="s">
        <v>3156</v>
      </c>
      <c r="C1247" s="4">
        <v>39884.25</v>
      </c>
      <c r="D1247" s="1" t="s">
        <v>320</v>
      </c>
      <c r="E1247" s="1" t="s">
        <v>3508</v>
      </c>
      <c r="F1247" s="2" t="s">
        <v>3541</v>
      </c>
      <c r="G1247" s="1">
        <f ca="1">IFERROR(__xludf.DUMMYFUNCTION("COUNTA(SPLIT(F1247,"" ""))"),14)</f>
        <v>14</v>
      </c>
      <c r="H1247" s="1">
        <v>14</v>
      </c>
      <c r="I1247" s="1"/>
      <c r="J1247" s="1"/>
      <c r="K1247" s="1"/>
      <c r="L1247" s="1"/>
      <c r="M1247" s="1"/>
      <c r="N1247" s="1"/>
      <c r="O1247" s="1"/>
      <c r="P1247" s="1"/>
      <c r="Q1247" s="1"/>
      <c r="R1247" s="1"/>
      <c r="S1247" s="1"/>
      <c r="T1247" s="1"/>
    </row>
    <row r="1248" spans="1:20" ht="33.75" customHeight="1">
      <c r="A1248" s="1" t="s">
        <v>3542</v>
      </c>
      <c r="B1248" s="1" t="s">
        <v>3156</v>
      </c>
      <c r="C1248" s="4">
        <v>39884.270138888889</v>
      </c>
      <c r="D1248" s="1" t="s">
        <v>320</v>
      </c>
      <c r="E1248" s="1"/>
      <c r="F1248" s="2" t="s">
        <v>3544</v>
      </c>
      <c r="G1248" s="1">
        <f ca="1">IFERROR(__xludf.DUMMYFUNCTION("COUNTA(SPLIT(F1248,"" ""))"),207)</f>
        <v>207</v>
      </c>
      <c r="H1248" s="1">
        <v>207</v>
      </c>
      <c r="I1248" s="1"/>
      <c r="J1248" s="1"/>
      <c r="K1248" s="1"/>
      <c r="L1248" s="1"/>
      <c r="M1248" s="1"/>
      <c r="N1248" s="1"/>
      <c r="O1248" s="1"/>
      <c r="P1248" s="1"/>
      <c r="Q1248" s="1"/>
      <c r="R1248" s="1"/>
      <c r="S1248" s="1"/>
      <c r="T1248" s="1"/>
    </row>
    <row r="1249" spans="1:20" ht="33.75" hidden="1" customHeight="1">
      <c r="A1249" s="1" t="s">
        <v>3545</v>
      </c>
      <c r="B1249" s="1" t="s">
        <v>3156</v>
      </c>
      <c r="C1249" s="4">
        <v>39884.270833333336</v>
      </c>
      <c r="D1249" s="1" t="s">
        <v>320</v>
      </c>
      <c r="E1249" s="1" t="s">
        <v>3542</v>
      </c>
      <c r="F1249" s="2" t="s">
        <v>3546</v>
      </c>
      <c r="G1249" s="1">
        <f ca="1">IFERROR(__xludf.DUMMYFUNCTION("COUNTA(SPLIT(F1249,"" ""))"),11)</f>
        <v>11</v>
      </c>
      <c r="H1249" s="1">
        <v>11</v>
      </c>
      <c r="I1249" s="1"/>
      <c r="J1249" s="1"/>
      <c r="K1249" s="1"/>
      <c r="L1249" s="1"/>
      <c r="M1249" s="1"/>
      <c r="N1249" s="1"/>
      <c r="O1249" s="1"/>
      <c r="P1249" s="1"/>
      <c r="Q1249" s="1"/>
      <c r="R1249" s="1"/>
      <c r="S1249" s="1"/>
      <c r="T1249" s="1"/>
    </row>
    <row r="1250" spans="1:20" ht="33.75" hidden="1" customHeight="1">
      <c r="A1250" s="1" t="s">
        <v>3547</v>
      </c>
      <c r="B1250" s="1" t="s">
        <v>3156</v>
      </c>
      <c r="C1250" s="4">
        <v>39884.300694444442</v>
      </c>
      <c r="D1250" s="1" t="s">
        <v>320</v>
      </c>
      <c r="E1250" s="1" t="s">
        <v>3542</v>
      </c>
      <c r="F1250" s="2" t="s">
        <v>3549</v>
      </c>
      <c r="G1250" s="1">
        <f ca="1">IFERROR(__xludf.DUMMYFUNCTION("COUNTA(SPLIT(F1250,"" ""))"),52)</f>
        <v>52</v>
      </c>
      <c r="H1250" s="1">
        <v>52</v>
      </c>
      <c r="I1250" s="1"/>
      <c r="J1250" s="1"/>
      <c r="K1250" s="1"/>
      <c r="L1250" s="1"/>
      <c r="M1250" s="1"/>
      <c r="N1250" s="1"/>
      <c r="O1250" s="1"/>
      <c r="P1250" s="1"/>
      <c r="Q1250" s="1"/>
      <c r="R1250" s="1"/>
      <c r="S1250" s="1"/>
      <c r="T1250" s="1"/>
    </row>
    <row r="1251" spans="1:20" ht="33.75" hidden="1" customHeight="1">
      <c r="A1251" s="1" t="s">
        <v>3550</v>
      </c>
      <c r="B1251" s="1" t="s">
        <v>3255</v>
      </c>
      <c r="C1251" s="4">
        <v>39884.347916666666</v>
      </c>
      <c r="D1251" s="1" t="s">
        <v>3551</v>
      </c>
      <c r="E1251" s="1" t="s">
        <v>3527</v>
      </c>
      <c r="F1251" s="2" t="s">
        <v>3553</v>
      </c>
      <c r="G1251" s="1">
        <f ca="1">IFERROR(__xludf.DUMMYFUNCTION("COUNTA(SPLIT(F1251,"" ""))"),77)</f>
        <v>77</v>
      </c>
      <c r="H1251" s="1">
        <v>77</v>
      </c>
      <c r="I1251" s="1"/>
      <c r="J1251" s="1"/>
      <c r="K1251" s="1"/>
      <c r="L1251" s="1"/>
      <c r="M1251" s="1"/>
      <c r="N1251" s="1"/>
      <c r="O1251" s="1"/>
      <c r="P1251" s="1"/>
      <c r="Q1251" s="1"/>
      <c r="R1251" s="1"/>
      <c r="S1251" s="1"/>
      <c r="T1251" s="1"/>
    </row>
    <row r="1252" spans="1:20" ht="33.75" customHeight="1">
      <c r="A1252" s="1" t="s">
        <v>3554</v>
      </c>
      <c r="B1252" s="1" t="s">
        <v>2870</v>
      </c>
      <c r="C1252" s="4">
        <v>39884.373611111114</v>
      </c>
      <c r="D1252" s="1" t="s">
        <v>54</v>
      </c>
      <c r="E1252" s="1"/>
      <c r="F1252" s="2" t="s">
        <v>3557</v>
      </c>
      <c r="G1252" s="1">
        <f ca="1">IFERROR(__xludf.DUMMYFUNCTION("COUNTA(SPLIT(F1252,"" ""))"),164)</f>
        <v>164</v>
      </c>
      <c r="H1252" s="1">
        <v>164</v>
      </c>
      <c r="I1252" s="1"/>
      <c r="J1252" s="1"/>
      <c r="K1252" s="1"/>
      <c r="L1252" s="1"/>
      <c r="M1252" s="1"/>
      <c r="N1252" s="1"/>
      <c r="O1252" s="1"/>
      <c r="P1252" s="1"/>
      <c r="Q1252" s="1"/>
      <c r="R1252" s="1"/>
      <c r="S1252" s="1"/>
      <c r="T1252" s="1"/>
    </row>
    <row r="1253" spans="1:20" ht="33.75" customHeight="1">
      <c r="A1253" s="1" t="s">
        <v>3558</v>
      </c>
      <c r="B1253" s="1" t="s">
        <v>3255</v>
      </c>
      <c r="C1253" s="4">
        <v>39884.375</v>
      </c>
      <c r="D1253" s="1" t="s">
        <v>830</v>
      </c>
      <c r="E1253" s="1"/>
      <c r="F1253" s="2" t="s">
        <v>3560</v>
      </c>
      <c r="G1253" s="1">
        <f ca="1">IFERROR(__xludf.DUMMYFUNCTION("COUNTA(SPLIT(F1253,"" ""))"),113)</f>
        <v>113</v>
      </c>
      <c r="H1253" s="1">
        <v>113</v>
      </c>
      <c r="I1253" s="1"/>
      <c r="J1253" s="1"/>
      <c r="K1253" s="1"/>
      <c r="L1253" s="1"/>
      <c r="M1253" s="1"/>
      <c r="N1253" s="1"/>
      <c r="O1253" s="1"/>
      <c r="P1253" s="1"/>
      <c r="Q1253" s="1"/>
      <c r="R1253" s="1"/>
      <c r="S1253" s="1"/>
      <c r="T1253" s="1"/>
    </row>
    <row r="1254" spans="1:20" ht="33.75" customHeight="1">
      <c r="A1254" s="1" t="s">
        <v>3561</v>
      </c>
      <c r="B1254" s="1" t="s">
        <v>3156</v>
      </c>
      <c r="C1254" s="4">
        <v>39884.431250000001</v>
      </c>
      <c r="D1254" s="1" t="s">
        <v>14</v>
      </c>
      <c r="E1254" s="1"/>
      <c r="F1254" s="2" t="s">
        <v>3563</v>
      </c>
      <c r="G1254" s="1">
        <f ca="1">IFERROR(__xludf.DUMMYFUNCTION("COUNTA(SPLIT(F1254,"" ""))"),471)</f>
        <v>471</v>
      </c>
      <c r="H1254" s="1">
        <v>471</v>
      </c>
      <c r="I1254" s="1"/>
      <c r="J1254" s="1"/>
      <c r="K1254" s="1"/>
      <c r="L1254" s="1"/>
      <c r="M1254" s="1"/>
      <c r="N1254" s="1"/>
      <c r="O1254" s="1"/>
      <c r="P1254" s="1"/>
      <c r="Q1254" s="1"/>
      <c r="R1254" s="1"/>
      <c r="S1254" s="1"/>
      <c r="T1254" s="1"/>
    </row>
    <row r="1255" spans="1:20" ht="33.75" customHeight="1">
      <c r="A1255" s="1" t="s">
        <v>3564</v>
      </c>
      <c r="B1255" s="1" t="s">
        <v>2870</v>
      </c>
      <c r="C1255" s="4">
        <v>39884.436805555553</v>
      </c>
      <c r="D1255" s="1" t="s">
        <v>84</v>
      </c>
      <c r="E1255" s="1"/>
      <c r="F1255" s="2" t="s">
        <v>3567</v>
      </c>
      <c r="G1255" s="1">
        <f ca="1">IFERROR(__xludf.DUMMYFUNCTION("COUNTA(SPLIT(F1255,"" ""))"),36)</f>
        <v>36</v>
      </c>
      <c r="H1255" s="1">
        <v>36</v>
      </c>
      <c r="I1255" s="1"/>
      <c r="J1255" s="1"/>
      <c r="K1255" s="1"/>
      <c r="L1255" s="1"/>
      <c r="M1255" s="1"/>
      <c r="N1255" s="1"/>
      <c r="O1255" s="1"/>
      <c r="P1255" s="1"/>
      <c r="Q1255" s="1"/>
      <c r="R1255" s="1"/>
      <c r="S1255" s="1"/>
      <c r="T1255" s="1"/>
    </row>
    <row r="1256" spans="1:20" ht="33.75" customHeight="1">
      <c r="A1256" s="1" t="s">
        <v>3568</v>
      </c>
      <c r="B1256" s="1" t="s">
        <v>2870</v>
      </c>
      <c r="C1256" s="4">
        <v>39884.461805555555</v>
      </c>
      <c r="D1256" s="1" t="s">
        <v>772</v>
      </c>
      <c r="E1256" s="1"/>
      <c r="F1256" s="2" t="s">
        <v>3569</v>
      </c>
      <c r="G1256" s="1">
        <f ca="1">IFERROR(__xludf.DUMMYFUNCTION("COUNTA(SPLIT(F1256,"" ""))"),236)</f>
        <v>236</v>
      </c>
      <c r="H1256" s="1">
        <v>236</v>
      </c>
      <c r="I1256" s="1"/>
      <c r="J1256" s="1"/>
      <c r="K1256" s="1"/>
      <c r="L1256" s="1"/>
      <c r="M1256" s="1"/>
      <c r="N1256" s="1"/>
      <c r="O1256" s="1"/>
      <c r="P1256" s="1"/>
      <c r="Q1256" s="1"/>
      <c r="R1256" s="1"/>
      <c r="S1256" s="1"/>
      <c r="T1256" s="1"/>
    </row>
    <row r="1257" spans="1:20" ht="33.75" customHeight="1">
      <c r="A1257" s="1" t="s">
        <v>3570</v>
      </c>
      <c r="B1257" s="1" t="s">
        <v>2870</v>
      </c>
      <c r="C1257" s="4">
        <v>39884.466666666667</v>
      </c>
      <c r="D1257" s="1" t="s">
        <v>1887</v>
      </c>
      <c r="E1257" s="1"/>
      <c r="F1257" s="2" t="s">
        <v>3571</v>
      </c>
      <c r="G1257" s="1">
        <f ca="1">IFERROR(__xludf.DUMMYFUNCTION("COUNTA(SPLIT(F1257,"" ""))"),135)</f>
        <v>135</v>
      </c>
      <c r="H1257" s="1">
        <v>135</v>
      </c>
      <c r="I1257" s="1"/>
      <c r="J1257" s="1"/>
      <c r="K1257" s="1"/>
      <c r="L1257" s="1"/>
      <c r="M1257" s="1"/>
      <c r="N1257" s="1"/>
      <c r="O1257" s="1"/>
      <c r="P1257" s="1"/>
      <c r="Q1257" s="1"/>
      <c r="R1257" s="1"/>
      <c r="S1257" s="1"/>
      <c r="T1257" s="1"/>
    </row>
    <row r="1258" spans="1:20" ht="33.75" customHeight="1">
      <c r="A1258" s="1" t="s">
        <v>3572</v>
      </c>
      <c r="B1258" s="1" t="s">
        <v>3255</v>
      </c>
      <c r="C1258" s="4">
        <v>39884.492361111108</v>
      </c>
      <c r="D1258" s="1" t="s">
        <v>14</v>
      </c>
      <c r="E1258" s="1"/>
      <c r="F1258" s="2" t="s">
        <v>3574</v>
      </c>
      <c r="G1258" s="1">
        <f ca="1">IFERROR(__xludf.DUMMYFUNCTION("COUNTA(SPLIT(F1258,"" ""))"),528)</f>
        <v>528</v>
      </c>
      <c r="H1258" s="1">
        <v>528</v>
      </c>
      <c r="I1258" s="1"/>
      <c r="J1258" s="1"/>
      <c r="K1258" s="1"/>
      <c r="L1258" s="1"/>
      <c r="M1258" s="1"/>
      <c r="N1258" s="1"/>
      <c r="O1258" s="1"/>
      <c r="P1258" s="1"/>
      <c r="Q1258" s="1"/>
      <c r="R1258" s="1"/>
      <c r="S1258" s="1"/>
      <c r="T1258" s="1"/>
    </row>
    <row r="1259" spans="1:20" ht="33.75" customHeight="1">
      <c r="A1259" s="1" t="s">
        <v>3575</v>
      </c>
      <c r="B1259" s="1" t="s">
        <v>3255</v>
      </c>
      <c r="C1259" s="4">
        <v>39884.542361111111</v>
      </c>
      <c r="D1259" s="1" t="s">
        <v>3576</v>
      </c>
      <c r="E1259" s="1"/>
      <c r="F1259" s="2" t="s">
        <v>3578</v>
      </c>
      <c r="G1259" s="1">
        <f ca="1">IFERROR(__xludf.DUMMYFUNCTION("COUNTA(SPLIT(F1259,"" ""))"),871)</f>
        <v>871</v>
      </c>
      <c r="H1259" s="1">
        <v>871</v>
      </c>
      <c r="I1259" s="1"/>
      <c r="J1259" s="1"/>
      <c r="K1259" s="1"/>
      <c r="L1259" s="1"/>
      <c r="M1259" s="1"/>
      <c r="N1259" s="1"/>
      <c r="O1259" s="1"/>
      <c r="P1259" s="1"/>
      <c r="Q1259" s="1"/>
      <c r="R1259" s="1"/>
      <c r="S1259" s="1"/>
      <c r="T1259" s="1"/>
    </row>
    <row r="1260" spans="1:20" ht="33.75" hidden="1" customHeight="1">
      <c r="A1260" s="1" t="s">
        <v>3579</v>
      </c>
      <c r="B1260" s="1" t="s">
        <v>3255</v>
      </c>
      <c r="C1260" s="4">
        <v>39884.574999999997</v>
      </c>
      <c r="D1260" s="1" t="s">
        <v>14</v>
      </c>
      <c r="E1260" s="1" t="s">
        <v>3575</v>
      </c>
      <c r="F1260" s="2" t="s">
        <v>3580</v>
      </c>
      <c r="G1260" s="1">
        <f ca="1">IFERROR(__xludf.DUMMYFUNCTION("COUNTA(SPLIT(F1260,"" ""))"),42)</f>
        <v>42</v>
      </c>
      <c r="H1260" s="1">
        <v>42</v>
      </c>
      <c r="I1260" s="1"/>
      <c r="J1260" s="1"/>
      <c r="K1260" s="1"/>
      <c r="L1260" s="1"/>
      <c r="M1260" s="1"/>
      <c r="N1260" s="1"/>
      <c r="O1260" s="1"/>
      <c r="P1260" s="1"/>
      <c r="Q1260" s="1"/>
      <c r="R1260" s="1"/>
      <c r="S1260" s="1"/>
      <c r="T1260" s="1"/>
    </row>
    <row r="1261" spans="1:20" ht="33.75" customHeight="1">
      <c r="A1261" s="1" t="s">
        <v>3581</v>
      </c>
      <c r="B1261" s="1" t="s">
        <v>3255</v>
      </c>
      <c r="C1261" s="4">
        <v>39884.640972222223</v>
      </c>
      <c r="D1261" s="1" t="s">
        <v>3582</v>
      </c>
      <c r="E1261" s="1"/>
      <c r="F1261" s="2" t="s">
        <v>3584</v>
      </c>
      <c r="G1261" s="1">
        <f ca="1">IFERROR(__xludf.DUMMYFUNCTION("COUNTA(SPLIT(F1261,"" ""))"),158)</f>
        <v>158</v>
      </c>
      <c r="H1261" s="1">
        <v>158</v>
      </c>
      <c r="I1261" s="1"/>
      <c r="J1261" s="1"/>
      <c r="K1261" s="1"/>
      <c r="L1261" s="1"/>
      <c r="M1261" s="1"/>
      <c r="N1261" s="1"/>
      <c r="O1261" s="1"/>
      <c r="P1261" s="1"/>
      <c r="Q1261" s="1"/>
      <c r="R1261" s="1"/>
      <c r="S1261" s="1"/>
      <c r="T1261" s="1"/>
    </row>
    <row r="1262" spans="1:20" ht="33.75" customHeight="1">
      <c r="A1262" s="1" t="s">
        <v>3585</v>
      </c>
      <c r="B1262" s="1" t="s">
        <v>3255</v>
      </c>
      <c r="C1262" s="4">
        <v>39884.660416666666</v>
      </c>
      <c r="D1262" s="1" t="s">
        <v>84</v>
      </c>
      <c r="E1262" s="1"/>
      <c r="F1262" s="2" t="s">
        <v>3587</v>
      </c>
      <c r="G1262" s="1">
        <f ca="1">IFERROR(__xludf.DUMMYFUNCTION("COUNTA(SPLIT(F1262,"" ""))"),140)</f>
        <v>140</v>
      </c>
      <c r="H1262" s="1">
        <v>140</v>
      </c>
      <c r="I1262" s="1"/>
      <c r="J1262" s="1"/>
      <c r="K1262" s="1"/>
      <c r="L1262" s="1"/>
      <c r="M1262" s="1"/>
      <c r="N1262" s="1"/>
      <c r="O1262" s="1"/>
      <c r="P1262" s="1"/>
      <c r="Q1262" s="1"/>
      <c r="R1262" s="1"/>
      <c r="S1262" s="1"/>
      <c r="T1262" s="1"/>
    </row>
    <row r="1263" spans="1:20" ht="33.75" customHeight="1">
      <c r="A1263" s="1" t="s">
        <v>3588</v>
      </c>
      <c r="B1263" s="1" t="s">
        <v>3156</v>
      </c>
      <c r="C1263" s="4">
        <v>39884.698611111111</v>
      </c>
      <c r="D1263" s="1" t="s">
        <v>320</v>
      </c>
      <c r="E1263" s="1"/>
      <c r="F1263" s="2" t="s">
        <v>3591</v>
      </c>
      <c r="G1263" s="1">
        <f ca="1">IFERROR(__xludf.DUMMYFUNCTION("COUNTA(SPLIT(F1263,"" ""))"),401)</f>
        <v>401</v>
      </c>
      <c r="H1263" s="1">
        <v>401</v>
      </c>
      <c r="I1263" s="1"/>
      <c r="J1263" s="1"/>
      <c r="K1263" s="1"/>
      <c r="L1263" s="1"/>
      <c r="M1263" s="1"/>
      <c r="N1263" s="1"/>
      <c r="O1263" s="1"/>
      <c r="P1263" s="1"/>
      <c r="Q1263" s="1"/>
      <c r="R1263" s="1"/>
      <c r="S1263" s="1"/>
      <c r="T1263" s="1"/>
    </row>
    <row r="1264" spans="1:20" ht="33.75" hidden="1" customHeight="1">
      <c r="A1264" s="1" t="s">
        <v>3592</v>
      </c>
      <c r="B1264" s="1" t="s">
        <v>3255</v>
      </c>
      <c r="C1264" s="4">
        <v>39884.699305555558</v>
      </c>
      <c r="D1264" s="1" t="s">
        <v>14</v>
      </c>
      <c r="E1264" s="1" t="s">
        <v>3585</v>
      </c>
      <c r="F1264" s="2" t="s">
        <v>3594</v>
      </c>
      <c r="G1264" s="1">
        <f ca="1">IFERROR(__xludf.DUMMYFUNCTION("COUNTA(SPLIT(F1264,"" ""))"),221)</f>
        <v>221</v>
      </c>
      <c r="H1264" s="1">
        <v>221</v>
      </c>
      <c r="I1264" s="1"/>
      <c r="J1264" s="1"/>
      <c r="K1264" s="1"/>
      <c r="L1264" s="1"/>
      <c r="M1264" s="1"/>
      <c r="N1264" s="1"/>
      <c r="O1264" s="1"/>
      <c r="P1264" s="1"/>
      <c r="Q1264" s="1"/>
      <c r="R1264" s="1"/>
      <c r="S1264" s="1"/>
      <c r="T1264" s="1"/>
    </row>
    <row r="1265" spans="1:20" ht="33.75" hidden="1" customHeight="1">
      <c r="A1265" s="1" t="s">
        <v>3595</v>
      </c>
      <c r="B1265" s="1" t="s">
        <v>3156</v>
      </c>
      <c r="C1265" s="4">
        <v>39884.70208333333</v>
      </c>
      <c r="D1265" s="1" t="s">
        <v>320</v>
      </c>
      <c r="E1265" s="1" t="s">
        <v>3588</v>
      </c>
      <c r="F1265" s="2" t="s">
        <v>3596</v>
      </c>
      <c r="G1265" s="1">
        <f ca="1">IFERROR(__xludf.DUMMYFUNCTION("COUNTA(SPLIT(F1265,"" ""))"),89)</f>
        <v>89</v>
      </c>
      <c r="H1265" s="1">
        <v>89</v>
      </c>
      <c r="I1265" s="1"/>
      <c r="J1265" s="1"/>
      <c r="K1265" s="1"/>
      <c r="L1265" s="1"/>
      <c r="M1265" s="1"/>
      <c r="N1265" s="1"/>
      <c r="O1265" s="1"/>
      <c r="P1265" s="1"/>
      <c r="Q1265" s="1"/>
      <c r="R1265" s="1"/>
      <c r="S1265" s="1"/>
      <c r="T1265" s="1"/>
    </row>
    <row r="1266" spans="1:20" ht="33.75" customHeight="1">
      <c r="A1266" s="1" t="s">
        <v>3597</v>
      </c>
      <c r="B1266" s="1" t="s">
        <v>3255</v>
      </c>
      <c r="C1266" s="4">
        <v>39884.71597222222</v>
      </c>
      <c r="D1266" s="1" t="s">
        <v>320</v>
      </c>
      <c r="E1266" s="1"/>
      <c r="F1266" s="2" t="s">
        <v>3599</v>
      </c>
      <c r="G1266" s="1">
        <f ca="1">IFERROR(__xludf.DUMMYFUNCTION("COUNTA(SPLIT(F1266,"" ""))"),18)</f>
        <v>18</v>
      </c>
      <c r="H1266" s="1">
        <v>18</v>
      </c>
      <c r="I1266" s="1"/>
      <c r="J1266" s="1"/>
      <c r="K1266" s="1"/>
      <c r="L1266" s="1"/>
      <c r="M1266" s="1"/>
      <c r="N1266" s="1"/>
      <c r="O1266" s="1"/>
      <c r="P1266" s="1"/>
      <c r="Q1266" s="1"/>
      <c r="R1266" s="1"/>
      <c r="S1266" s="1"/>
      <c r="T1266" s="1"/>
    </row>
    <row r="1267" spans="1:20" ht="33.75" customHeight="1">
      <c r="A1267" s="1" t="s">
        <v>3600</v>
      </c>
      <c r="B1267" s="1" t="s">
        <v>3255</v>
      </c>
      <c r="C1267" s="4">
        <v>39884.738194444442</v>
      </c>
      <c r="D1267" s="1" t="s">
        <v>3321</v>
      </c>
      <c r="E1267" s="1"/>
      <c r="F1267" s="2" t="s">
        <v>3602</v>
      </c>
      <c r="G1267" s="1">
        <f ca="1">IFERROR(__xludf.DUMMYFUNCTION("COUNTA(SPLIT(F1267,"" ""))"),118)</f>
        <v>118</v>
      </c>
      <c r="H1267" s="1">
        <v>118</v>
      </c>
      <c r="I1267" s="1"/>
      <c r="J1267" s="1"/>
      <c r="K1267" s="1"/>
      <c r="L1267" s="1"/>
      <c r="M1267" s="1"/>
      <c r="N1267" s="1"/>
      <c r="O1267" s="1"/>
      <c r="P1267" s="1"/>
      <c r="Q1267" s="1"/>
      <c r="R1267" s="1"/>
      <c r="S1267" s="1"/>
      <c r="T1267" s="1"/>
    </row>
    <row r="1268" spans="1:20" ht="33.75" customHeight="1">
      <c r="A1268" s="1" t="s">
        <v>3603</v>
      </c>
      <c r="B1268" s="1" t="s">
        <v>3255</v>
      </c>
      <c r="C1268" s="4">
        <v>39884.747916666667</v>
      </c>
      <c r="D1268" s="1" t="s">
        <v>14</v>
      </c>
      <c r="E1268" s="1"/>
      <c r="F1268" s="2" t="s">
        <v>3605</v>
      </c>
      <c r="G1268" s="1">
        <f ca="1">IFERROR(__xludf.DUMMYFUNCTION("COUNTA(SPLIT(F1268,"" ""))"),61)</f>
        <v>61</v>
      </c>
      <c r="H1268" s="1">
        <v>61</v>
      </c>
      <c r="I1268" s="1"/>
      <c r="J1268" s="1"/>
      <c r="K1268" s="1"/>
      <c r="L1268" s="1"/>
      <c r="M1268" s="1"/>
      <c r="N1268" s="1"/>
      <c r="O1268" s="1"/>
      <c r="P1268" s="1"/>
      <c r="Q1268" s="1"/>
      <c r="R1268" s="1"/>
      <c r="S1268" s="1"/>
      <c r="T1268" s="1"/>
    </row>
    <row r="1269" spans="1:20" ht="33.75" customHeight="1">
      <c r="A1269" s="1" t="s">
        <v>3606</v>
      </c>
      <c r="B1269" s="1" t="s">
        <v>3255</v>
      </c>
      <c r="C1269" s="4">
        <v>39884.753472222219</v>
      </c>
      <c r="D1269" s="1" t="s">
        <v>84</v>
      </c>
      <c r="E1269" s="1"/>
      <c r="F1269" s="2" t="s">
        <v>3608</v>
      </c>
      <c r="G1269" s="1">
        <f ca="1">IFERROR(__xludf.DUMMYFUNCTION("COUNTA(SPLIT(F1269,"" ""))"),130)</f>
        <v>130</v>
      </c>
      <c r="H1269" s="1">
        <v>130</v>
      </c>
      <c r="I1269" s="1"/>
      <c r="J1269" s="1"/>
      <c r="K1269" s="1"/>
      <c r="L1269" s="1"/>
      <c r="M1269" s="1"/>
      <c r="N1269" s="1"/>
      <c r="O1269" s="1"/>
      <c r="P1269" s="1"/>
      <c r="Q1269" s="1"/>
      <c r="R1269" s="1"/>
      <c r="S1269" s="1"/>
      <c r="T1269" s="1"/>
    </row>
    <row r="1270" spans="1:20" ht="33.75" customHeight="1">
      <c r="A1270" s="1" t="s">
        <v>3609</v>
      </c>
      <c r="B1270" s="1" t="s">
        <v>3255</v>
      </c>
      <c r="C1270" s="4">
        <v>39884.756249999999</v>
      </c>
      <c r="D1270" s="1" t="s">
        <v>3610</v>
      </c>
      <c r="E1270" s="1"/>
      <c r="F1270" s="2" t="s">
        <v>3612</v>
      </c>
      <c r="G1270" s="1">
        <f ca="1">IFERROR(__xludf.DUMMYFUNCTION("COUNTA(SPLIT(F1270,"" ""))"),177)</f>
        <v>177</v>
      </c>
      <c r="H1270" s="1">
        <v>177</v>
      </c>
      <c r="I1270" s="1"/>
      <c r="J1270" s="1"/>
      <c r="K1270" s="1"/>
      <c r="L1270" s="1"/>
      <c r="M1270" s="1"/>
      <c r="N1270" s="1"/>
      <c r="O1270" s="1"/>
      <c r="P1270" s="1"/>
      <c r="Q1270" s="1"/>
      <c r="R1270" s="1"/>
      <c r="S1270" s="1"/>
      <c r="T1270" s="1"/>
    </row>
    <row r="1271" spans="1:20" ht="33.75" customHeight="1">
      <c r="A1271" s="1" t="s">
        <v>3613</v>
      </c>
      <c r="B1271" s="1" t="s">
        <v>2870</v>
      </c>
      <c r="C1271" s="4">
        <v>39884.770138888889</v>
      </c>
      <c r="D1271" s="1" t="s">
        <v>84</v>
      </c>
      <c r="E1271" s="1"/>
      <c r="F1271" s="2" t="s">
        <v>3615</v>
      </c>
      <c r="G1271" s="1">
        <f ca="1">IFERROR(__xludf.DUMMYFUNCTION("COUNTA(SPLIT(F1271,"" ""))"),47)</f>
        <v>47</v>
      </c>
      <c r="H1271" s="1">
        <v>47</v>
      </c>
      <c r="I1271" s="1"/>
      <c r="J1271" s="1"/>
      <c r="K1271" s="1"/>
      <c r="L1271" s="1"/>
      <c r="M1271" s="1"/>
      <c r="N1271" s="1"/>
      <c r="O1271" s="1"/>
      <c r="P1271" s="1"/>
      <c r="Q1271" s="1"/>
      <c r="R1271" s="1"/>
      <c r="S1271" s="1"/>
      <c r="T1271" s="1"/>
    </row>
    <row r="1272" spans="1:20" ht="33.75" customHeight="1">
      <c r="A1272" s="1" t="s">
        <v>3616</v>
      </c>
      <c r="B1272" s="1" t="s">
        <v>3255</v>
      </c>
      <c r="C1272" s="4">
        <v>39884.851388888892</v>
      </c>
      <c r="D1272" s="1" t="s">
        <v>14</v>
      </c>
      <c r="E1272" s="1"/>
      <c r="F1272" s="2" t="s">
        <v>3618</v>
      </c>
      <c r="G1272" s="1">
        <f ca="1">IFERROR(__xludf.DUMMYFUNCTION("COUNTA(SPLIT(F1272,"" ""))"),336)</f>
        <v>336</v>
      </c>
      <c r="H1272" s="1">
        <v>336</v>
      </c>
      <c r="I1272" s="1"/>
      <c r="J1272" s="1"/>
      <c r="K1272" s="1"/>
      <c r="L1272" s="1"/>
      <c r="M1272" s="1"/>
      <c r="N1272" s="1"/>
      <c r="O1272" s="1"/>
      <c r="P1272" s="1"/>
      <c r="Q1272" s="1"/>
      <c r="R1272" s="1"/>
      <c r="S1272" s="1"/>
      <c r="T1272" s="1"/>
    </row>
    <row r="1273" spans="1:20" ht="33.75" customHeight="1">
      <c r="A1273" s="1" t="s">
        <v>3619</v>
      </c>
      <c r="B1273" s="1" t="s">
        <v>3255</v>
      </c>
      <c r="C1273" s="4">
        <v>39884.852083333331</v>
      </c>
      <c r="D1273" s="1" t="s">
        <v>3297</v>
      </c>
      <c r="E1273" s="1"/>
      <c r="F1273" s="2" t="s">
        <v>3621</v>
      </c>
      <c r="G1273" s="1">
        <f ca="1">IFERROR(__xludf.DUMMYFUNCTION("COUNTA(SPLIT(F1273,"" ""))"),58)</f>
        <v>58</v>
      </c>
      <c r="H1273" s="1">
        <v>58</v>
      </c>
      <c r="I1273" s="1"/>
      <c r="J1273" s="1"/>
      <c r="K1273" s="1"/>
      <c r="L1273" s="1"/>
      <c r="M1273" s="1"/>
      <c r="N1273" s="1"/>
      <c r="O1273" s="1"/>
      <c r="P1273" s="1"/>
      <c r="Q1273" s="1"/>
      <c r="R1273" s="1"/>
      <c r="S1273" s="1"/>
      <c r="T1273" s="1"/>
    </row>
    <row r="1274" spans="1:20" ht="33.75" customHeight="1">
      <c r="A1274" s="1" t="s">
        <v>3622</v>
      </c>
      <c r="B1274" s="1" t="s">
        <v>3255</v>
      </c>
      <c r="C1274" s="4">
        <v>39884.882638888892</v>
      </c>
      <c r="D1274" s="1" t="s">
        <v>584</v>
      </c>
      <c r="E1274" s="1"/>
      <c r="F1274" s="2" t="s">
        <v>3624</v>
      </c>
      <c r="G1274" s="1">
        <f ca="1">IFERROR(__xludf.DUMMYFUNCTION("COUNTA(SPLIT(F1274,"" ""))"),116)</f>
        <v>116</v>
      </c>
      <c r="H1274" s="1">
        <v>116</v>
      </c>
      <c r="I1274" s="1"/>
      <c r="J1274" s="1"/>
      <c r="K1274" s="1"/>
      <c r="L1274" s="1"/>
      <c r="M1274" s="1"/>
      <c r="N1274" s="1"/>
      <c r="O1274" s="1"/>
      <c r="P1274" s="1"/>
      <c r="Q1274" s="1"/>
      <c r="R1274" s="1"/>
      <c r="S1274" s="1"/>
      <c r="T1274" s="1"/>
    </row>
    <row r="1275" spans="1:20" ht="33.75" customHeight="1">
      <c r="A1275" s="1" t="s">
        <v>3625</v>
      </c>
      <c r="B1275" s="1" t="s">
        <v>3255</v>
      </c>
      <c r="C1275" s="4">
        <v>39884.882638888892</v>
      </c>
      <c r="D1275" s="1" t="s">
        <v>772</v>
      </c>
      <c r="E1275" s="1"/>
      <c r="F1275" s="2" t="s">
        <v>3626</v>
      </c>
      <c r="G1275" s="1">
        <f ca="1">IFERROR(__xludf.DUMMYFUNCTION("COUNTA(SPLIT(F1275,"" ""))"),93)</f>
        <v>93</v>
      </c>
      <c r="H1275" s="1">
        <v>93</v>
      </c>
      <c r="I1275" s="1"/>
      <c r="J1275" s="1"/>
      <c r="K1275" s="1"/>
      <c r="L1275" s="1"/>
      <c r="M1275" s="1"/>
      <c r="N1275" s="1"/>
      <c r="O1275" s="1"/>
      <c r="P1275" s="1"/>
      <c r="Q1275" s="1"/>
      <c r="R1275" s="1"/>
      <c r="S1275" s="1"/>
      <c r="T1275" s="1"/>
    </row>
    <row r="1276" spans="1:20" ht="33.75" hidden="1" customHeight="1">
      <c r="A1276" s="1" t="s">
        <v>3627</v>
      </c>
      <c r="B1276" s="1" t="s">
        <v>2870</v>
      </c>
      <c r="C1276" s="4">
        <v>39884.890972222223</v>
      </c>
      <c r="D1276" s="1" t="s">
        <v>54</v>
      </c>
      <c r="E1276" s="1" t="s">
        <v>3628</v>
      </c>
      <c r="F1276" s="2" t="s">
        <v>3631</v>
      </c>
      <c r="G1276" s="1">
        <f ca="1">IFERROR(__xludf.DUMMYFUNCTION("COUNTA(SPLIT(F1276,"" ""))"),171)</f>
        <v>171</v>
      </c>
      <c r="H1276" s="1">
        <v>171</v>
      </c>
      <c r="I1276" s="1"/>
      <c r="J1276" s="1"/>
      <c r="K1276" s="1"/>
      <c r="L1276" s="1"/>
      <c r="M1276" s="1"/>
      <c r="N1276" s="1"/>
      <c r="O1276" s="1"/>
      <c r="P1276" s="1"/>
      <c r="Q1276" s="1"/>
      <c r="R1276" s="1"/>
      <c r="S1276" s="1"/>
      <c r="T1276" s="1"/>
    </row>
    <row r="1277" spans="1:20" ht="33.75" customHeight="1">
      <c r="A1277" s="1" t="s">
        <v>3632</v>
      </c>
      <c r="B1277" s="1" t="s">
        <v>3255</v>
      </c>
      <c r="C1277" s="4">
        <v>39884.919444444444</v>
      </c>
      <c r="D1277" s="1" t="s">
        <v>435</v>
      </c>
      <c r="E1277" s="1"/>
      <c r="F1277" s="2" t="s">
        <v>3634</v>
      </c>
      <c r="G1277" s="1">
        <f ca="1">IFERROR(__xludf.DUMMYFUNCTION("COUNTA(SPLIT(F1277,"" ""))"),272)</f>
        <v>272</v>
      </c>
      <c r="H1277" s="1">
        <v>272</v>
      </c>
      <c r="I1277" s="1"/>
      <c r="J1277" s="1"/>
      <c r="K1277" s="1"/>
      <c r="L1277" s="1"/>
      <c r="M1277" s="1"/>
      <c r="N1277" s="1"/>
      <c r="O1277" s="1"/>
      <c r="P1277" s="1"/>
      <c r="Q1277" s="1"/>
      <c r="R1277" s="1"/>
      <c r="S1277" s="1"/>
      <c r="T1277" s="1"/>
    </row>
    <row r="1278" spans="1:20" ht="33.75" customHeight="1">
      <c r="A1278" s="1" t="s">
        <v>3635</v>
      </c>
      <c r="B1278" s="1" t="s">
        <v>3255</v>
      </c>
      <c r="C1278" s="4">
        <v>39884.931250000001</v>
      </c>
      <c r="D1278" s="1" t="s">
        <v>435</v>
      </c>
      <c r="E1278" s="1"/>
      <c r="F1278" s="2" t="s">
        <v>3637</v>
      </c>
      <c r="G1278" s="1">
        <f ca="1">IFERROR(__xludf.DUMMYFUNCTION("COUNTA(SPLIT(F1278,"" ""))"),128)</f>
        <v>128</v>
      </c>
      <c r="H1278" s="1">
        <v>128</v>
      </c>
      <c r="I1278" s="1"/>
      <c r="J1278" s="1"/>
      <c r="K1278" s="1"/>
      <c r="L1278" s="1"/>
      <c r="M1278" s="1"/>
      <c r="N1278" s="1"/>
      <c r="O1278" s="1"/>
      <c r="P1278" s="1"/>
      <c r="Q1278" s="1"/>
      <c r="R1278" s="1"/>
      <c r="S1278" s="1"/>
      <c r="T1278" s="1"/>
    </row>
    <row r="1279" spans="1:20" ht="33.75" customHeight="1">
      <c r="A1279" s="1" t="s">
        <v>3638</v>
      </c>
      <c r="B1279" s="1" t="s">
        <v>3156</v>
      </c>
      <c r="C1279" s="4">
        <v>39884.956944444442</v>
      </c>
      <c r="D1279" s="1" t="s">
        <v>14</v>
      </c>
      <c r="E1279" s="1"/>
      <c r="F1279" s="2" t="s">
        <v>3640</v>
      </c>
      <c r="G1279" s="1">
        <f ca="1">IFERROR(__xludf.DUMMYFUNCTION("COUNTA(SPLIT(F1279,"" ""))"),626)</f>
        <v>626</v>
      </c>
      <c r="H1279" s="1">
        <v>626</v>
      </c>
      <c r="I1279" s="1"/>
      <c r="J1279" s="1"/>
      <c r="K1279" s="1"/>
      <c r="L1279" s="1"/>
      <c r="M1279" s="1"/>
      <c r="N1279" s="1"/>
      <c r="O1279" s="1"/>
      <c r="P1279" s="1"/>
      <c r="Q1279" s="1"/>
      <c r="R1279" s="1"/>
      <c r="S1279" s="1"/>
      <c r="T1279" s="1"/>
    </row>
    <row r="1280" spans="1:20" ht="33.75" customHeight="1">
      <c r="A1280" s="1" t="s">
        <v>3641</v>
      </c>
      <c r="B1280" s="1" t="s">
        <v>3255</v>
      </c>
      <c r="C1280" s="4">
        <v>39884.964583333334</v>
      </c>
      <c r="D1280" s="1" t="s">
        <v>54</v>
      </c>
      <c r="E1280" s="1"/>
      <c r="F1280" s="2" t="s">
        <v>3642</v>
      </c>
      <c r="G1280" s="1">
        <f ca="1">IFERROR(__xludf.DUMMYFUNCTION("COUNTA(SPLIT(F1280,"" ""))"),975)</f>
        <v>975</v>
      </c>
      <c r="H1280" s="1">
        <v>975</v>
      </c>
      <c r="I1280" s="1"/>
      <c r="J1280" s="1"/>
      <c r="K1280" s="1"/>
      <c r="L1280" s="1"/>
      <c r="M1280" s="1"/>
      <c r="N1280" s="1"/>
      <c r="O1280" s="1"/>
      <c r="P1280" s="1"/>
      <c r="Q1280" s="1"/>
      <c r="R1280" s="1"/>
      <c r="S1280" s="1"/>
      <c r="T1280" s="1"/>
    </row>
    <row r="1281" spans="1:20" ht="33.75" customHeight="1">
      <c r="A1281" s="1" t="s">
        <v>3643</v>
      </c>
      <c r="B1281" s="1" t="s">
        <v>3255</v>
      </c>
      <c r="C1281" s="4">
        <v>39884.976388888892</v>
      </c>
      <c r="D1281" s="1" t="s">
        <v>14</v>
      </c>
      <c r="E1281" s="1"/>
      <c r="F1281" s="2" t="s">
        <v>3645</v>
      </c>
      <c r="G1281" s="1">
        <f ca="1">IFERROR(__xludf.DUMMYFUNCTION("COUNTA(SPLIT(F1281,"" ""))"),179)</f>
        <v>179</v>
      </c>
      <c r="H1281" s="1">
        <v>179</v>
      </c>
      <c r="I1281" s="1"/>
      <c r="J1281" s="1"/>
      <c r="K1281" s="1"/>
      <c r="L1281" s="1"/>
      <c r="M1281" s="1"/>
      <c r="N1281" s="1"/>
      <c r="O1281" s="1"/>
      <c r="P1281" s="1"/>
      <c r="Q1281" s="1"/>
      <c r="R1281" s="1"/>
      <c r="S1281" s="1"/>
      <c r="T1281" s="1"/>
    </row>
    <row r="1282" spans="1:20" ht="33.75" hidden="1" customHeight="1">
      <c r="A1282" s="1" t="s">
        <v>3646</v>
      </c>
      <c r="B1282" s="1" t="s">
        <v>3156</v>
      </c>
      <c r="C1282" s="4">
        <v>39884.986111111109</v>
      </c>
      <c r="D1282" s="1" t="s">
        <v>14</v>
      </c>
      <c r="E1282" s="1" t="s">
        <v>3638</v>
      </c>
      <c r="F1282" s="2" t="s">
        <v>3647</v>
      </c>
      <c r="G1282" s="1">
        <f ca="1">IFERROR(__xludf.DUMMYFUNCTION("COUNTA(SPLIT(F1282,"" ""))"),393)</f>
        <v>393</v>
      </c>
      <c r="H1282" s="1">
        <v>393</v>
      </c>
      <c r="I1282" s="1"/>
      <c r="J1282" s="1"/>
      <c r="K1282" s="1"/>
      <c r="L1282" s="1"/>
      <c r="M1282" s="1"/>
      <c r="N1282" s="1"/>
      <c r="O1282" s="1"/>
      <c r="P1282" s="1"/>
      <c r="Q1282" s="1"/>
      <c r="R1282" s="1"/>
      <c r="S1282" s="1"/>
      <c r="T1282" s="1"/>
    </row>
    <row r="1283" spans="1:20" ht="33.75" hidden="1" customHeight="1">
      <c r="A1283" s="1" t="s">
        <v>3648</v>
      </c>
      <c r="B1283" s="1" t="s">
        <v>3156</v>
      </c>
      <c r="C1283" s="4">
        <v>39884.986805555556</v>
      </c>
      <c r="D1283" s="1" t="s">
        <v>14</v>
      </c>
      <c r="E1283" s="1" t="s">
        <v>3646</v>
      </c>
      <c r="F1283" s="2" t="s">
        <v>3649</v>
      </c>
      <c r="G1283" s="1">
        <f ca="1">IFERROR(__xludf.DUMMYFUNCTION("COUNTA(SPLIT(F1283,"" ""))"),13)</f>
        <v>13</v>
      </c>
      <c r="H1283" s="1">
        <v>13</v>
      </c>
      <c r="I1283" s="1"/>
      <c r="J1283" s="1"/>
      <c r="K1283" s="1"/>
      <c r="L1283" s="1"/>
      <c r="M1283" s="1"/>
      <c r="N1283" s="1"/>
      <c r="O1283" s="1"/>
      <c r="P1283" s="1"/>
      <c r="Q1283" s="1"/>
      <c r="R1283" s="1"/>
      <c r="S1283" s="1"/>
      <c r="T1283" s="1"/>
    </row>
    <row r="1284" spans="1:20" ht="33.75" customHeight="1">
      <c r="A1284" s="1" t="s">
        <v>3650</v>
      </c>
      <c r="B1284" s="1" t="s">
        <v>3156</v>
      </c>
      <c r="C1284" s="4">
        <v>39884.989583333336</v>
      </c>
      <c r="D1284" s="1" t="s">
        <v>54</v>
      </c>
      <c r="E1284" s="1"/>
      <c r="F1284" s="2" t="s">
        <v>3653</v>
      </c>
      <c r="G1284" s="1">
        <f ca="1">IFERROR(__xludf.DUMMYFUNCTION("COUNTA(SPLIT(F1284,"" ""))"),385)</f>
        <v>385</v>
      </c>
      <c r="H1284" s="1">
        <v>385</v>
      </c>
      <c r="I1284" s="1"/>
      <c r="J1284" s="1"/>
      <c r="K1284" s="1"/>
      <c r="L1284" s="1"/>
      <c r="M1284" s="1"/>
      <c r="N1284" s="1"/>
      <c r="O1284" s="1"/>
      <c r="P1284" s="1"/>
      <c r="Q1284" s="1"/>
      <c r="R1284" s="1"/>
      <c r="S1284" s="1"/>
      <c r="T1284" s="1"/>
    </row>
    <row r="1285" spans="1:20" ht="33.75" hidden="1" customHeight="1">
      <c r="A1285" s="1" t="s">
        <v>3654</v>
      </c>
      <c r="B1285" s="1" t="s">
        <v>3156</v>
      </c>
      <c r="C1285" s="4">
        <v>39884.990972222222</v>
      </c>
      <c r="D1285" s="1" t="s">
        <v>320</v>
      </c>
      <c r="E1285" s="1">
        <v>1006</v>
      </c>
      <c r="F1285" s="2" t="s">
        <v>3656</v>
      </c>
      <c r="G1285" s="1">
        <f ca="1">IFERROR(__xludf.DUMMYFUNCTION("COUNTA(SPLIT(F1285,"" ""))"),219)</f>
        <v>219</v>
      </c>
      <c r="H1285" s="1">
        <v>219</v>
      </c>
      <c r="I1285" s="1"/>
      <c r="J1285" s="1"/>
      <c r="K1285" s="1"/>
      <c r="L1285" s="1"/>
      <c r="M1285" s="1"/>
      <c r="N1285" s="1"/>
      <c r="O1285" s="1"/>
      <c r="P1285" s="1"/>
      <c r="Q1285" s="1"/>
      <c r="R1285" s="1"/>
      <c r="S1285" s="1"/>
      <c r="T1285" s="1"/>
    </row>
    <row r="1286" spans="1:20" ht="33.75" hidden="1" customHeight="1">
      <c r="A1286" s="1" t="s">
        <v>3657</v>
      </c>
      <c r="B1286" s="1" t="s">
        <v>3156</v>
      </c>
      <c r="C1286" s="4">
        <v>39884.995833333334</v>
      </c>
      <c r="D1286" s="1" t="s">
        <v>14</v>
      </c>
      <c r="E1286" s="1" t="s">
        <v>3654</v>
      </c>
      <c r="F1286" s="2" t="s">
        <v>3659</v>
      </c>
      <c r="G1286" s="1">
        <f ca="1">IFERROR(__xludf.DUMMYFUNCTION("COUNTA(SPLIT(F1286,"" ""))"),124)</f>
        <v>124</v>
      </c>
      <c r="H1286" s="1">
        <v>124</v>
      </c>
      <c r="I1286" s="1"/>
      <c r="J1286" s="1"/>
      <c r="K1286" s="1"/>
      <c r="L1286" s="1"/>
      <c r="M1286" s="1"/>
      <c r="N1286" s="1"/>
      <c r="O1286" s="1"/>
      <c r="P1286" s="1"/>
      <c r="Q1286" s="1"/>
      <c r="R1286" s="1"/>
      <c r="S1286" s="1"/>
      <c r="T1286" s="1"/>
    </row>
    <row r="1287" spans="1:20" ht="33.75" hidden="1" customHeight="1">
      <c r="A1287" s="1" t="s">
        <v>3660</v>
      </c>
      <c r="B1287" s="1" t="s">
        <v>3156</v>
      </c>
      <c r="C1287" s="4">
        <v>39884.996527777781</v>
      </c>
      <c r="D1287" s="1" t="s">
        <v>54</v>
      </c>
      <c r="E1287" s="1" t="s">
        <v>3650</v>
      </c>
      <c r="F1287" s="2" t="s">
        <v>3661</v>
      </c>
      <c r="G1287" s="1">
        <f ca="1">IFERROR(__xludf.DUMMYFUNCTION("COUNTA(SPLIT(F1287,"" ""))"),97)</f>
        <v>97</v>
      </c>
      <c r="H1287" s="1">
        <v>97</v>
      </c>
      <c r="I1287" s="1"/>
      <c r="J1287" s="1"/>
      <c r="K1287" s="1"/>
      <c r="L1287" s="1"/>
      <c r="M1287" s="1"/>
      <c r="N1287" s="1"/>
      <c r="O1287" s="1"/>
      <c r="P1287" s="1"/>
      <c r="Q1287" s="1"/>
      <c r="R1287" s="1"/>
      <c r="S1287" s="1"/>
      <c r="T1287" s="1"/>
    </row>
    <row r="1288" spans="1:20" ht="33.75" customHeight="1">
      <c r="A1288" s="1" t="s">
        <v>3662</v>
      </c>
      <c r="B1288" s="1" t="s">
        <v>3255</v>
      </c>
      <c r="C1288" s="4">
        <v>39885</v>
      </c>
      <c r="D1288" s="1" t="s">
        <v>320</v>
      </c>
      <c r="E1288" s="1"/>
      <c r="F1288" s="2" t="s">
        <v>3666</v>
      </c>
      <c r="G1288" s="1">
        <f ca="1">IFERROR(__xludf.DUMMYFUNCTION("COUNTA(SPLIT(F1288,"" ""))"),197)</f>
        <v>197</v>
      </c>
      <c r="H1288" s="1">
        <v>197</v>
      </c>
      <c r="I1288" s="1"/>
      <c r="J1288" s="1"/>
      <c r="K1288" s="1"/>
      <c r="L1288" s="1"/>
      <c r="M1288" s="1"/>
      <c r="N1288" s="1"/>
      <c r="O1288" s="1"/>
      <c r="P1288" s="1"/>
      <c r="Q1288" s="1"/>
      <c r="R1288" s="1"/>
      <c r="S1288" s="1"/>
      <c r="T1288" s="1"/>
    </row>
    <row r="1289" spans="1:20" ht="33.75" hidden="1" customHeight="1">
      <c r="A1289" s="1" t="s">
        <v>3667</v>
      </c>
      <c r="B1289" s="1" t="s">
        <v>3255</v>
      </c>
      <c r="C1289" s="4">
        <v>39885.002083333333</v>
      </c>
      <c r="D1289" s="1" t="s">
        <v>14</v>
      </c>
      <c r="E1289" s="1" t="s">
        <v>3662</v>
      </c>
      <c r="F1289" s="2" t="s">
        <v>3669</v>
      </c>
      <c r="G1289" s="1">
        <f ca="1">IFERROR(__xludf.DUMMYFUNCTION("COUNTA(SPLIT(F1289,"" ""))"),63)</f>
        <v>63</v>
      </c>
      <c r="H1289" s="1">
        <v>63</v>
      </c>
      <c r="I1289" s="1"/>
      <c r="J1289" s="1"/>
      <c r="K1289" s="1"/>
      <c r="L1289" s="1"/>
      <c r="M1289" s="1"/>
      <c r="N1289" s="1"/>
      <c r="O1289" s="1"/>
      <c r="P1289" s="1"/>
      <c r="Q1289" s="1"/>
      <c r="R1289" s="1"/>
      <c r="S1289" s="1"/>
      <c r="T1289" s="1"/>
    </row>
    <row r="1290" spans="1:20" ht="33.75" customHeight="1">
      <c r="A1290" s="1" t="s">
        <v>3670</v>
      </c>
      <c r="B1290" s="1" t="s">
        <v>3255</v>
      </c>
      <c r="C1290" s="4">
        <v>39885.008333333331</v>
      </c>
      <c r="D1290" s="1" t="s">
        <v>3461</v>
      </c>
      <c r="E1290" s="1"/>
      <c r="F1290" s="2" t="s">
        <v>3672</v>
      </c>
      <c r="G1290" s="1">
        <f ca="1">IFERROR(__xludf.DUMMYFUNCTION("COUNTA(SPLIT(F1290,"" ""))"),197)</f>
        <v>197</v>
      </c>
      <c r="H1290" s="1">
        <v>197</v>
      </c>
      <c r="I1290" s="1"/>
      <c r="J1290" s="1"/>
      <c r="K1290" s="1"/>
      <c r="L1290" s="1"/>
      <c r="M1290" s="1"/>
      <c r="N1290" s="1"/>
      <c r="O1290" s="1"/>
      <c r="P1290" s="1"/>
      <c r="Q1290" s="1"/>
      <c r="R1290" s="1"/>
      <c r="S1290" s="1"/>
      <c r="T1290" s="1"/>
    </row>
    <row r="1291" spans="1:20" ht="33.75" customHeight="1">
      <c r="A1291" s="1" t="s">
        <v>3673</v>
      </c>
      <c r="B1291" s="1" t="s">
        <v>3255</v>
      </c>
      <c r="C1291" s="4">
        <v>39885.008333333331</v>
      </c>
      <c r="D1291" s="1" t="s">
        <v>320</v>
      </c>
      <c r="E1291" s="1"/>
      <c r="F1291" s="2" t="s">
        <v>3674</v>
      </c>
      <c r="G1291" s="1">
        <f ca="1">IFERROR(__xludf.DUMMYFUNCTION("COUNTA(SPLIT(F1291,"" ""))"),176)</f>
        <v>176</v>
      </c>
      <c r="H1291" s="1">
        <v>176</v>
      </c>
      <c r="I1291" s="1"/>
      <c r="J1291" s="1"/>
      <c r="K1291" s="1"/>
      <c r="L1291" s="1"/>
      <c r="M1291" s="1"/>
      <c r="N1291" s="1"/>
      <c r="O1291" s="1"/>
      <c r="P1291" s="1"/>
      <c r="Q1291" s="1"/>
      <c r="R1291" s="1"/>
      <c r="S1291" s="1"/>
      <c r="T1291" s="1"/>
    </row>
    <row r="1292" spans="1:20" ht="33.75" hidden="1" customHeight="1">
      <c r="A1292" s="1" t="s">
        <v>3675</v>
      </c>
      <c r="B1292" s="1" t="s">
        <v>3255</v>
      </c>
      <c r="C1292" s="4">
        <v>39885.010416666664</v>
      </c>
      <c r="D1292" s="1" t="s">
        <v>320</v>
      </c>
      <c r="E1292" s="1" t="s">
        <v>3662</v>
      </c>
      <c r="F1292" s="2" t="s">
        <v>3676</v>
      </c>
      <c r="G1292" s="1">
        <f ca="1">IFERROR(__xludf.DUMMYFUNCTION("COUNTA(SPLIT(F1292,"" ""))"),35)</f>
        <v>35</v>
      </c>
      <c r="H1292" s="1">
        <v>35</v>
      </c>
      <c r="I1292" s="1"/>
      <c r="J1292" s="1"/>
      <c r="K1292" s="1"/>
      <c r="L1292" s="1"/>
      <c r="M1292" s="1"/>
      <c r="N1292" s="1"/>
      <c r="O1292" s="1"/>
      <c r="P1292" s="1"/>
      <c r="Q1292" s="1"/>
      <c r="R1292" s="1"/>
      <c r="S1292" s="1"/>
      <c r="T1292" s="1"/>
    </row>
    <row r="1293" spans="1:20" ht="33.75" customHeight="1">
      <c r="A1293" s="1" t="s">
        <v>3677</v>
      </c>
      <c r="B1293" s="1" t="s">
        <v>3156</v>
      </c>
      <c r="C1293" s="4">
        <v>39885.018055555556</v>
      </c>
      <c r="D1293" s="1" t="s">
        <v>14</v>
      </c>
      <c r="E1293" s="1"/>
      <c r="F1293" s="2" t="s">
        <v>3679</v>
      </c>
      <c r="G1293" s="1">
        <f ca="1">IFERROR(__xludf.DUMMYFUNCTION("COUNTA(SPLIT(F1293,"" ""))"),387)</f>
        <v>387</v>
      </c>
      <c r="H1293" s="1">
        <v>387</v>
      </c>
      <c r="I1293" s="1"/>
      <c r="J1293" s="1"/>
      <c r="K1293" s="1"/>
      <c r="L1293" s="1"/>
      <c r="M1293" s="1"/>
      <c r="N1293" s="1"/>
      <c r="O1293" s="1"/>
      <c r="P1293" s="1"/>
      <c r="Q1293" s="1"/>
      <c r="R1293" s="1"/>
      <c r="S1293" s="1"/>
      <c r="T1293" s="1"/>
    </row>
    <row r="1294" spans="1:20" ht="33.75" customHeight="1">
      <c r="A1294" s="1" t="s">
        <v>3680</v>
      </c>
      <c r="B1294" s="1" t="s">
        <v>3255</v>
      </c>
      <c r="C1294" s="4">
        <v>39885.038194444445</v>
      </c>
      <c r="D1294" s="1" t="s">
        <v>3681</v>
      </c>
      <c r="E1294" s="1"/>
      <c r="F1294" s="2" t="s">
        <v>3683</v>
      </c>
      <c r="G1294" s="1">
        <f ca="1">IFERROR(__xludf.DUMMYFUNCTION("COUNTA(SPLIT(F1294,"" ""))"),59)</f>
        <v>59</v>
      </c>
      <c r="H1294" s="1">
        <v>59</v>
      </c>
      <c r="I1294" s="1"/>
      <c r="J1294" s="1"/>
      <c r="K1294" s="1"/>
      <c r="L1294" s="1"/>
      <c r="M1294" s="1"/>
      <c r="N1294" s="1"/>
      <c r="O1294" s="1"/>
      <c r="P1294" s="1"/>
      <c r="Q1294" s="1"/>
      <c r="R1294" s="1"/>
      <c r="S1294" s="1"/>
      <c r="T1294" s="1"/>
    </row>
    <row r="1295" spans="1:20" ht="33.75" hidden="1" customHeight="1">
      <c r="A1295" s="1" t="s">
        <v>3684</v>
      </c>
      <c r="B1295" s="1" t="s">
        <v>3156</v>
      </c>
      <c r="C1295" s="4">
        <v>39885.046527777777</v>
      </c>
      <c r="D1295" s="1" t="s">
        <v>196</v>
      </c>
      <c r="E1295" s="1" t="s">
        <v>3677</v>
      </c>
      <c r="F1295" s="2" t="s">
        <v>3686</v>
      </c>
      <c r="G1295" s="1">
        <f ca="1">IFERROR(__xludf.DUMMYFUNCTION("COUNTA(SPLIT(F1295,"" ""))"),65)</f>
        <v>65</v>
      </c>
      <c r="H1295" s="1">
        <v>65</v>
      </c>
      <c r="I1295" s="1"/>
      <c r="J1295" s="1"/>
      <c r="K1295" s="1"/>
      <c r="L1295" s="1"/>
      <c r="M1295" s="1"/>
      <c r="N1295" s="1"/>
      <c r="O1295" s="1"/>
      <c r="P1295" s="1"/>
      <c r="Q1295" s="1"/>
      <c r="R1295" s="1"/>
      <c r="S1295" s="1"/>
      <c r="T1295" s="1"/>
    </row>
    <row r="1296" spans="1:20" ht="33.75" hidden="1" customHeight="1">
      <c r="A1296" s="1" t="s">
        <v>3687</v>
      </c>
      <c r="B1296" s="1" t="s">
        <v>3156</v>
      </c>
      <c r="C1296" s="4">
        <v>39885.053472222222</v>
      </c>
      <c r="D1296" s="1" t="s">
        <v>14</v>
      </c>
      <c r="E1296" s="1" t="s">
        <v>3677</v>
      </c>
      <c r="F1296" s="2" t="s">
        <v>3689</v>
      </c>
      <c r="G1296" s="1">
        <f ca="1">IFERROR(__xludf.DUMMYFUNCTION("COUNTA(SPLIT(F1296,"" ""))"),17)</f>
        <v>17</v>
      </c>
      <c r="H1296" s="1">
        <v>17</v>
      </c>
      <c r="I1296" s="1"/>
      <c r="J1296" s="1"/>
      <c r="K1296" s="1"/>
      <c r="L1296" s="1"/>
      <c r="M1296" s="1"/>
      <c r="N1296" s="1"/>
      <c r="O1296" s="1"/>
      <c r="P1296" s="1"/>
      <c r="Q1296" s="1"/>
      <c r="R1296" s="1"/>
      <c r="S1296" s="1"/>
      <c r="T1296" s="1"/>
    </row>
    <row r="1297" spans="1:20" ht="33.75" hidden="1" customHeight="1">
      <c r="A1297" s="1" t="s">
        <v>3690</v>
      </c>
      <c r="B1297" s="1" t="s">
        <v>3156</v>
      </c>
      <c r="C1297" s="4">
        <v>39885.090277777781</v>
      </c>
      <c r="D1297" s="1" t="s">
        <v>196</v>
      </c>
      <c r="E1297" s="1" t="s">
        <v>3677</v>
      </c>
      <c r="F1297" s="2" t="s">
        <v>3691</v>
      </c>
      <c r="G1297" s="1">
        <f ca="1">IFERROR(__xludf.DUMMYFUNCTION("COUNTA(SPLIT(F1297,"" ""))"),23)</f>
        <v>23</v>
      </c>
      <c r="H1297" s="1">
        <v>23</v>
      </c>
      <c r="I1297" s="1"/>
      <c r="J1297" s="1"/>
      <c r="K1297" s="1"/>
      <c r="L1297" s="1"/>
      <c r="M1297" s="1"/>
      <c r="N1297" s="1"/>
      <c r="O1297" s="1"/>
      <c r="P1297" s="1"/>
      <c r="Q1297" s="1"/>
      <c r="R1297" s="1"/>
      <c r="S1297" s="1"/>
      <c r="T1297" s="1"/>
    </row>
    <row r="1298" spans="1:20" ht="33.75" hidden="1" customHeight="1">
      <c r="A1298" s="1" t="s">
        <v>3692</v>
      </c>
      <c r="B1298" s="1" t="s">
        <v>3156</v>
      </c>
      <c r="C1298" s="4">
        <v>39885.1</v>
      </c>
      <c r="D1298" s="1" t="s">
        <v>320</v>
      </c>
      <c r="E1298" s="1" t="s">
        <v>3654</v>
      </c>
      <c r="F1298" s="2" t="s">
        <v>3694</v>
      </c>
      <c r="G1298" s="1">
        <f ca="1">IFERROR(__xludf.DUMMYFUNCTION("COUNTA(SPLIT(F1298,"" ""))"),74)</f>
        <v>74</v>
      </c>
      <c r="H1298" s="1">
        <v>74</v>
      </c>
      <c r="I1298" s="1"/>
      <c r="J1298" s="1"/>
      <c r="K1298" s="1"/>
      <c r="L1298" s="1"/>
      <c r="M1298" s="1"/>
      <c r="N1298" s="1"/>
      <c r="O1298" s="1"/>
      <c r="P1298" s="1"/>
      <c r="Q1298" s="1"/>
      <c r="R1298" s="1"/>
      <c r="S1298" s="1"/>
      <c r="T1298" s="1"/>
    </row>
    <row r="1299" spans="1:20" ht="33.75" customHeight="1">
      <c r="A1299" s="1" t="s">
        <v>3695</v>
      </c>
      <c r="B1299" s="1" t="s">
        <v>3255</v>
      </c>
      <c r="C1299" s="4">
        <v>39885.113888888889</v>
      </c>
      <c r="D1299" s="1" t="s">
        <v>3696</v>
      </c>
      <c r="E1299" s="1"/>
      <c r="F1299" s="2" t="s">
        <v>3698</v>
      </c>
      <c r="G1299" s="1">
        <f ca="1">IFERROR(__xludf.DUMMYFUNCTION("COUNTA(SPLIT(F1299,"" ""))"),331)</f>
        <v>331</v>
      </c>
      <c r="H1299" s="1">
        <v>331</v>
      </c>
      <c r="I1299" s="1"/>
      <c r="J1299" s="1"/>
      <c r="K1299" s="1"/>
      <c r="L1299" s="1"/>
      <c r="M1299" s="1"/>
      <c r="N1299" s="1"/>
      <c r="O1299" s="1"/>
      <c r="P1299" s="1"/>
      <c r="Q1299" s="1"/>
      <c r="R1299" s="1"/>
      <c r="S1299" s="1"/>
      <c r="T1299" s="1"/>
    </row>
    <row r="1300" spans="1:20" ht="33.75" hidden="1" customHeight="1">
      <c r="A1300" s="1" t="s">
        <v>3699</v>
      </c>
      <c r="B1300" s="1" t="s">
        <v>3156</v>
      </c>
      <c r="C1300" s="4">
        <v>39885.145138888889</v>
      </c>
      <c r="D1300" s="1" t="s">
        <v>196</v>
      </c>
      <c r="E1300" s="1" t="s">
        <v>3677</v>
      </c>
      <c r="F1300" s="2" t="s">
        <v>3700</v>
      </c>
      <c r="G1300" s="1">
        <f ca="1">IFERROR(__xludf.DUMMYFUNCTION("COUNTA(SPLIT(F1300,"" ""))"),44)</f>
        <v>44</v>
      </c>
      <c r="H1300" s="1">
        <v>44</v>
      </c>
      <c r="I1300" s="1"/>
      <c r="J1300" s="1"/>
      <c r="K1300" s="1"/>
      <c r="L1300" s="1"/>
      <c r="M1300" s="1"/>
      <c r="N1300" s="1"/>
      <c r="O1300" s="1"/>
      <c r="P1300" s="1"/>
      <c r="Q1300" s="1"/>
      <c r="R1300" s="1"/>
      <c r="S1300" s="1"/>
      <c r="T1300" s="1"/>
    </row>
    <row r="1301" spans="1:20" ht="33.75" hidden="1" customHeight="1">
      <c r="A1301" s="1" t="s">
        <v>3701</v>
      </c>
      <c r="B1301" s="1" t="s">
        <v>2870</v>
      </c>
      <c r="C1301" s="4">
        <v>39885.299305555556</v>
      </c>
      <c r="D1301" s="1" t="s">
        <v>381</v>
      </c>
      <c r="E1301" s="1" t="s">
        <v>3702</v>
      </c>
      <c r="F1301" s="2" t="s">
        <v>3703</v>
      </c>
      <c r="G1301" s="1">
        <f ca="1">IFERROR(__xludf.DUMMYFUNCTION("COUNTA(SPLIT(F1301,"" ""))"),99)</f>
        <v>99</v>
      </c>
      <c r="H1301" s="1">
        <v>99</v>
      </c>
      <c r="I1301" s="1"/>
      <c r="J1301" s="1"/>
      <c r="K1301" s="1"/>
      <c r="L1301" s="1"/>
      <c r="M1301" s="1"/>
      <c r="N1301" s="1"/>
      <c r="O1301" s="1"/>
      <c r="P1301" s="1"/>
      <c r="Q1301" s="1"/>
      <c r="R1301" s="1"/>
      <c r="S1301" s="1"/>
      <c r="T1301" s="1"/>
    </row>
    <row r="1302" spans="1:20" ht="33.75" hidden="1" customHeight="1">
      <c r="A1302" s="1" t="s">
        <v>3704</v>
      </c>
      <c r="B1302" s="1" t="s">
        <v>3156</v>
      </c>
      <c r="C1302" s="4">
        <v>39885.306944444441</v>
      </c>
      <c r="D1302" s="1" t="s">
        <v>320</v>
      </c>
      <c r="E1302" s="1" t="s">
        <v>3692</v>
      </c>
      <c r="F1302" s="2" t="s">
        <v>3705</v>
      </c>
      <c r="G1302" s="1">
        <f ca="1">IFERROR(__xludf.DUMMYFUNCTION("COUNTA(SPLIT(F1302,"" ""))"),36)</f>
        <v>36</v>
      </c>
      <c r="H1302" s="1">
        <v>36</v>
      </c>
      <c r="I1302" s="1"/>
      <c r="J1302" s="1"/>
      <c r="K1302" s="1"/>
      <c r="L1302" s="1"/>
      <c r="M1302" s="1"/>
      <c r="N1302" s="1"/>
      <c r="O1302" s="1"/>
      <c r="P1302" s="1"/>
      <c r="Q1302" s="1"/>
      <c r="R1302" s="1"/>
      <c r="S1302" s="1"/>
      <c r="T1302" s="1"/>
    </row>
    <row r="1303" spans="1:20" ht="33.75" hidden="1" customHeight="1">
      <c r="A1303" s="1" t="s">
        <v>3706</v>
      </c>
      <c r="B1303" s="1" t="s">
        <v>2870</v>
      </c>
      <c r="C1303" s="4">
        <v>39885.352777777778</v>
      </c>
      <c r="D1303" s="1" t="s">
        <v>54</v>
      </c>
      <c r="E1303" s="1" t="s">
        <v>3701</v>
      </c>
      <c r="F1303" s="2" t="s">
        <v>3707</v>
      </c>
      <c r="G1303" s="1">
        <f ca="1">IFERROR(__xludf.DUMMYFUNCTION("COUNTA(SPLIT(F1303,"" ""))"),251)</f>
        <v>251</v>
      </c>
      <c r="H1303" s="1">
        <v>251</v>
      </c>
      <c r="I1303" s="1"/>
      <c r="J1303" s="1"/>
      <c r="K1303" s="1"/>
      <c r="L1303" s="1"/>
      <c r="M1303" s="1"/>
      <c r="N1303" s="1"/>
      <c r="O1303" s="1"/>
      <c r="P1303" s="1"/>
      <c r="Q1303" s="1"/>
      <c r="R1303" s="1"/>
      <c r="S1303" s="1"/>
      <c r="T1303" s="1"/>
    </row>
    <row r="1304" spans="1:20" ht="33.75" customHeight="1">
      <c r="A1304" s="1" t="s">
        <v>3708</v>
      </c>
      <c r="B1304" s="1" t="s">
        <v>3255</v>
      </c>
      <c r="C1304" s="4">
        <v>39885.385416666664</v>
      </c>
      <c r="D1304" s="1" t="s">
        <v>14</v>
      </c>
      <c r="E1304" s="1"/>
      <c r="F1304" s="2" t="s">
        <v>3710</v>
      </c>
      <c r="G1304" s="1">
        <f ca="1">IFERROR(__xludf.DUMMYFUNCTION("COUNTA(SPLIT(F1304,"" ""))"),280)</f>
        <v>280</v>
      </c>
      <c r="H1304" s="1">
        <v>280</v>
      </c>
      <c r="I1304" s="1"/>
      <c r="J1304" s="1"/>
      <c r="K1304" s="1"/>
      <c r="L1304" s="1"/>
      <c r="M1304" s="1"/>
      <c r="N1304" s="1"/>
      <c r="O1304" s="1"/>
      <c r="P1304" s="1"/>
      <c r="Q1304" s="1"/>
      <c r="R1304" s="1"/>
      <c r="S1304" s="1"/>
      <c r="T1304" s="1"/>
    </row>
    <row r="1305" spans="1:20" ht="33.75" customHeight="1">
      <c r="A1305" s="1" t="s">
        <v>3711</v>
      </c>
      <c r="B1305" s="1" t="s">
        <v>3255</v>
      </c>
      <c r="C1305" s="4">
        <v>39885.388194444444</v>
      </c>
      <c r="D1305" s="1" t="s">
        <v>14</v>
      </c>
      <c r="E1305" s="1"/>
      <c r="F1305" s="2" t="s">
        <v>3713</v>
      </c>
      <c r="G1305" s="1">
        <f ca="1">IFERROR(__xludf.DUMMYFUNCTION("COUNTA(SPLIT(F1305,"" ""))"),117)</f>
        <v>117</v>
      </c>
      <c r="H1305" s="1">
        <v>117</v>
      </c>
      <c r="I1305" s="1"/>
      <c r="J1305" s="1"/>
      <c r="K1305" s="1"/>
      <c r="L1305" s="1"/>
      <c r="M1305" s="1"/>
      <c r="N1305" s="1"/>
      <c r="O1305" s="1"/>
      <c r="P1305" s="1"/>
      <c r="Q1305" s="1"/>
      <c r="R1305" s="1"/>
      <c r="S1305" s="1"/>
      <c r="T1305" s="1"/>
    </row>
    <row r="1306" spans="1:20" ht="33.75" customHeight="1">
      <c r="A1306" s="1" t="s">
        <v>3714</v>
      </c>
      <c r="B1306" s="1" t="s">
        <v>3156</v>
      </c>
      <c r="C1306" s="4">
        <v>39885.395833333336</v>
      </c>
      <c r="D1306" s="1" t="s">
        <v>1887</v>
      </c>
      <c r="E1306" s="1"/>
      <c r="F1306" s="2" t="s">
        <v>3715</v>
      </c>
      <c r="G1306" s="1">
        <f ca="1">IFERROR(__xludf.DUMMYFUNCTION("COUNTA(SPLIT(F1306,"" ""))"),120)</f>
        <v>120</v>
      </c>
      <c r="H1306" s="1">
        <v>120</v>
      </c>
      <c r="I1306" s="1"/>
      <c r="J1306" s="1"/>
      <c r="K1306" s="1"/>
      <c r="L1306" s="1"/>
      <c r="M1306" s="1"/>
      <c r="N1306" s="1"/>
      <c r="O1306" s="1"/>
      <c r="P1306" s="1"/>
      <c r="Q1306" s="1"/>
      <c r="R1306" s="1"/>
      <c r="S1306" s="1"/>
      <c r="T1306" s="1"/>
    </row>
    <row r="1307" spans="1:20" ht="33.75" hidden="1" customHeight="1">
      <c r="A1307" s="1" t="s">
        <v>3716</v>
      </c>
      <c r="B1307" s="1" t="s">
        <v>3156</v>
      </c>
      <c r="C1307" s="4">
        <v>39885.415972222225</v>
      </c>
      <c r="D1307" s="1" t="s">
        <v>14</v>
      </c>
      <c r="E1307" s="1" t="s">
        <v>3714</v>
      </c>
      <c r="F1307" s="2" t="s">
        <v>3718</v>
      </c>
      <c r="G1307" s="1">
        <f ca="1">IFERROR(__xludf.DUMMYFUNCTION("COUNTA(SPLIT(F1307,"" ""))"),136)</f>
        <v>136</v>
      </c>
      <c r="H1307" s="1">
        <v>136</v>
      </c>
      <c r="I1307" s="1"/>
      <c r="J1307" s="1"/>
      <c r="K1307" s="1"/>
      <c r="L1307" s="1"/>
      <c r="M1307" s="1"/>
      <c r="N1307" s="1"/>
      <c r="O1307" s="1"/>
      <c r="P1307" s="1"/>
      <c r="Q1307" s="1"/>
      <c r="R1307" s="1"/>
      <c r="S1307" s="1"/>
      <c r="T1307" s="1"/>
    </row>
    <row r="1308" spans="1:20" ht="33.75" hidden="1" customHeight="1">
      <c r="A1308" s="1" t="s">
        <v>3719</v>
      </c>
      <c r="B1308" s="1" t="s">
        <v>3255</v>
      </c>
      <c r="C1308" s="4">
        <v>39885.421527777777</v>
      </c>
      <c r="D1308" s="1" t="s">
        <v>14</v>
      </c>
      <c r="E1308" s="1" t="s">
        <v>3502</v>
      </c>
      <c r="F1308" s="2" t="s">
        <v>3721</v>
      </c>
      <c r="G1308" s="1">
        <f ca="1">IFERROR(__xludf.DUMMYFUNCTION("COUNTA(SPLIT(F1308,"" ""))"),57)</f>
        <v>57</v>
      </c>
      <c r="H1308" s="1">
        <v>57</v>
      </c>
      <c r="I1308" s="1"/>
      <c r="J1308" s="1"/>
      <c r="K1308" s="1"/>
      <c r="L1308" s="1"/>
      <c r="M1308" s="1"/>
      <c r="N1308" s="1"/>
      <c r="O1308" s="1"/>
      <c r="P1308" s="1"/>
      <c r="Q1308" s="1"/>
      <c r="R1308" s="1"/>
      <c r="S1308" s="1"/>
      <c r="T1308" s="1"/>
    </row>
    <row r="1309" spans="1:20" ht="33.75" customHeight="1">
      <c r="A1309" s="1" t="s">
        <v>3722</v>
      </c>
      <c r="B1309" s="1" t="s">
        <v>2870</v>
      </c>
      <c r="C1309" s="4">
        <v>39885.438888888886</v>
      </c>
      <c r="D1309" s="1" t="s">
        <v>1089</v>
      </c>
      <c r="E1309" s="1"/>
      <c r="F1309" s="2" t="s">
        <v>3723</v>
      </c>
      <c r="G1309" s="1">
        <f ca="1">IFERROR(__xludf.DUMMYFUNCTION("COUNTA(SPLIT(F1309,"" ""))"),116)</f>
        <v>116</v>
      </c>
      <c r="H1309" s="1">
        <v>116</v>
      </c>
      <c r="I1309" s="1"/>
      <c r="J1309" s="1"/>
      <c r="K1309" s="1"/>
      <c r="L1309" s="1"/>
      <c r="M1309" s="1"/>
      <c r="N1309" s="1"/>
      <c r="O1309" s="1"/>
      <c r="P1309" s="1"/>
      <c r="Q1309" s="1"/>
      <c r="R1309" s="1"/>
      <c r="S1309" s="1"/>
      <c r="T1309" s="1"/>
    </row>
    <row r="1310" spans="1:20" ht="33.75" hidden="1" customHeight="1">
      <c r="A1310" s="1" t="s">
        <v>3724</v>
      </c>
      <c r="B1310" s="1" t="s">
        <v>2870</v>
      </c>
      <c r="C1310" s="4">
        <v>39885.445833333331</v>
      </c>
      <c r="D1310" s="1" t="s">
        <v>54</v>
      </c>
      <c r="E1310" s="1" t="s">
        <v>3722</v>
      </c>
      <c r="F1310" s="2" t="s">
        <v>3725</v>
      </c>
      <c r="G1310" s="1">
        <f ca="1">IFERROR(__xludf.DUMMYFUNCTION("COUNTA(SPLIT(F1310,"" ""))"),136)</f>
        <v>136</v>
      </c>
      <c r="H1310" s="1">
        <v>136</v>
      </c>
      <c r="I1310" s="1"/>
      <c r="J1310" s="1"/>
      <c r="K1310" s="1"/>
      <c r="L1310" s="1"/>
      <c r="M1310" s="1"/>
      <c r="N1310" s="1"/>
      <c r="O1310" s="1"/>
      <c r="P1310" s="1"/>
      <c r="Q1310" s="1"/>
      <c r="R1310" s="1"/>
      <c r="S1310" s="1"/>
      <c r="T1310" s="1"/>
    </row>
    <row r="1311" spans="1:20" ht="33.75" customHeight="1">
      <c r="A1311" s="1" t="s">
        <v>3726</v>
      </c>
      <c r="B1311" s="1" t="s">
        <v>2870</v>
      </c>
      <c r="C1311" s="4">
        <v>39885.506944444445</v>
      </c>
      <c r="D1311" s="1" t="s">
        <v>760</v>
      </c>
      <c r="E1311" s="1"/>
      <c r="F1311" s="2" t="s">
        <v>3728</v>
      </c>
      <c r="G1311" s="1">
        <f ca="1">IFERROR(__xludf.DUMMYFUNCTION("COUNTA(SPLIT(F1311,"" ""))"),186)</f>
        <v>186</v>
      </c>
      <c r="H1311" s="1">
        <v>186</v>
      </c>
      <c r="I1311" s="1"/>
      <c r="J1311" s="1"/>
      <c r="K1311" s="1"/>
      <c r="L1311" s="1"/>
      <c r="M1311" s="1"/>
      <c r="N1311" s="1"/>
      <c r="O1311" s="1"/>
      <c r="P1311" s="1"/>
      <c r="Q1311" s="1"/>
      <c r="R1311" s="1"/>
      <c r="S1311" s="1"/>
      <c r="T1311" s="1"/>
    </row>
    <row r="1312" spans="1:20" ht="33.75" customHeight="1">
      <c r="A1312" s="1" t="s">
        <v>3729</v>
      </c>
      <c r="B1312" s="1" t="s">
        <v>3156</v>
      </c>
      <c r="C1312" s="4">
        <v>39885.532638888886</v>
      </c>
      <c r="D1312" s="1" t="s">
        <v>14</v>
      </c>
      <c r="E1312" s="1"/>
      <c r="F1312" s="2" t="s">
        <v>3730</v>
      </c>
      <c r="G1312" s="1">
        <f ca="1">IFERROR(__xludf.DUMMYFUNCTION("COUNTA(SPLIT(F1312,"" ""))"),407)</f>
        <v>407</v>
      </c>
      <c r="H1312" s="1">
        <v>407</v>
      </c>
      <c r="I1312" s="1"/>
      <c r="J1312" s="1"/>
      <c r="K1312" s="1"/>
      <c r="L1312" s="1"/>
      <c r="M1312" s="1"/>
      <c r="N1312" s="1"/>
      <c r="O1312" s="1"/>
      <c r="P1312" s="1"/>
      <c r="Q1312" s="1"/>
      <c r="R1312" s="1"/>
      <c r="S1312" s="1"/>
      <c r="T1312" s="1"/>
    </row>
    <row r="1313" spans="1:20" ht="33.75" customHeight="1">
      <c r="A1313" s="1" t="s">
        <v>3731</v>
      </c>
      <c r="B1313" s="1" t="s">
        <v>2870</v>
      </c>
      <c r="C1313" s="4">
        <v>39885.535416666666</v>
      </c>
      <c r="D1313" s="1" t="s">
        <v>772</v>
      </c>
      <c r="E1313" s="1"/>
      <c r="F1313" s="2" t="s">
        <v>3732</v>
      </c>
      <c r="G1313" s="1">
        <f ca="1">IFERROR(__xludf.DUMMYFUNCTION("COUNTA(SPLIT(F1313,"" ""))"),352)</f>
        <v>352</v>
      </c>
      <c r="H1313" s="1">
        <v>352</v>
      </c>
      <c r="I1313" s="1"/>
      <c r="J1313" s="1"/>
      <c r="K1313" s="1"/>
      <c r="L1313" s="1"/>
      <c r="M1313" s="1"/>
      <c r="N1313" s="1"/>
      <c r="O1313" s="1"/>
      <c r="P1313" s="1"/>
      <c r="Q1313" s="1"/>
      <c r="R1313" s="1"/>
      <c r="S1313" s="1"/>
      <c r="T1313" s="1"/>
    </row>
    <row r="1314" spans="1:20" ht="33.75" customHeight="1">
      <c r="A1314" s="1" t="s">
        <v>3733</v>
      </c>
      <c r="B1314" s="1" t="s">
        <v>2870</v>
      </c>
      <c r="C1314" s="4">
        <v>39885.559027777781</v>
      </c>
      <c r="D1314" s="1" t="s">
        <v>772</v>
      </c>
      <c r="E1314" s="1"/>
      <c r="F1314" s="2" t="s">
        <v>3734</v>
      </c>
      <c r="G1314" s="1">
        <f ca="1">IFERROR(__xludf.DUMMYFUNCTION("COUNTA(SPLIT(F1314,"" ""))"),483)</f>
        <v>483</v>
      </c>
      <c r="H1314" s="1">
        <v>483</v>
      </c>
      <c r="I1314" s="1"/>
      <c r="J1314" s="1"/>
      <c r="K1314" s="1"/>
      <c r="L1314" s="1"/>
      <c r="M1314" s="1"/>
      <c r="N1314" s="1"/>
      <c r="O1314" s="1"/>
      <c r="P1314" s="1"/>
      <c r="Q1314" s="1"/>
      <c r="R1314" s="1"/>
      <c r="S1314" s="1"/>
      <c r="T1314" s="1"/>
    </row>
    <row r="1315" spans="1:20" ht="33.75" customHeight="1">
      <c r="A1315" s="1" t="s">
        <v>3735</v>
      </c>
      <c r="B1315" s="1" t="s">
        <v>2870</v>
      </c>
      <c r="C1315" s="4">
        <v>39885.570833333331</v>
      </c>
      <c r="D1315" s="1" t="s">
        <v>1089</v>
      </c>
      <c r="E1315" s="1"/>
      <c r="F1315" s="2" t="s">
        <v>3736</v>
      </c>
      <c r="G1315" s="1">
        <f ca="1">IFERROR(__xludf.DUMMYFUNCTION("COUNTA(SPLIT(F1315,"" ""))"),108)</f>
        <v>108</v>
      </c>
      <c r="H1315" s="1">
        <v>108</v>
      </c>
      <c r="I1315" s="1"/>
      <c r="J1315" s="1"/>
      <c r="K1315" s="1"/>
      <c r="L1315" s="1"/>
      <c r="M1315" s="1"/>
      <c r="N1315" s="1"/>
      <c r="O1315" s="1"/>
      <c r="P1315" s="1"/>
      <c r="Q1315" s="1"/>
      <c r="R1315" s="1"/>
      <c r="S1315" s="1"/>
      <c r="T1315" s="1"/>
    </row>
    <row r="1316" spans="1:20" ht="33.75" customHeight="1">
      <c r="A1316" s="1" t="s">
        <v>3737</v>
      </c>
      <c r="B1316" s="1" t="s">
        <v>2870</v>
      </c>
      <c r="C1316" s="4">
        <v>39885.588194444441</v>
      </c>
      <c r="D1316" s="1" t="s">
        <v>84</v>
      </c>
      <c r="E1316" s="1"/>
      <c r="F1316" s="2" t="s">
        <v>3738</v>
      </c>
      <c r="G1316" s="1">
        <f ca="1">IFERROR(__xludf.DUMMYFUNCTION("COUNTA(SPLIT(F1316,"" ""))"),196)</f>
        <v>196</v>
      </c>
      <c r="H1316" s="1">
        <v>196</v>
      </c>
      <c r="I1316" s="1"/>
      <c r="J1316" s="1"/>
      <c r="K1316" s="1"/>
      <c r="L1316" s="1"/>
      <c r="M1316" s="1"/>
      <c r="N1316" s="1"/>
      <c r="O1316" s="1"/>
      <c r="P1316" s="1"/>
      <c r="Q1316" s="1"/>
      <c r="R1316" s="1"/>
      <c r="S1316" s="1"/>
      <c r="T1316" s="1"/>
    </row>
    <row r="1317" spans="1:20" ht="33.75" customHeight="1">
      <c r="A1317" s="1" t="s">
        <v>3739</v>
      </c>
      <c r="B1317" s="1" t="s">
        <v>3255</v>
      </c>
      <c r="C1317" s="4">
        <v>39885.611805555556</v>
      </c>
      <c r="D1317" s="1" t="s">
        <v>84</v>
      </c>
      <c r="E1317" s="1"/>
      <c r="F1317" s="2" t="s">
        <v>3741</v>
      </c>
      <c r="G1317" s="1">
        <f ca="1">IFERROR(__xludf.DUMMYFUNCTION("COUNTA(SPLIT(F1317,"" ""))"),186)</f>
        <v>186</v>
      </c>
      <c r="H1317" s="1">
        <v>186</v>
      </c>
      <c r="I1317" s="1"/>
      <c r="J1317" s="1"/>
      <c r="K1317" s="1"/>
      <c r="L1317" s="1"/>
      <c r="M1317" s="1"/>
      <c r="N1317" s="1"/>
      <c r="O1317" s="1"/>
      <c r="P1317" s="1"/>
      <c r="Q1317" s="1"/>
      <c r="R1317" s="1"/>
      <c r="S1317" s="1"/>
      <c r="T1317" s="1"/>
    </row>
    <row r="1318" spans="1:20" ht="33.75" hidden="1" customHeight="1">
      <c r="A1318" s="1" t="s">
        <v>3742</v>
      </c>
      <c r="B1318" s="1" t="s">
        <v>2870</v>
      </c>
      <c r="C1318" s="4">
        <v>39885.613888888889</v>
      </c>
      <c r="D1318" s="1" t="s">
        <v>84</v>
      </c>
      <c r="E1318" s="1" t="s">
        <v>3743</v>
      </c>
      <c r="F1318" s="2" t="s">
        <v>3744</v>
      </c>
      <c r="G1318" s="1">
        <f ca="1">IFERROR(__xludf.DUMMYFUNCTION("COUNTA(SPLIT(F1318,"" ""))"),92)</f>
        <v>92</v>
      </c>
      <c r="H1318" s="1">
        <v>92</v>
      </c>
      <c r="I1318" s="1"/>
      <c r="J1318" s="1"/>
      <c r="K1318" s="1"/>
      <c r="L1318" s="1"/>
      <c r="M1318" s="1"/>
      <c r="N1318" s="1"/>
      <c r="O1318" s="1"/>
      <c r="P1318" s="1"/>
      <c r="Q1318" s="1"/>
      <c r="R1318" s="1"/>
      <c r="S1318" s="1"/>
      <c r="T1318" s="1"/>
    </row>
    <row r="1319" spans="1:20" ht="33.75" hidden="1" customHeight="1">
      <c r="A1319" s="1" t="s">
        <v>3745</v>
      </c>
      <c r="B1319" s="1" t="s">
        <v>2870</v>
      </c>
      <c r="C1319" s="4">
        <v>39885.617361111108</v>
      </c>
      <c r="D1319" s="1" t="s">
        <v>1089</v>
      </c>
      <c r="E1319" s="1">
        <v>986</v>
      </c>
      <c r="F1319" s="2" t="s">
        <v>3746</v>
      </c>
      <c r="G1319" s="1">
        <f ca="1">IFERROR(__xludf.DUMMYFUNCTION("COUNTA(SPLIT(F1319,"" ""))"),49)</f>
        <v>49</v>
      </c>
      <c r="H1319" s="1">
        <v>49</v>
      </c>
      <c r="I1319" s="1"/>
      <c r="J1319" s="1"/>
      <c r="K1319" s="1"/>
      <c r="L1319" s="1"/>
      <c r="M1319" s="1"/>
      <c r="N1319" s="1"/>
      <c r="O1319" s="1"/>
      <c r="P1319" s="1"/>
      <c r="Q1319" s="1"/>
      <c r="R1319" s="1"/>
      <c r="S1319" s="1"/>
      <c r="T1319" s="1"/>
    </row>
    <row r="1320" spans="1:20" ht="33.75" hidden="1" customHeight="1">
      <c r="A1320" s="1" t="s">
        <v>3747</v>
      </c>
      <c r="B1320" s="1" t="s">
        <v>2870</v>
      </c>
      <c r="C1320" s="4">
        <v>39885.635416666664</v>
      </c>
      <c r="D1320" s="1" t="s">
        <v>54</v>
      </c>
      <c r="E1320" s="1" t="s">
        <v>3745</v>
      </c>
      <c r="F1320" s="2" t="s">
        <v>3748</v>
      </c>
      <c r="G1320" s="1">
        <f ca="1">IFERROR(__xludf.DUMMYFUNCTION("COUNTA(SPLIT(F1320,"" ""))"),148)</f>
        <v>148</v>
      </c>
      <c r="H1320" s="1">
        <v>148</v>
      </c>
      <c r="I1320" s="1"/>
      <c r="J1320" s="1"/>
      <c r="K1320" s="1"/>
      <c r="L1320" s="1"/>
      <c r="M1320" s="1"/>
      <c r="N1320" s="1"/>
      <c r="O1320" s="1"/>
      <c r="P1320" s="1"/>
      <c r="Q1320" s="1"/>
      <c r="R1320" s="1"/>
      <c r="S1320" s="1"/>
      <c r="T1320" s="1"/>
    </row>
    <row r="1321" spans="1:20" ht="33.75" customHeight="1">
      <c r="A1321" s="1" t="s">
        <v>3749</v>
      </c>
      <c r="B1321" s="1" t="s">
        <v>3255</v>
      </c>
      <c r="C1321" s="4">
        <v>39885.65</v>
      </c>
      <c r="D1321" s="1" t="s">
        <v>3750</v>
      </c>
      <c r="E1321" s="1"/>
      <c r="F1321" s="2" t="s">
        <v>3752</v>
      </c>
      <c r="G1321" s="1">
        <f ca="1">IFERROR(__xludf.DUMMYFUNCTION("COUNTA(SPLIT(F1321,"" ""))"),23)</f>
        <v>23</v>
      </c>
      <c r="H1321" s="1">
        <v>23</v>
      </c>
      <c r="I1321" s="1"/>
      <c r="J1321" s="1"/>
      <c r="K1321" s="1"/>
      <c r="L1321" s="1"/>
      <c r="M1321" s="1"/>
      <c r="N1321" s="1"/>
      <c r="O1321" s="1"/>
      <c r="P1321" s="1"/>
      <c r="Q1321" s="1"/>
      <c r="R1321" s="1"/>
      <c r="S1321" s="1"/>
      <c r="T1321" s="1"/>
    </row>
    <row r="1322" spans="1:20" ht="33.75" customHeight="1">
      <c r="A1322" s="1" t="s">
        <v>3753</v>
      </c>
      <c r="B1322" s="1" t="s">
        <v>3156</v>
      </c>
      <c r="C1322" s="4">
        <v>39885.665277777778</v>
      </c>
      <c r="D1322" s="1" t="s">
        <v>320</v>
      </c>
      <c r="E1322" s="1"/>
      <c r="F1322" s="2" t="s">
        <v>3754</v>
      </c>
      <c r="G1322" s="1">
        <f ca="1">IFERROR(__xludf.DUMMYFUNCTION("COUNTA(SPLIT(F1322,"" ""))"),333)</f>
        <v>333</v>
      </c>
      <c r="H1322" s="1">
        <v>333</v>
      </c>
      <c r="I1322" s="1"/>
      <c r="J1322" s="1"/>
      <c r="K1322" s="1"/>
      <c r="L1322" s="1"/>
      <c r="M1322" s="1"/>
      <c r="N1322" s="1"/>
      <c r="O1322" s="1"/>
      <c r="P1322" s="1"/>
      <c r="Q1322" s="1"/>
      <c r="R1322" s="1"/>
      <c r="S1322" s="1"/>
      <c r="T1322" s="1"/>
    </row>
    <row r="1323" spans="1:20" ht="33.75" customHeight="1">
      <c r="A1323" s="1" t="s">
        <v>3755</v>
      </c>
      <c r="B1323" s="1" t="s">
        <v>3156</v>
      </c>
      <c r="C1323" s="4">
        <v>39885.672222222223</v>
      </c>
      <c r="D1323" s="1" t="s">
        <v>14</v>
      </c>
      <c r="E1323" s="1"/>
      <c r="F1323" s="2" t="s">
        <v>3756</v>
      </c>
      <c r="G1323" s="1">
        <f ca="1">IFERROR(__xludf.DUMMYFUNCTION("COUNTA(SPLIT(F1323,"" ""))"),597)</f>
        <v>597</v>
      </c>
      <c r="H1323" s="1">
        <v>597</v>
      </c>
      <c r="I1323" s="1"/>
      <c r="J1323" s="1"/>
      <c r="K1323" s="1"/>
      <c r="L1323" s="1"/>
      <c r="M1323" s="1"/>
      <c r="N1323" s="1"/>
      <c r="O1323" s="1"/>
      <c r="P1323" s="1"/>
      <c r="Q1323" s="1"/>
      <c r="R1323" s="1"/>
      <c r="S1323" s="1"/>
      <c r="T1323" s="1"/>
    </row>
    <row r="1324" spans="1:20" ht="33.75" hidden="1" customHeight="1">
      <c r="A1324" s="1" t="s">
        <v>3757</v>
      </c>
      <c r="B1324" s="1" t="s">
        <v>3156</v>
      </c>
      <c r="C1324" s="4">
        <v>39885.69027777778</v>
      </c>
      <c r="D1324" s="1" t="s">
        <v>196</v>
      </c>
      <c r="E1324" s="1" t="s">
        <v>3755</v>
      </c>
      <c r="F1324" s="2" t="s">
        <v>3758</v>
      </c>
      <c r="G1324" s="1">
        <f ca="1">IFERROR(__xludf.DUMMYFUNCTION("COUNTA(SPLIT(F1324,"" ""))"),85)</f>
        <v>85</v>
      </c>
      <c r="H1324" s="1">
        <v>85</v>
      </c>
      <c r="I1324" s="1"/>
      <c r="J1324" s="1"/>
      <c r="K1324" s="1"/>
      <c r="L1324" s="1"/>
      <c r="M1324" s="1"/>
      <c r="N1324" s="1"/>
      <c r="O1324" s="1"/>
      <c r="P1324" s="1"/>
      <c r="Q1324" s="1"/>
      <c r="R1324" s="1"/>
      <c r="S1324" s="1"/>
      <c r="T1324" s="1"/>
    </row>
    <row r="1325" spans="1:20" ht="33.75" hidden="1" customHeight="1">
      <c r="A1325" s="1" t="s">
        <v>3759</v>
      </c>
      <c r="B1325" s="1" t="s">
        <v>3255</v>
      </c>
      <c r="C1325" s="4">
        <v>39885.699999999997</v>
      </c>
      <c r="D1325" s="1" t="s">
        <v>54</v>
      </c>
      <c r="E1325" s="1" t="s">
        <v>3760</v>
      </c>
      <c r="F1325" s="2" t="s">
        <v>3762</v>
      </c>
      <c r="G1325" s="1">
        <f ca="1">IFERROR(__xludf.DUMMYFUNCTION("COUNTA(SPLIT(F1325,"" ""))"),29)</f>
        <v>29</v>
      </c>
      <c r="H1325" s="1">
        <v>29</v>
      </c>
      <c r="I1325" s="1"/>
      <c r="J1325" s="1"/>
      <c r="K1325" s="1"/>
      <c r="L1325" s="1"/>
      <c r="M1325" s="1"/>
      <c r="N1325" s="1"/>
      <c r="O1325" s="1"/>
      <c r="P1325" s="1"/>
      <c r="Q1325" s="1"/>
      <c r="R1325" s="1"/>
      <c r="S1325" s="1"/>
      <c r="T1325" s="1"/>
    </row>
    <row r="1326" spans="1:20" ht="33.75" customHeight="1">
      <c r="A1326" s="1" t="s">
        <v>3763</v>
      </c>
      <c r="B1326" s="1" t="s">
        <v>2870</v>
      </c>
      <c r="C1326" s="4">
        <v>39885.715277777781</v>
      </c>
      <c r="D1326" s="1" t="s">
        <v>1089</v>
      </c>
      <c r="E1326" s="1"/>
      <c r="F1326" s="2" t="s">
        <v>3764</v>
      </c>
      <c r="G1326" s="1">
        <f ca="1">IFERROR(__xludf.DUMMYFUNCTION("COUNTA(SPLIT(F1326,"" ""))"),93)</f>
        <v>93</v>
      </c>
      <c r="H1326" s="1">
        <v>93</v>
      </c>
      <c r="I1326" s="1"/>
      <c r="J1326" s="1"/>
      <c r="K1326" s="1"/>
      <c r="L1326" s="1"/>
      <c r="M1326" s="1"/>
      <c r="N1326" s="1"/>
      <c r="O1326" s="1"/>
      <c r="P1326" s="1"/>
      <c r="Q1326" s="1"/>
      <c r="R1326" s="1"/>
      <c r="S1326" s="1"/>
      <c r="T1326" s="1"/>
    </row>
    <row r="1327" spans="1:20" ht="33.75" hidden="1" customHeight="1">
      <c r="A1327" s="1" t="s">
        <v>3765</v>
      </c>
      <c r="B1327" s="1" t="s">
        <v>3156</v>
      </c>
      <c r="C1327" s="4">
        <v>39888.769444444442</v>
      </c>
      <c r="D1327" s="1" t="s">
        <v>1528</v>
      </c>
      <c r="E1327" s="1" t="s">
        <v>3766</v>
      </c>
      <c r="F1327" s="2" t="s">
        <v>3767</v>
      </c>
      <c r="G1327" s="1">
        <f ca="1">IFERROR(__xludf.DUMMYFUNCTION("COUNTA(SPLIT(F1327,"" ""))"),124)</f>
        <v>124</v>
      </c>
      <c r="H1327" s="1">
        <v>124</v>
      </c>
      <c r="I1327" s="1"/>
      <c r="J1327" s="1"/>
      <c r="K1327" s="1"/>
      <c r="L1327" s="1"/>
      <c r="M1327" s="1"/>
      <c r="N1327" s="1"/>
      <c r="O1327" s="1"/>
      <c r="P1327" s="1"/>
      <c r="Q1327" s="1"/>
      <c r="R1327" s="1"/>
      <c r="S1327" s="1"/>
      <c r="T1327" s="1"/>
    </row>
    <row r="1328" spans="1:20" ht="33.75" hidden="1" customHeight="1">
      <c r="A1328" s="1" t="s">
        <v>3768</v>
      </c>
      <c r="B1328" s="1" t="s">
        <v>3156</v>
      </c>
      <c r="C1328" s="4">
        <v>39885.821527777778</v>
      </c>
      <c r="D1328" s="1" t="s">
        <v>14</v>
      </c>
      <c r="E1328" s="1" t="s">
        <v>3755</v>
      </c>
      <c r="F1328" s="2" t="s">
        <v>3769</v>
      </c>
      <c r="G1328" s="1">
        <f ca="1">IFERROR(__xludf.DUMMYFUNCTION("COUNTA(SPLIT(F1328,"" ""))"),27)</f>
        <v>27</v>
      </c>
      <c r="H1328" s="1">
        <v>27</v>
      </c>
      <c r="I1328" s="1"/>
      <c r="J1328" s="1"/>
      <c r="K1328" s="1"/>
      <c r="L1328" s="1"/>
      <c r="M1328" s="1"/>
      <c r="N1328" s="1"/>
      <c r="O1328" s="1"/>
      <c r="P1328" s="1"/>
      <c r="Q1328" s="1"/>
      <c r="R1328" s="1"/>
      <c r="S1328" s="1"/>
      <c r="T1328" s="1"/>
    </row>
    <row r="1329" spans="1:20" ht="33.75" customHeight="1">
      <c r="A1329" s="1" t="s">
        <v>3770</v>
      </c>
      <c r="B1329" s="1" t="s">
        <v>3156</v>
      </c>
      <c r="C1329" s="4">
        <v>39885.84375</v>
      </c>
      <c r="D1329" s="1" t="s">
        <v>14</v>
      </c>
      <c r="E1329" s="1"/>
      <c r="F1329" s="2" t="s">
        <v>3771</v>
      </c>
      <c r="G1329" s="1">
        <f ca="1">IFERROR(__xludf.DUMMYFUNCTION("COUNTA(SPLIT(F1329,"" ""))"),415)</f>
        <v>415</v>
      </c>
      <c r="H1329" s="1">
        <v>415</v>
      </c>
      <c r="I1329" s="1"/>
      <c r="J1329" s="1"/>
      <c r="K1329" s="1"/>
      <c r="L1329" s="1"/>
      <c r="M1329" s="1"/>
      <c r="N1329" s="1"/>
      <c r="O1329" s="1"/>
      <c r="P1329" s="1"/>
      <c r="Q1329" s="1"/>
      <c r="R1329" s="1"/>
      <c r="S1329" s="1"/>
      <c r="T1329" s="1"/>
    </row>
    <row r="1330" spans="1:20" ht="33.75" hidden="1" customHeight="1">
      <c r="A1330" s="1" t="s">
        <v>3772</v>
      </c>
      <c r="B1330" s="1" t="s">
        <v>3156</v>
      </c>
      <c r="C1330" s="4">
        <v>39885.845833333333</v>
      </c>
      <c r="D1330" s="1" t="s">
        <v>196</v>
      </c>
      <c r="E1330" s="1" t="s">
        <v>3755</v>
      </c>
      <c r="F1330" s="2" t="s">
        <v>3773</v>
      </c>
      <c r="G1330" s="1">
        <f ca="1">IFERROR(__xludf.DUMMYFUNCTION("COUNTA(SPLIT(F1330,"" ""))"),126)</f>
        <v>126</v>
      </c>
      <c r="H1330" s="1">
        <v>126</v>
      </c>
      <c r="I1330" s="1"/>
      <c r="J1330" s="1"/>
      <c r="K1330" s="1"/>
      <c r="L1330" s="1"/>
      <c r="M1330" s="1"/>
      <c r="N1330" s="1"/>
      <c r="O1330" s="1"/>
      <c r="P1330" s="1"/>
      <c r="Q1330" s="1"/>
      <c r="R1330" s="1"/>
      <c r="S1330" s="1"/>
      <c r="T1330" s="1"/>
    </row>
    <row r="1331" spans="1:20" ht="33.75" hidden="1" customHeight="1">
      <c r="A1331" s="1" t="s">
        <v>3774</v>
      </c>
      <c r="B1331" s="1" t="s">
        <v>3156</v>
      </c>
      <c r="C1331" s="4">
        <v>39885.853472222225</v>
      </c>
      <c r="D1331" s="1" t="s">
        <v>14</v>
      </c>
      <c r="E1331" s="1" t="s">
        <v>3755</v>
      </c>
      <c r="F1331" s="2" t="s">
        <v>3775</v>
      </c>
      <c r="G1331" s="1">
        <f ca="1">IFERROR(__xludf.DUMMYFUNCTION("COUNTA(SPLIT(F1331,"" ""))"),85)</f>
        <v>85</v>
      </c>
      <c r="H1331" s="1">
        <v>85</v>
      </c>
      <c r="I1331" s="1"/>
      <c r="J1331" s="1"/>
      <c r="K1331" s="1"/>
      <c r="L1331" s="1"/>
      <c r="M1331" s="1"/>
      <c r="N1331" s="1"/>
      <c r="O1331" s="1"/>
      <c r="P1331" s="1"/>
      <c r="Q1331" s="1"/>
      <c r="R1331" s="1"/>
      <c r="S1331" s="1"/>
      <c r="T1331" s="1"/>
    </row>
    <row r="1332" spans="1:20" ht="33.75" hidden="1" customHeight="1">
      <c r="A1332" s="1" t="s">
        <v>3776</v>
      </c>
      <c r="B1332" s="1" t="s">
        <v>2870</v>
      </c>
      <c r="C1332" s="4">
        <v>39885.86041666667</v>
      </c>
      <c r="D1332" s="1" t="s">
        <v>54</v>
      </c>
      <c r="E1332" s="1" t="s">
        <v>3763</v>
      </c>
      <c r="F1332" s="2" t="s">
        <v>3778</v>
      </c>
      <c r="G1332" s="1">
        <f ca="1">IFERROR(__xludf.DUMMYFUNCTION("COUNTA(SPLIT(F1332,"" ""))"),37)</f>
        <v>37</v>
      </c>
      <c r="H1332" s="1">
        <v>37</v>
      </c>
      <c r="I1332" s="1"/>
      <c r="J1332" s="1"/>
      <c r="K1332" s="1"/>
      <c r="L1332" s="1"/>
      <c r="M1332" s="1"/>
      <c r="N1332" s="1"/>
      <c r="O1332" s="1"/>
      <c r="P1332" s="1"/>
      <c r="Q1332" s="1"/>
      <c r="R1332" s="1"/>
      <c r="S1332" s="1"/>
      <c r="T1332" s="1"/>
    </row>
    <row r="1333" spans="1:20" ht="33.75" hidden="1" customHeight="1">
      <c r="A1333" s="1" t="s">
        <v>3779</v>
      </c>
      <c r="B1333" s="1" t="s">
        <v>3156</v>
      </c>
      <c r="C1333" s="4">
        <v>39885.865972222222</v>
      </c>
      <c r="D1333" s="1" t="s">
        <v>196</v>
      </c>
      <c r="E1333" s="1" t="s">
        <v>3770</v>
      </c>
      <c r="F1333" s="2" t="s">
        <v>3781</v>
      </c>
      <c r="G1333" s="1">
        <f ca="1">IFERROR(__xludf.DUMMYFUNCTION("COUNTA(SPLIT(F1333,"" ""))"),54)</f>
        <v>54</v>
      </c>
      <c r="H1333" s="1">
        <v>54</v>
      </c>
      <c r="I1333" s="1"/>
      <c r="J1333" s="1"/>
      <c r="K1333" s="1"/>
      <c r="L1333" s="1"/>
      <c r="M1333" s="1"/>
      <c r="N1333" s="1"/>
      <c r="O1333" s="1"/>
      <c r="P1333" s="1"/>
      <c r="Q1333" s="1"/>
      <c r="R1333" s="1"/>
      <c r="S1333" s="1"/>
      <c r="T1333" s="1"/>
    </row>
    <row r="1334" spans="1:20" ht="33.75" customHeight="1">
      <c r="A1334" s="1" t="s">
        <v>3782</v>
      </c>
      <c r="B1334" s="1" t="s">
        <v>3156</v>
      </c>
      <c r="C1334" s="4">
        <v>39885.866666666669</v>
      </c>
      <c r="D1334" s="1" t="s">
        <v>14</v>
      </c>
      <c r="E1334" s="1"/>
      <c r="F1334" s="2" t="s">
        <v>3784</v>
      </c>
      <c r="G1334" s="1">
        <f ca="1">IFERROR(__xludf.DUMMYFUNCTION("COUNTA(SPLIT(F1334,"" ""))"),223)</f>
        <v>223</v>
      </c>
      <c r="H1334" s="1">
        <v>223</v>
      </c>
      <c r="I1334" s="1"/>
      <c r="J1334" s="1"/>
      <c r="K1334" s="1"/>
      <c r="L1334" s="1"/>
      <c r="M1334" s="1"/>
      <c r="N1334" s="1"/>
      <c r="O1334" s="1"/>
      <c r="P1334" s="1"/>
      <c r="Q1334" s="1"/>
      <c r="R1334" s="1"/>
      <c r="S1334" s="1"/>
      <c r="T1334" s="1"/>
    </row>
    <row r="1335" spans="1:20" ht="33.75" hidden="1" customHeight="1">
      <c r="A1335" s="1" t="s">
        <v>3785</v>
      </c>
      <c r="B1335" s="1" t="s">
        <v>2870</v>
      </c>
      <c r="C1335" s="4">
        <v>39885.923611111109</v>
      </c>
      <c r="D1335" s="1" t="s">
        <v>760</v>
      </c>
      <c r="E1335" s="1" t="s">
        <v>3786</v>
      </c>
      <c r="F1335" s="2" t="s">
        <v>3787</v>
      </c>
      <c r="G1335" s="1">
        <f ca="1">IFERROR(__xludf.DUMMYFUNCTION("COUNTA(SPLIT(F1335,"" ""))"),195)</f>
        <v>195</v>
      </c>
      <c r="H1335" s="1">
        <v>195</v>
      </c>
      <c r="I1335" s="1"/>
      <c r="J1335" s="1"/>
      <c r="K1335" s="1"/>
      <c r="L1335" s="1"/>
      <c r="M1335" s="1"/>
      <c r="N1335" s="1"/>
      <c r="O1335" s="1"/>
      <c r="P1335" s="1"/>
      <c r="Q1335" s="1"/>
      <c r="R1335" s="1"/>
      <c r="S1335" s="1"/>
      <c r="T1335" s="1"/>
    </row>
    <row r="1336" spans="1:20" ht="33.75" hidden="1" customHeight="1">
      <c r="A1336" s="1" t="s">
        <v>3788</v>
      </c>
      <c r="B1336" s="1" t="s">
        <v>2870</v>
      </c>
      <c r="C1336" s="4">
        <v>39885.970833333333</v>
      </c>
      <c r="D1336" s="1" t="s">
        <v>1089</v>
      </c>
      <c r="E1336" s="1" t="s">
        <v>3789</v>
      </c>
      <c r="F1336" s="2" t="s">
        <v>3790</v>
      </c>
      <c r="G1336" s="1">
        <f ca="1">IFERROR(__xludf.DUMMYFUNCTION("COUNTA(SPLIT(F1336,"" ""))"),59)</f>
        <v>59</v>
      </c>
      <c r="H1336" s="1">
        <v>59</v>
      </c>
      <c r="I1336" s="1"/>
      <c r="J1336" s="1"/>
      <c r="K1336" s="1"/>
      <c r="L1336" s="1"/>
      <c r="M1336" s="1"/>
      <c r="N1336" s="1"/>
      <c r="O1336" s="1"/>
      <c r="P1336" s="1"/>
      <c r="Q1336" s="1"/>
      <c r="R1336" s="1"/>
      <c r="S1336" s="1"/>
      <c r="T1336" s="1"/>
    </row>
    <row r="1337" spans="1:20" ht="33.75" customHeight="1">
      <c r="A1337" s="1" t="s">
        <v>3791</v>
      </c>
      <c r="B1337" s="1" t="s">
        <v>3156</v>
      </c>
      <c r="C1337" s="4">
        <v>39886.199305555558</v>
      </c>
      <c r="D1337" s="1" t="s">
        <v>54</v>
      </c>
      <c r="E1337" s="1"/>
      <c r="F1337" s="2" t="s">
        <v>3792</v>
      </c>
      <c r="G1337" s="1">
        <f ca="1">IFERROR(__xludf.DUMMYFUNCTION("COUNTA(SPLIT(F1337,"" ""))"),295)</f>
        <v>295</v>
      </c>
      <c r="H1337" s="1">
        <v>295</v>
      </c>
      <c r="I1337" s="1"/>
      <c r="J1337" s="1"/>
      <c r="K1337" s="1"/>
      <c r="L1337" s="1"/>
      <c r="M1337" s="1"/>
      <c r="N1337" s="1"/>
      <c r="O1337" s="1"/>
      <c r="P1337" s="1"/>
      <c r="Q1337" s="1"/>
      <c r="R1337" s="1"/>
      <c r="S1337" s="1"/>
      <c r="T1337" s="1"/>
    </row>
    <row r="1338" spans="1:20" ht="33.75" customHeight="1">
      <c r="A1338" s="1" t="s">
        <v>3793</v>
      </c>
      <c r="B1338" s="1" t="s">
        <v>2870</v>
      </c>
      <c r="C1338" s="4">
        <v>39886.25277777778</v>
      </c>
      <c r="D1338" s="1" t="s">
        <v>2242</v>
      </c>
      <c r="E1338" s="1"/>
      <c r="F1338" s="2" t="s">
        <v>3795</v>
      </c>
      <c r="G1338" s="1">
        <f ca="1">IFERROR(__xludf.DUMMYFUNCTION("COUNTA(SPLIT(F1338,"" ""))"),215)</f>
        <v>215</v>
      </c>
      <c r="H1338" s="1">
        <v>215</v>
      </c>
      <c r="I1338" s="1"/>
      <c r="J1338" s="1"/>
      <c r="K1338" s="1"/>
      <c r="L1338" s="1"/>
      <c r="M1338" s="1"/>
      <c r="N1338" s="1"/>
      <c r="O1338" s="1"/>
      <c r="P1338" s="1"/>
      <c r="Q1338" s="1"/>
      <c r="R1338" s="1"/>
      <c r="S1338" s="1"/>
      <c r="T1338" s="1"/>
    </row>
    <row r="1339" spans="1:20" ht="33.75" customHeight="1">
      <c r="A1339" s="1" t="s">
        <v>3796</v>
      </c>
      <c r="B1339" s="1" t="s">
        <v>2870</v>
      </c>
      <c r="C1339" s="4">
        <v>39886.359027777777</v>
      </c>
      <c r="D1339" s="1" t="s">
        <v>54</v>
      </c>
      <c r="E1339" s="1"/>
      <c r="F1339" s="2" t="s">
        <v>3798</v>
      </c>
      <c r="G1339" s="1">
        <f ca="1">IFERROR(__xludf.DUMMYFUNCTION("COUNTA(SPLIT(F1339,"" ""))"),40)</f>
        <v>40</v>
      </c>
      <c r="H1339" s="1">
        <v>40</v>
      </c>
      <c r="I1339" s="1"/>
      <c r="J1339" s="1"/>
      <c r="K1339" s="1"/>
      <c r="L1339" s="1"/>
      <c r="M1339" s="1"/>
      <c r="N1339" s="1"/>
      <c r="O1339" s="1"/>
      <c r="P1339" s="1"/>
      <c r="Q1339" s="1"/>
      <c r="R1339" s="1"/>
      <c r="S1339" s="1"/>
      <c r="T1339" s="1"/>
    </row>
    <row r="1340" spans="1:20" ht="33.75" customHeight="1">
      <c r="A1340" s="1" t="s">
        <v>3799</v>
      </c>
      <c r="B1340" s="1" t="s">
        <v>3800</v>
      </c>
      <c r="C1340" s="4">
        <v>39886.380555555559</v>
      </c>
      <c r="D1340" s="1" t="s">
        <v>54</v>
      </c>
      <c r="E1340" s="1"/>
      <c r="F1340" s="2" t="s">
        <v>3802</v>
      </c>
      <c r="G1340" s="1">
        <f ca="1">IFERROR(__xludf.DUMMYFUNCTION("COUNTA(SPLIT(F1340,"" ""))"),97)</f>
        <v>97</v>
      </c>
      <c r="H1340" s="1">
        <v>97</v>
      </c>
      <c r="I1340" s="1"/>
      <c r="J1340" s="1"/>
      <c r="K1340" s="1"/>
      <c r="L1340" s="1"/>
      <c r="M1340" s="1"/>
      <c r="N1340" s="1"/>
      <c r="O1340" s="1"/>
      <c r="P1340" s="1"/>
      <c r="Q1340" s="1"/>
      <c r="R1340" s="1"/>
      <c r="S1340" s="1"/>
      <c r="T1340" s="1"/>
    </row>
    <row r="1341" spans="1:20" ht="33.75" customHeight="1">
      <c r="A1341" s="1" t="s">
        <v>3803</v>
      </c>
      <c r="B1341" s="1" t="s">
        <v>3800</v>
      </c>
      <c r="C1341" s="4">
        <v>39886.385416666664</v>
      </c>
      <c r="D1341" s="1" t="s">
        <v>54</v>
      </c>
      <c r="E1341" s="1"/>
      <c r="F1341" s="2" t="s">
        <v>3805</v>
      </c>
      <c r="G1341" s="1">
        <f ca="1">IFERROR(__xludf.DUMMYFUNCTION("COUNTA(SPLIT(F1341,"" ""))"),81)</f>
        <v>81</v>
      </c>
      <c r="H1341" s="1">
        <v>81</v>
      </c>
      <c r="I1341" s="1"/>
      <c r="J1341" s="1"/>
      <c r="K1341" s="1"/>
      <c r="L1341" s="1"/>
      <c r="M1341" s="1"/>
      <c r="N1341" s="1"/>
      <c r="O1341" s="1"/>
      <c r="P1341" s="1"/>
      <c r="Q1341" s="1"/>
      <c r="R1341" s="1"/>
      <c r="S1341" s="1"/>
      <c r="T1341" s="1"/>
    </row>
    <row r="1342" spans="1:20" ht="33.75" customHeight="1">
      <c r="A1342" s="1" t="s">
        <v>3806</v>
      </c>
      <c r="B1342" s="1" t="s">
        <v>3800</v>
      </c>
      <c r="C1342" s="4">
        <v>39886.393750000003</v>
      </c>
      <c r="D1342" s="1" t="s">
        <v>54</v>
      </c>
      <c r="E1342" s="1"/>
      <c r="F1342" s="2" t="s">
        <v>3808</v>
      </c>
      <c r="G1342" s="1">
        <f ca="1">IFERROR(__xludf.DUMMYFUNCTION("COUNTA(SPLIT(F1342,"" ""))"),103)</f>
        <v>103</v>
      </c>
      <c r="H1342" s="1">
        <v>103</v>
      </c>
      <c r="I1342" s="1"/>
      <c r="J1342" s="1"/>
      <c r="K1342" s="1"/>
      <c r="L1342" s="1"/>
      <c r="M1342" s="1"/>
      <c r="N1342" s="1"/>
      <c r="O1342" s="1"/>
      <c r="P1342" s="1"/>
      <c r="Q1342" s="1"/>
      <c r="R1342" s="1"/>
      <c r="S1342" s="1"/>
      <c r="T1342" s="1"/>
    </row>
    <row r="1343" spans="1:20" ht="33.75" customHeight="1">
      <c r="A1343" s="1" t="s">
        <v>3809</v>
      </c>
      <c r="B1343" s="1" t="s">
        <v>3156</v>
      </c>
      <c r="C1343" s="4">
        <v>39886.40347222222</v>
      </c>
      <c r="D1343" s="1" t="s">
        <v>14</v>
      </c>
      <c r="E1343" s="1"/>
      <c r="F1343" s="2" t="s">
        <v>3811</v>
      </c>
      <c r="G1343" s="1">
        <f ca="1">IFERROR(__xludf.DUMMYFUNCTION("COUNTA(SPLIT(F1343,"" ""))"),15)</f>
        <v>15</v>
      </c>
      <c r="H1343" s="1">
        <v>15</v>
      </c>
      <c r="I1343" s="1"/>
      <c r="J1343" s="1"/>
      <c r="K1343" s="1"/>
      <c r="L1343" s="1"/>
      <c r="M1343" s="1"/>
      <c r="N1343" s="1"/>
      <c r="O1343" s="1"/>
      <c r="P1343" s="1"/>
      <c r="Q1343" s="1"/>
      <c r="R1343" s="1"/>
      <c r="S1343" s="1"/>
      <c r="T1343" s="1"/>
    </row>
    <row r="1344" spans="1:20" ht="33.75" hidden="1" customHeight="1">
      <c r="A1344" s="1" t="s">
        <v>3812</v>
      </c>
      <c r="B1344" s="1" t="s">
        <v>3800</v>
      </c>
      <c r="C1344" s="4">
        <v>39886.40625</v>
      </c>
      <c r="D1344" s="1" t="s">
        <v>54</v>
      </c>
      <c r="E1344" s="1" t="s">
        <v>2242</v>
      </c>
      <c r="F1344" s="2" t="s">
        <v>3814</v>
      </c>
      <c r="G1344" s="1">
        <f ca="1">IFERROR(__xludf.DUMMYFUNCTION("COUNTA(SPLIT(F1344,"" ""))"),132)</f>
        <v>132</v>
      </c>
      <c r="H1344" s="1">
        <v>132</v>
      </c>
      <c r="I1344" s="1"/>
      <c r="J1344" s="1"/>
      <c r="K1344" s="1"/>
      <c r="L1344" s="1"/>
      <c r="M1344" s="1"/>
      <c r="N1344" s="1"/>
      <c r="O1344" s="1"/>
      <c r="P1344" s="1"/>
      <c r="Q1344" s="1"/>
      <c r="R1344" s="1"/>
      <c r="S1344" s="1"/>
      <c r="T1344" s="1"/>
    </row>
    <row r="1345" spans="1:20" ht="33.75" hidden="1" customHeight="1">
      <c r="A1345" s="1" t="s">
        <v>3815</v>
      </c>
      <c r="B1345" s="1" t="s">
        <v>3800</v>
      </c>
      <c r="C1345" s="4">
        <v>39886.4375</v>
      </c>
      <c r="D1345" s="1" t="s">
        <v>2893</v>
      </c>
      <c r="E1345" s="1" t="s">
        <v>3806</v>
      </c>
      <c r="F1345" s="2" t="s">
        <v>3817</v>
      </c>
      <c r="G1345" s="1">
        <f ca="1">IFERROR(__xludf.DUMMYFUNCTION("COUNTA(SPLIT(F1345,"" ""))"),162)</f>
        <v>162</v>
      </c>
      <c r="H1345" s="1">
        <v>162</v>
      </c>
      <c r="I1345" s="1"/>
      <c r="J1345" s="1"/>
      <c r="K1345" s="1"/>
      <c r="L1345" s="1"/>
      <c r="M1345" s="1"/>
      <c r="N1345" s="1"/>
      <c r="O1345" s="1"/>
      <c r="P1345" s="1"/>
      <c r="Q1345" s="1"/>
      <c r="R1345" s="1"/>
      <c r="S1345" s="1"/>
      <c r="T1345" s="1"/>
    </row>
    <row r="1346" spans="1:20" ht="33.75" customHeight="1">
      <c r="A1346" s="1" t="s">
        <v>3818</v>
      </c>
      <c r="B1346" s="1" t="s">
        <v>3800</v>
      </c>
      <c r="C1346" s="4">
        <v>39886.444444444445</v>
      </c>
      <c r="D1346" s="1" t="s">
        <v>772</v>
      </c>
      <c r="E1346" s="1"/>
      <c r="F1346" s="2" t="s">
        <v>3819</v>
      </c>
      <c r="G1346" s="1">
        <f ca="1">IFERROR(__xludf.DUMMYFUNCTION("COUNTA(SPLIT(F1346,"" ""))"),873)</f>
        <v>873</v>
      </c>
      <c r="H1346" s="1">
        <v>873</v>
      </c>
      <c r="I1346" s="1"/>
      <c r="J1346" s="1"/>
      <c r="K1346" s="1"/>
      <c r="L1346" s="1"/>
      <c r="M1346" s="1"/>
      <c r="N1346" s="1"/>
      <c r="O1346" s="1"/>
      <c r="P1346" s="1"/>
      <c r="Q1346" s="1"/>
      <c r="R1346" s="1"/>
      <c r="S1346" s="1"/>
      <c r="T1346" s="1"/>
    </row>
    <row r="1347" spans="1:20" ht="33.75" customHeight="1">
      <c r="A1347" s="1" t="s">
        <v>3820</v>
      </c>
      <c r="B1347" s="1" t="s">
        <v>3800</v>
      </c>
      <c r="C1347" s="4">
        <v>39886.509027777778</v>
      </c>
      <c r="D1347" s="1" t="s">
        <v>84</v>
      </c>
      <c r="E1347" s="1"/>
      <c r="F1347" s="2" t="s">
        <v>3822</v>
      </c>
      <c r="G1347" s="1">
        <f ca="1">IFERROR(__xludf.DUMMYFUNCTION("COUNTA(SPLIT(F1347,"" ""))"),5)</f>
        <v>5</v>
      </c>
      <c r="H1347" s="1">
        <v>5</v>
      </c>
      <c r="I1347" s="1"/>
      <c r="J1347" s="1"/>
      <c r="K1347" s="1"/>
      <c r="L1347" s="1"/>
      <c r="M1347" s="1"/>
      <c r="N1347" s="1"/>
      <c r="O1347" s="1"/>
      <c r="P1347" s="1"/>
      <c r="Q1347" s="1"/>
      <c r="R1347" s="1"/>
      <c r="S1347" s="1"/>
      <c r="T1347" s="1"/>
    </row>
    <row r="1348" spans="1:20" ht="33.75" customHeight="1">
      <c r="A1348" s="1" t="s">
        <v>3823</v>
      </c>
      <c r="B1348" s="1" t="s">
        <v>3800</v>
      </c>
      <c r="C1348" s="4">
        <v>39886.525694444441</v>
      </c>
      <c r="D1348" s="1" t="s">
        <v>2242</v>
      </c>
      <c r="E1348" s="1"/>
      <c r="F1348" s="2" t="s">
        <v>3824</v>
      </c>
      <c r="G1348" s="1">
        <f ca="1">IFERROR(__xludf.DUMMYFUNCTION("COUNTA(SPLIT(F1348,"" ""))"),329)</f>
        <v>329</v>
      </c>
      <c r="H1348" s="1">
        <v>329</v>
      </c>
      <c r="I1348" s="1"/>
      <c r="J1348" s="1"/>
      <c r="K1348" s="1"/>
      <c r="L1348" s="1"/>
      <c r="M1348" s="1"/>
      <c r="N1348" s="1"/>
      <c r="O1348" s="1"/>
      <c r="P1348" s="1"/>
      <c r="Q1348" s="1"/>
      <c r="R1348" s="1"/>
      <c r="S1348" s="1"/>
      <c r="T1348" s="1"/>
    </row>
    <row r="1349" spans="1:20" ht="33.75" customHeight="1">
      <c r="A1349" s="1" t="s">
        <v>3825</v>
      </c>
      <c r="B1349" s="1" t="s">
        <v>3156</v>
      </c>
      <c r="C1349" s="4">
        <v>39886.539583333331</v>
      </c>
      <c r="D1349" s="1" t="s">
        <v>14</v>
      </c>
      <c r="E1349" s="1"/>
      <c r="F1349" s="2" t="s">
        <v>3827</v>
      </c>
      <c r="G1349" s="1">
        <f ca="1">IFERROR(__xludf.DUMMYFUNCTION("COUNTA(SPLIT(F1349,"" ""))"),564)</f>
        <v>564</v>
      </c>
      <c r="H1349" s="1">
        <v>564</v>
      </c>
      <c r="I1349" s="1"/>
      <c r="J1349" s="1"/>
      <c r="K1349" s="1"/>
      <c r="L1349" s="1"/>
      <c r="M1349" s="1"/>
      <c r="N1349" s="1"/>
      <c r="O1349" s="1"/>
      <c r="P1349" s="1"/>
      <c r="Q1349" s="1"/>
      <c r="R1349" s="1"/>
      <c r="S1349" s="1"/>
      <c r="T1349" s="1"/>
    </row>
    <row r="1350" spans="1:20" ht="33.75" customHeight="1">
      <c r="A1350" s="1" t="s">
        <v>3828</v>
      </c>
      <c r="B1350" s="1" t="s">
        <v>3156</v>
      </c>
      <c r="C1350" s="4">
        <v>39886.561111111114</v>
      </c>
      <c r="D1350" s="1" t="s">
        <v>14</v>
      </c>
      <c r="E1350" s="1"/>
      <c r="F1350" s="2" t="s">
        <v>3830</v>
      </c>
      <c r="G1350" s="1">
        <f ca="1">IFERROR(__xludf.DUMMYFUNCTION("COUNTA(SPLIT(F1350,"" ""))"),68)</f>
        <v>68</v>
      </c>
      <c r="H1350" s="1">
        <v>68</v>
      </c>
      <c r="I1350" s="1"/>
      <c r="J1350" s="1"/>
      <c r="K1350" s="1"/>
      <c r="L1350" s="1"/>
      <c r="M1350" s="1"/>
      <c r="N1350" s="1"/>
      <c r="O1350" s="1"/>
      <c r="P1350" s="1"/>
      <c r="Q1350" s="1"/>
      <c r="R1350" s="1"/>
      <c r="S1350" s="1"/>
      <c r="T1350" s="1"/>
    </row>
    <row r="1351" spans="1:20" ht="33.75" customHeight="1">
      <c r="A1351" s="1" t="s">
        <v>3831</v>
      </c>
      <c r="B1351" s="1" t="s">
        <v>3255</v>
      </c>
      <c r="C1351" s="4">
        <v>39886.561805555553</v>
      </c>
      <c r="D1351" s="1" t="s">
        <v>3832</v>
      </c>
      <c r="E1351" s="1"/>
      <c r="F1351" s="2" t="s">
        <v>3834</v>
      </c>
      <c r="G1351" s="1">
        <f ca="1">IFERROR(__xludf.DUMMYFUNCTION("COUNTA(SPLIT(F1351,"" ""))"),240)</f>
        <v>240</v>
      </c>
      <c r="H1351" s="1">
        <v>240</v>
      </c>
      <c r="I1351" s="1"/>
      <c r="J1351" s="1"/>
      <c r="K1351" s="1"/>
      <c r="L1351" s="1"/>
      <c r="M1351" s="1"/>
      <c r="N1351" s="1"/>
      <c r="O1351" s="1"/>
      <c r="P1351" s="1"/>
      <c r="Q1351" s="1"/>
      <c r="R1351" s="1"/>
      <c r="S1351" s="1"/>
      <c r="T1351" s="1"/>
    </row>
    <row r="1352" spans="1:20" ht="33.75" hidden="1" customHeight="1">
      <c r="A1352" s="1" t="s">
        <v>3835</v>
      </c>
      <c r="B1352" s="1" t="s">
        <v>3255</v>
      </c>
      <c r="C1352" s="4">
        <v>39886.571527777778</v>
      </c>
      <c r="D1352" s="1" t="s">
        <v>14</v>
      </c>
      <c r="E1352" s="1" t="s">
        <v>3831</v>
      </c>
      <c r="F1352" s="2" t="s">
        <v>3836</v>
      </c>
      <c r="G1352" s="1">
        <f ca="1">IFERROR(__xludf.DUMMYFUNCTION("COUNTA(SPLIT(F1352,"" ""))"),99)</f>
        <v>99</v>
      </c>
      <c r="H1352" s="1">
        <v>99</v>
      </c>
      <c r="I1352" s="1"/>
      <c r="J1352" s="1"/>
      <c r="K1352" s="1"/>
      <c r="L1352" s="1"/>
      <c r="M1352" s="1"/>
      <c r="N1352" s="1"/>
      <c r="O1352" s="1"/>
      <c r="P1352" s="1"/>
      <c r="Q1352" s="1"/>
      <c r="R1352" s="1"/>
      <c r="S1352" s="1"/>
      <c r="T1352" s="1"/>
    </row>
    <row r="1353" spans="1:20" ht="33.75" customHeight="1">
      <c r="A1353" s="1" t="s">
        <v>3837</v>
      </c>
      <c r="B1353" s="1" t="s">
        <v>3255</v>
      </c>
      <c r="C1353" s="4">
        <v>39886.572222222225</v>
      </c>
      <c r="D1353" s="1" t="s">
        <v>3838</v>
      </c>
      <c r="E1353" s="1"/>
      <c r="F1353" s="2" t="s">
        <v>3840</v>
      </c>
      <c r="G1353" s="1">
        <f ca="1">IFERROR(__xludf.DUMMYFUNCTION("COUNTA(SPLIT(F1353,"" ""))"),68)</f>
        <v>68</v>
      </c>
      <c r="H1353" s="1">
        <v>68</v>
      </c>
      <c r="I1353" s="1"/>
      <c r="J1353" s="1"/>
      <c r="K1353" s="1"/>
      <c r="L1353" s="1"/>
      <c r="M1353" s="1"/>
      <c r="N1353" s="1"/>
      <c r="O1353" s="1"/>
      <c r="P1353" s="1"/>
      <c r="Q1353" s="1"/>
      <c r="R1353" s="1"/>
      <c r="S1353" s="1"/>
      <c r="T1353" s="1"/>
    </row>
    <row r="1354" spans="1:20" ht="33.75" customHeight="1">
      <c r="A1354" s="1" t="s">
        <v>3841</v>
      </c>
      <c r="B1354" s="1" t="s">
        <v>3800</v>
      </c>
      <c r="C1354" s="4">
        <v>39886.600694444445</v>
      </c>
      <c r="D1354" s="1" t="s">
        <v>54</v>
      </c>
      <c r="E1354" s="1"/>
      <c r="F1354" s="2" t="s">
        <v>3843</v>
      </c>
      <c r="G1354" s="1">
        <f ca="1">IFERROR(__xludf.DUMMYFUNCTION("COUNTA(SPLIT(F1354,"" ""))"),387)</f>
        <v>387</v>
      </c>
      <c r="H1354" s="1">
        <v>387</v>
      </c>
      <c r="I1354" s="1"/>
      <c r="J1354" s="1"/>
      <c r="K1354" s="1"/>
      <c r="L1354" s="1"/>
      <c r="M1354" s="1"/>
      <c r="N1354" s="1"/>
      <c r="O1354" s="1"/>
      <c r="P1354" s="1"/>
      <c r="Q1354" s="1"/>
      <c r="R1354" s="1"/>
      <c r="S1354" s="1"/>
      <c r="T1354" s="1"/>
    </row>
    <row r="1355" spans="1:20" ht="33.75" customHeight="1">
      <c r="A1355" s="1" t="s">
        <v>12</v>
      </c>
      <c r="B1355" s="1" t="s">
        <v>3800</v>
      </c>
      <c r="C1355" s="4">
        <v>39886.691203703704</v>
      </c>
      <c r="D1355" s="1" t="s">
        <v>175</v>
      </c>
      <c r="E1355" s="1"/>
      <c r="F1355" s="2" t="s">
        <v>3845</v>
      </c>
      <c r="G1355" s="1">
        <f ca="1">IFERROR(__xludf.DUMMYFUNCTION("COUNTA(SPLIT(F1355,"" ""))"),360)</f>
        <v>360</v>
      </c>
      <c r="H1355" s="1">
        <v>360</v>
      </c>
      <c r="I1355" s="1"/>
      <c r="J1355" s="1"/>
      <c r="K1355" s="1"/>
      <c r="L1355" s="1"/>
      <c r="M1355" s="1"/>
      <c r="N1355" s="1"/>
      <c r="O1355" s="1"/>
      <c r="P1355" s="1"/>
      <c r="Q1355" s="1"/>
      <c r="R1355" s="1"/>
      <c r="S1355" s="1"/>
      <c r="T1355" s="1"/>
    </row>
    <row r="1356" spans="1:20" ht="33.75" hidden="1" customHeight="1">
      <c r="A1356" s="1" t="s">
        <v>3846</v>
      </c>
      <c r="B1356" s="1" t="s">
        <v>3156</v>
      </c>
      <c r="C1356" s="4">
        <v>39886.711805555555</v>
      </c>
      <c r="D1356" s="1" t="s">
        <v>320</v>
      </c>
      <c r="E1356" s="1" t="s">
        <v>3847</v>
      </c>
      <c r="F1356" s="2" t="s">
        <v>3848</v>
      </c>
      <c r="G1356" s="1">
        <f ca="1">IFERROR(__xludf.DUMMYFUNCTION("COUNTA(SPLIT(F1356,"" ""))"),57)</f>
        <v>57</v>
      </c>
      <c r="H1356" s="1">
        <v>57</v>
      </c>
      <c r="I1356" s="1"/>
      <c r="J1356" s="1"/>
      <c r="K1356" s="1"/>
      <c r="L1356" s="1"/>
      <c r="M1356" s="1"/>
      <c r="N1356" s="1"/>
      <c r="O1356" s="1"/>
      <c r="P1356" s="1"/>
      <c r="Q1356" s="1"/>
      <c r="R1356" s="1"/>
      <c r="S1356" s="1"/>
      <c r="T1356" s="1"/>
    </row>
    <row r="1357" spans="1:20" ht="33.75" hidden="1" customHeight="1">
      <c r="A1357" s="1" t="s">
        <v>3849</v>
      </c>
      <c r="B1357" s="1" t="s">
        <v>3156</v>
      </c>
      <c r="C1357" s="4">
        <v>39886.712500000001</v>
      </c>
      <c r="D1357" s="1" t="s">
        <v>320</v>
      </c>
      <c r="E1357" s="1" t="s">
        <v>3846</v>
      </c>
      <c r="F1357" s="2" t="s">
        <v>3850</v>
      </c>
      <c r="G1357" s="1">
        <f ca="1">IFERROR(__xludf.DUMMYFUNCTION("COUNTA(SPLIT(F1357,"" ""))"),8)</f>
        <v>8</v>
      </c>
      <c r="H1357" s="1">
        <v>8</v>
      </c>
      <c r="I1357" s="1"/>
      <c r="J1357" s="1"/>
      <c r="K1357" s="1"/>
      <c r="L1357" s="1"/>
      <c r="M1357" s="1"/>
      <c r="N1357" s="1"/>
      <c r="O1357" s="1"/>
      <c r="P1357" s="1"/>
      <c r="Q1357" s="1"/>
      <c r="R1357" s="1"/>
      <c r="S1357" s="1"/>
      <c r="T1357" s="1"/>
    </row>
    <row r="1358" spans="1:20" ht="33.75" customHeight="1">
      <c r="A1358" s="1" t="s">
        <v>3851</v>
      </c>
      <c r="B1358" s="1" t="s">
        <v>3156</v>
      </c>
      <c r="C1358" s="4">
        <v>39886.803472222222</v>
      </c>
      <c r="D1358" s="1" t="s">
        <v>196</v>
      </c>
      <c r="E1358" s="1"/>
      <c r="F1358" s="2" t="s">
        <v>3854</v>
      </c>
      <c r="G1358" s="1">
        <f ca="1">IFERROR(__xludf.DUMMYFUNCTION("COUNTA(SPLIT(F1358,"" ""))"),263)</f>
        <v>263</v>
      </c>
      <c r="H1358" s="1">
        <v>263</v>
      </c>
      <c r="I1358" s="1"/>
      <c r="J1358" s="1"/>
      <c r="K1358" s="1"/>
      <c r="L1358" s="1"/>
      <c r="M1358" s="1"/>
      <c r="N1358" s="1"/>
      <c r="O1358" s="1"/>
      <c r="P1358" s="1"/>
      <c r="Q1358" s="1"/>
      <c r="R1358" s="1"/>
      <c r="S1358" s="1"/>
      <c r="T1358" s="1"/>
    </row>
    <row r="1359" spans="1:20" ht="33.75" hidden="1" customHeight="1">
      <c r="A1359" s="1" t="s">
        <v>3855</v>
      </c>
      <c r="B1359" s="1" t="s">
        <v>3156</v>
      </c>
      <c r="C1359" s="4">
        <v>39888.772222222222</v>
      </c>
      <c r="D1359" s="1" t="s">
        <v>1528</v>
      </c>
      <c r="E1359" s="1" t="s">
        <v>3766</v>
      </c>
      <c r="F1359" s="2" t="s">
        <v>3857</v>
      </c>
      <c r="G1359" s="1">
        <f ca="1">IFERROR(__xludf.DUMMYFUNCTION("COUNTA(SPLIT(F1359,"" ""))"),19)</f>
        <v>19</v>
      </c>
      <c r="H1359" s="1">
        <v>19</v>
      </c>
      <c r="I1359" s="1"/>
      <c r="J1359" s="1"/>
      <c r="K1359" s="1"/>
      <c r="L1359" s="1"/>
      <c r="M1359" s="1"/>
      <c r="N1359" s="1"/>
      <c r="O1359" s="1"/>
      <c r="P1359" s="1"/>
      <c r="Q1359" s="1"/>
      <c r="R1359" s="1"/>
      <c r="S1359" s="1"/>
      <c r="T1359" s="1"/>
    </row>
    <row r="1360" spans="1:20" ht="33.75" hidden="1" customHeight="1">
      <c r="A1360" s="1" t="s">
        <v>3858</v>
      </c>
      <c r="B1360" s="1" t="s">
        <v>3156</v>
      </c>
      <c r="C1360" s="4">
        <v>39886.956944444442</v>
      </c>
      <c r="D1360" s="1" t="s">
        <v>196</v>
      </c>
      <c r="E1360" s="1" t="s">
        <v>3447</v>
      </c>
      <c r="F1360" s="2" t="s">
        <v>3859</v>
      </c>
      <c r="G1360" s="1">
        <f ca="1">IFERROR(__xludf.DUMMYFUNCTION("COUNTA(SPLIT(F1360,"" ""))"),97)</f>
        <v>97</v>
      </c>
      <c r="H1360" s="1">
        <v>97</v>
      </c>
      <c r="I1360" s="1"/>
      <c r="J1360" s="1"/>
      <c r="K1360" s="1"/>
      <c r="L1360" s="1"/>
      <c r="M1360" s="1"/>
      <c r="N1360" s="1"/>
      <c r="O1360" s="1"/>
      <c r="P1360" s="1"/>
      <c r="Q1360" s="1"/>
      <c r="R1360" s="1"/>
      <c r="S1360" s="1"/>
      <c r="T1360" s="1"/>
    </row>
    <row r="1361" spans="1:20" ht="33.75" hidden="1" customHeight="1">
      <c r="A1361" s="1" t="s">
        <v>3860</v>
      </c>
      <c r="B1361" s="1" t="s">
        <v>3156</v>
      </c>
      <c r="C1361" s="4">
        <v>39886.981249999997</v>
      </c>
      <c r="D1361" s="1" t="s">
        <v>14</v>
      </c>
      <c r="E1361" s="1" t="s">
        <v>3861</v>
      </c>
      <c r="F1361" s="2" t="s">
        <v>3862</v>
      </c>
      <c r="G1361" s="1">
        <f ca="1">IFERROR(__xludf.DUMMYFUNCTION("COUNTA(SPLIT(F1361,"" ""))"),169)</f>
        <v>169</v>
      </c>
      <c r="H1361" s="1">
        <v>169</v>
      </c>
      <c r="I1361" s="1"/>
      <c r="J1361" s="1"/>
      <c r="K1361" s="1"/>
      <c r="L1361" s="1"/>
      <c r="M1361" s="1"/>
      <c r="N1361" s="1"/>
      <c r="O1361" s="1"/>
      <c r="P1361" s="1"/>
      <c r="Q1361" s="1"/>
      <c r="R1361" s="1"/>
      <c r="S1361" s="1"/>
      <c r="T1361" s="1"/>
    </row>
    <row r="1362" spans="1:20" ht="33.75" hidden="1" customHeight="1">
      <c r="A1362" s="1" t="s">
        <v>3863</v>
      </c>
      <c r="B1362" s="1" t="s">
        <v>3800</v>
      </c>
      <c r="C1362" s="4">
        <v>39887.222222222219</v>
      </c>
      <c r="D1362" s="1" t="s">
        <v>2242</v>
      </c>
      <c r="E1362" s="1" t="s">
        <v>3841</v>
      </c>
      <c r="F1362" s="2" t="s">
        <v>3864</v>
      </c>
      <c r="G1362" s="1">
        <f ca="1">IFERROR(__xludf.DUMMYFUNCTION("COUNTA(SPLIT(F1362,"" ""))"),158)</f>
        <v>158</v>
      </c>
      <c r="H1362" s="1">
        <v>158</v>
      </c>
      <c r="I1362" s="1"/>
      <c r="J1362" s="1"/>
      <c r="K1362" s="1"/>
      <c r="L1362" s="1"/>
      <c r="M1362" s="1"/>
      <c r="N1362" s="1"/>
      <c r="O1362" s="1"/>
      <c r="P1362" s="1"/>
      <c r="Q1362" s="1"/>
      <c r="R1362" s="1"/>
      <c r="S1362" s="1"/>
      <c r="T1362" s="1"/>
    </row>
    <row r="1363" spans="1:20" ht="33.75" customHeight="1">
      <c r="A1363" s="1" t="s">
        <v>3865</v>
      </c>
      <c r="B1363" s="1" t="s">
        <v>3255</v>
      </c>
      <c r="C1363" s="4">
        <v>39887.28125</v>
      </c>
      <c r="D1363" s="1" t="s">
        <v>54</v>
      </c>
      <c r="E1363" s="1"/>
      <c r="F1363" s="2" t="s">
        <v>3867</v>
      </c>
      <c r="G1363" s="1">
        <f ca="1">IFERROR(__xludf.DUMMYFUNCTION("COUNTA(SPLIT(F1363,"" ""))"),826)</f>
        <v>826</v>
      </c>
      <c r="H1363" s="1">
        <v>826</v>
      </c>
      <c r="I1363" s="1"/>
      <c r="J1363" s="1"/>
      <c r="K1363" s="1"/>
      <c r="L1363" s="1"/>
      <c r="M1363" s="1"/>
      <c r="N1363" s="1"/>
      <c r="O1363" s="1"/>
      <c r="P1363" s="1"/>
      <c r="Q1363" s="1"/>
      <c r="R1363" s="1"/>
      <c r="S1363" s="1"/>
      <c r="T1363" s="1"/>
    </row>
    <row r="1364" spans="1:20" ht="33.75" customHeight="1">
      <c r="A1364" s="1" t="s">
        <v>3868</v>
      </c>
      <c r="B1364" s="1" t="s">
        <v>3255</v>
      </c>
      <c r="C1364" s="4">
        <v>39887.324305555558</v>
      </c>
      <c r="D1364" s="1" t="s">
        <v>314</v>
      </c>
      <c r="E1364" s="1"/>
      <c r="F1364" s="2" t="s">
        <v>3870</v>
      </c>
      <c r="G1364" s="1">
        <f ca="1">IFERROR(__xludf.DUMMYFUNCTION("COUNTA(SPLIT(F1364,"" ""))"),1186)</f>
        <v>1186</v>
      </c>
      <c r="H1364" s="1">
        <v>1186</v>
      </c>
      <c r="I1364" s="1"/>
      <c r="J1364" s="1"/>
      <c r="K1364" s="1"/>
      <c r="L1364" s="1"/>
      <c r="M1364" s="1"/>
      <c r="N1364" s="1"/>
      <c r="O1364" s="1"/>
      <c r="P1364" s="1"/>
      <c r="Q1364" s="1"/>
      <c r="R1364" s="1"/>
      <c r="S1364" s="1"/>
      <c r="T1364" s="1"/>
    </row>
    <row r="1365" spans="1:20" ht="33.75" hidden="1" customHeight="1">
      <c r="A1365" s="1" t="s">
        <v>3871</v>
      </c>
      <c r="B1365" s="1" t="s">
        <v>3800</v>
      </c>
      <c r="C1365" s="4">
        <v>39887.34097222222</v>
      </c>
      <c r="D1365" s="1" t="s">
        <v>54</v>
      </c>
      <c r="E1365" s="1" t="s">
        <v>3863</v>
      </c>
      <c r="F1365" s="2" t="s">
        <v>3873</v>
      </c>
      <c r="G1365" s="1">
        <f ca="1">IFERROR(__xludf.DUMMYFUNCTION("COUNTA(SPLIT(F1365,"" ""))"),175)</f>
        <v>175</v>
      </c>
      <c r="H1365" s="1">
        <v>175</v>
      </c>
      <c r="I1365" s="1"/>
      <c r="J1365" s="1"/>
      <c r="K1365" s="1"/>
      <c r="L1365" s="1"/>
      <c r="M1365" s="1"/>
      <c r="N1365" s="1"/>
      <c r="O1365" s="1"/>
      <c r="P1365" s="1"/>
      <c r="Q1365" s="1"/>
      <c r="R1365" s="1"/>
      <c r="S1365" s="1"/>
      <c r="T1365" s="1"/>
    </row>
    <row r="1366" spans="1:20" ht="33.75" customHeight="1">
      <c r="A1366" s="1" t="s">
        <v>3874</v>
      </c>
      <c r="B1366" s="1" t="s">
        <v>3156</v>
      </c>
      <c r="C1366" s="4">
        <v>39887.452777777777</v>
      </c>
      <c r="D1366" s="1" t="s">
        <v>1887</v>
      </c>
      <c r="E1366" s="1"/>
      <c r="F1366" s="2" t="s">
        <v>3875</v>
      </c>
      <c r="G1366" s="1">
        <f ca="1">IFERROR(__xludf.DUMMYFUNCTION("COUNTA(SPLIT(F1366,"" ""))"),74)</f>
        <v>74</v>
      </c>
      <c r="H1366" s="1">
        <v>74</v>
      </c>
      <c r="I1366" s="1"/>
      <c r="J1366" s="1"/>
      <c r="K1366" s="1"/>
      <c r="L1366" s="1"/>
      <c r="M1366" s="1"/>
      <c r="N1366" s="1"/>
      <c r="O1366" s="1"/>
      <c r="P1366" s="1"/>
      <c r="Q1366" s="1"/>
      <c r="R1366" s="1"/>
      <c r="S1366" s="1"/>
      <c r="T1366" s="1"/>
    </row>
    <row r="1367" spans="1:20" ht="33.75" hidden="1" customHeight="1">
      <c r="A1367" s="1" t="s">
        <v>3876</v>
      </c>
      <c r="B1367" s="1" t="s">
        <v>3800</v>
      </c>
      <c r="C1367" s="4">
        <v>39887.460416666669</v>
      </c>
      <c r="D1367" s="1" t="s">
        <v>2242</v>
      </c>
      <c r="E1367" s="1" t="s">
        <v>3871</v>
      </c>
      <c r="F1367" s="2" t="s">
        <v>3879</v>
      </c>
      <c r="G1367" s="1">
        <f ca="1">IFERROR(__xludf.DUMMYFUNCTION("COUNTA(SPLIT(F1367,"" ""))"),145)</f>
        <v>145</v>
      </c>
      <c r="H1367" s="1">
        <v>145</v>
      </c>
      <c r="I1367" s="1"/>
      <c r="J1367" s="1"/>
      <c r="K1367" s="1"/>
      <c r="L1367" s="1"/>
      <c r="M1367" s="1"/>
      <c r="N1367" s="1"/>
      <c r="O1367" s="1"/>
      <c r="P1367" s="1"/>
      <c r="Q1367" s="1"/>
      <c r="R1367" s="1"/>
      <c r="S1367" s="1"/>
      <c r="T1367" s="1"/>
    </row>
    <row r="1368" spans="1:20" ht="33.75" customHeight="1">
      <c r="A1368" s="1" t="s">
        <v>3880</v>
      </c>
      <c r="B1368" s="1" t="s">
        <v>3255</v>
      </c>
      <c r="C1368" s="4">
        <v>39887.460416666669</v>
      </c>
      <c r="D1368" s="1" t="s">
        <v>14</v>
      </c>
      <c r="E1368" s="1"/>
      <c r="F1368" s="2" t="s">
        <v>3882</v>
      </c>
      <c r="G1368" s="1">
        <f ca="1">IFERROR(__xludf.DUMMYFUNCTION("COUNTA(SPLIT(F1368,"" ""))"),629)</f>
        <v>629</v>
      </c>
      <c r="H1368" s="1">
        <v>629</v>
      </c>
      <c r="I1368" s="1"/>
      <c r="J1368" s="1"/>
      <c r="K1368" s="1"/>
      <c r="L1368" s="1"/>
      <c r="M1368" s="1"/>
      <c r="N1368" s="1"/>
      <c r="O1368" s="1"/>
      <c r="P1368" s="1"/>
      <c r="Q1368" s="1"/>
      <c r="R1368" s="1"/>
      <c r="S1368" s="1"/>
      <c r="T1368" s="1"/>
    </row>
    <row r="1369" spans="1:20" ht="33.75" customHeight="1">
      <c r="A1369" s="1" t="s">
        <v>3883</v>
      </c>
      <c r="B1369" s="1" t="s">
        <v>3800</v>
      </c>
      <c r="C1369" s="4">
        <v>39887.548611111109</v>
      </c>
      <c r="D1369" s="1" t="s">
        <v>772</v>
      </c>
      <c r="E1369" s="1"/>
      <c r="F1369" s="2" t="s">
        <v>3884</v>
      </c>
      <c r="G1369" s="1">
        <f ca="1">IFERROR(__xludf.DUMMYFUNCTION("COUNTA(SPLIT(F1369,"" ""))"),320)</f>
        <v>320</v>
      </c>
      <c r="H1369" s="1">
        <v>320</v>
      </c>
      <c r="I1369" s="1"/>
      <c r="J1369" s="1"/>
      <c r="K1369" s="1"/>
      <c r="L1369" s="1"/>
      <c r="M1369" s="1"/>
      <c r="N1369" s="1"/>
      <c r="O1369" s="1"/>
      <c r="P1369" s="1"/>
      <c r="Q1369" s="1"/>
      <c r="R1369" s="1"/>
      <c r="S1369" s="1"/>
      <c r="T1369" s="1"/>
    </row>
    <row r="1370" spans="1:20" ht="33.75" customHeight="1">
      <c r="A1370" s="1" t="s">
        <v>3885</v>
      </c>
      <c r="B1370" s="1" t="s">
        <v>3800</v>
      </c>
      <c r="C1370" s="4">
        <v>39887.584722222222</v>
      </c>
      <c r="D1370" s="1" t="s">
        <v>2893</v>
      </c>
      <c r="E1370" s="1"/>
      <c r="F1370" s="2" t="s">
        <v>3887</v>
      </c>
      <c r="G1370" s="1">
        <f ca="1">IFERROR(__xludf.DUMMYFUNCTION("COUNTA(SPLIT(F1370,"" ""))"),19)</f>
        <v>19</v>
      </c>
      <c r="H1370" s="1">
        <v>19</v>
      </c>
      <c r="I1370" s="1"/>
      <c r="J1370" s="1"/>
      <c r="K1370" s="1"/>
      <c r="L1370" s="1"/>
      <c r="M1370" s="1"/>
      <c r="N1370" s="1"/>
      <c r="O1370" s="1"/>
      <c r="P1370" s="1"/>
      <c r="Q1370" s="1"/>
      <c r="R1370" s="1"/>
      <c r="S1370" s="1"/>
      <c r="T1370" s="1"/>
    </row>
    <row r="1371" spans="1:20" ht="33.75" hidden="1" customHeight="1">
      <c r="A1371" s="1" t="s">
        <v>3888</v>
      </c>
      <c r="B1371" s="1" t="s">
        <v>3800</v>
      </c>
      <c r="C1371" s="4">
        <v>39887.675694444442</v>
      </c>
      <c r="D1371" s="1" t="s">
        <v>54</v>
      </c>
      <c r="E1371" s="1" t="s">
        <v>3883</v>
      </c>
      <c r="F1371" s="2" t="s">
        <v>3889</v>
      </c>
      <c r="G1371" s="1">
        <f ca="1">IFERROR(__xludf.DUMMYFUNCTION("COUNTA(SPLIT(F1371,"" ""))"),116)</f>
        <v>116</v>
      </c>
      <c r="H1371" s="1">
        <v>116</v>
      </c>
      <c r="I1371" s="1"/>
      <c r="J1371" s="1"/>
      <c r="K1371" s="1"/>
      <c r="L1371" s="1"/>
      <c r="M1371" s="1"/>
      <c r="N1371" s="1"/>
      <c r="O1371" s="1"/>
      <c r="P1371" s="1"/>
      <c r="Q1371" s="1"/>
      <c r="R1371" s="1"/>
      <c r="S1371" s="1"/>
      <c r="T1371" s="1"/>
    </row>
    <row r="1372" spans="1:20" ht="33.75" customHeight="1">
      <c r="A1372" s="1" t="s">
        <v>3890</v>
      </c>
      <c r="B1372" s="1" t="s">
        <v>3800</v>
      </c>
      <c r="C1372" s="4">
        <v>39887.699305555558</v>
      </c>
      <c r="D1372" s="1" t="s">
        <v>2893</v>
      </c>
      <c r="E1372" s="1"/>
      <c r="F1372" s="2" t="s">
        <v>3891</v>
      </c>
      <c r="G1372" s="1">
        <f ca="1">IFERROR(__xludf.DUMMYFUNCTION("COUNTA(SPLIT(F1372,"" ""))"),9)</f>
        <v>9</v>
      </c>
      <c r="H1372" s="1">
        <v>9</v>
      </c>
      <c r="I1372" s="1"/>
      <c r="J1372" s="1"/>
      <c r="K1372" s="1"/>
      <c r="L1372" s="1"/>
      <c r="M1372" s="1"/>
      <c r="N1372" s="1"/>
      <c r="O1372" s="1"/>
      <c r="P1372" s="1"/>
      <c r="Q1372" s="1"/>
      <c r="R1372" s="1"/>
      <c r="S1372" s="1"/>
      <c r="T1372" s="1"/>
    </row>
    <row r="1373" spans="1:20" ht="33.75" customHeight="1">
      <c r="A1373" s="1" t="s">
        <v>3892</v>
      </c>
      <c r="B1373" s="1" t="s">
        <v>3156</v>
      </c>
      <c r="C1373" s="4">
        <v>39887.712500000001</v>
      </c>
      <c r="D1373" s="1" t="s">
        <v>196</v>
      </c>
      <c r="E1373" s="1"/>
      <c r="F1373" s="2" t="s">
        <v>3894</v>
      </c>
      <c r="G1373" s="1">
        <f ca="1">IFERROR(__xludf.DUMMYFUNCTION("COUNTA(SPLIT(F1373,"" ""))"),22)</f>
        <v>22</v>
      </c>
      <c r="H1373" s="1">
        <v>22</v>
      </c>
      <c r="I1373" s="1"/>
      <c r="J1373" s="1"/>
      <c r="K1373" s="1"/>
      <c r="L1373" s="1"/>
      <c r="M1373" s="1"/>
      <c r="N1373" s="1"/>
      <c r="O1373" s="1"/>
      <c r="P1373" s="1"/>
      <c r="Q1373" s="1"/>
      <c r="R1373" s="1"/>
      <c r="S1373" s="1"/>
      <c r="T1373" s="1"/>
    </row>
    <row r="1374" spans="1:20" ht="33.75" customHeight="1">
      <c r="A1374" s="1" t="s">
        <v>3895</v>
      </c>
      <c r="B1374" s="1" t="s">
        <v>3156</v>
      </c>
      <c r="C1374" s="4">
        <v>39887.772916666669</v>
      </c>
      <c r="D1374" s="1" t="s">
        <v>196</v>
      </c>
      <c r="E1374" s="1"/>
      <c r="F1374" s="2" t="s">
        <v>3896</v>
      </c>
      <c r="G1374" s="1">
        <f ca="1">IFERROR(__xludf.DUMMYFUNCTION("COUNTA(SPLIT(F1374,"" ""))"),322)</f>
        <v>322</v>
      </c>
      <c r="H1374" s="1">
        <v>322</v>
      </c>
      <c r="I1374" s="1"/>
      <c r="J1374" s="1"/>
      <c r="K1374" s="1"/>
      <c r="L1374" s="1"/>
      <c r="M1374" s="1"/>
      <c r="N1374" s="1"/>
      <c r="O1374" s="1"/>
      <c r="P1374" s="1"/>
      <c r="Q1374" s="1"/>
      <c r="R1374" s="1"/>
      <c r="S1374" s="1"/>
      <c r="T1374" s="1"/>
    </row>
    <row r="1375" spans="1:20" ht="33.75" customHeight="1">
      <c r="A1375" s="1" t="s">
        <v>3897</v>
      </c>
      <c r="B1375" s="1" t="s">
        <v>3255</v>
      </c>
      <c r="C1375" s="4">
        <v>39887.835416666669</v>
      </c>
      <c r="D1375" s="1" t="s">
        <v>84</v>
      </c>
      <c r="E1375" s="1"/>
      <c r="F1375" s="2" t="s">
        <v>3899</v>
      </c>
      <c r="G1375" s="1">
        <f ca="1">IFERROR(__xludf.DUMMYFUNCTION("COUNTA(SPLIT(F1375,"" ""))"),34)</f>
        <v>34</v>
      </c>
      <c r="H1375" s="1">
        <v>34</v>
      </c>
      <c r="I1375" s="1"/>
      <c r="J1375" s="1"/>
      <c r="K1375" s="1"/>
      <c r="L1375" s="1"/>
      <c r="M1375" s="1"/>
      <c r="N1375" s="1"/>
      <c r="O1375" s="1"/>
      <c r="P1375" s="1"/>
      <c r="Q1375" s="1"/>
      <c r="R1375" s="1"/>
      <c r="S1375" s="1"/>
      <c r="T1375" s="1"/>
    </row>
    <row r="1376" spans="1:20" ht="33.75" customHeight="1">
      <c r="A1376" s="1" t="s">
        <v>3900</v>
      </c>
      <c r="B1376" s="1" t="s">
        <v>3255</v>
      </c>
      <c r="C1376" s="4">
        <v>39887.969444444447</v>
      </c>
      <c r="D1376" s="1" t="s">
        <v>314</v>
      </c>
      <c r="E1376" s="1"/>
      <c r="F1376" s="2" t="s">
        <v>3902</v>
      </c>
      <c r="G1376" s="1">
        <f ca="1">IFERROR(__xludf.DUMMYFUNCTION("COUNTA(SPLIT(F1376,"" ""))"),56)</f>
        <v>56</v>
      </c>
      <c r="H1376" s="1">
        <v>56</v>
      </c>
      <c r="I1376" s="1"/>
      <c r="J1376" s="1"/>
      <c r="K1376" s="1"/>
      <c r="L1376" s="1"/>
      <c r="M1376" s="1"/>
      <c r="N1376" s="1"/>
      <c r="O1376" s="1"/>
      <c r="P1376" s="1"/>
      <c r="Q1376" s="1"/>
      <c r="R1376" s="1"/>
      <c r="S1376" s="1"/>
      <c r="T1376" s="1"/>
    </row>
    <row r="1377" spans="1:20" ht="33.75" customHeight="1">
      <c r="A1377" s="1" t="s">
        <v>3903</v>
      </c>
      <c r="B1377" s="1" t="s">
        <v>3255</v>
      </c>
      <c r="C1377" s="4">
        <v>39887.974999999999</v>
      </c>
      <c r="D1377" s="1" t="s">
        <v>14</v>
      </c>
      <c r="E1377" s="1"/>
      <c r="F1377" s="2" t="s">
        <v>3905</v>
      </c>
      <c r="G1377" s="1">
        <f ca="1">IFERROR(__xludf.DUMMYFUNCTION("COUNTA(SPLIT(F1377,"" ""))"),373)</f>
        <v>373</v>
      </c>
      <c r="H1377" s="1">
        <v>373</v>
      </c>
      <c r="I1377" s="1"/>
      <c r="J1377" s="1"/>
      <c r="K1377" s="1"/>
      <c r="L1377" s="1"/>
      <c r="M1377" s="1"/>
      <c r="N1377" s="1"/>
      <c r="O1377" s="1"/>
      <c r="P1377" s="1"/>
      <c r="Q1377" s="1"/>
      <c r="R1377" s="1"/>
      <c r="S1377" s="1"/>
      <c r="T1377" s="1"/>
    </row>
    <row r="1378" spans="1:20" ht="33.75" hidden="1" customHeight="1">
      <c r="A1378" s="1" t="s">
        <v>3906</v>
      </c>
      <c r="B1378" s="1" t="s">
        <v>3156</v>
      </c>
      <c r="C1378" s="4">
        <v>39887.984722222223</v>
      </c>
      <c r="D1378" s="1" t="s">
        <v>320</v>
      </c>
      <c r="E1378" s="1" t="s">
        <v>3895</v>
      </c>
      <c r="F1378" s="2" t="s">
        <v>3907</v>
      </c>
      <c r="G1378" s="1">
        <f ca="1">IFERROR(__xludf.DUMMYFUNCTION("COUNTA(SPLIT(F1378,"" ""))"),176)</f>
        <v>176</v>
      </c>
      <c r="H1378" s="1">
        <v>176</v>
      </c>
      <c r="I1378" s="1"/>
      <c r="J1378" s="1"/>
      <c r="K1378" s="1"/>
      <c r="L1378" s="1"/>
      <c r="M1378" s="1"/>
      <c r="N1378" s="1"/>
      <c r="O1378" s="1"/>
      <c r="P1378" s="1"/>
      <c r="Q1378" s="1"/>
      <c r="R1378" s="1"/>
      <c r="S1378" s="1"/>
      <c r="T1378" s="1"/>
    </row>
    <row r="1379" spans="1:20" ht="33.75" customHeight="1">
      <c r="A1379" s="1" t="s">
        <v>3908</v>
      </c>
      <c r="B1379" s="1" t="s">
        <v>3156</v>
      </c>
      <c r="C1379" s="4">
        <v>39887.997916666667</v>
      </c>
      <c r="D1379" s="1" t="s">
        <v>314</v>
      </c>
      <c r="E1379" s="1"/>
      <c r="F1379" s="2" t="s">
        <v>3910</v>
      </c>
      <c r="G1379" s="1">
        <f ca="1">IFERROR(__xludf.DUMMYFUNCTION("COUNTA(SPLIT(F1379,"" ""))"),418)</f>
        <v>418</v>
      </c>
      <c r="H1379" s="1">
        <v>418</v>
      </c>
      <c r="I1379" s="1"/>
      <c r="J1379" s="1"/>
      <c r="K1379" s="1"/>
      <c r="L1379" s="1"/>
      <c r="M1379" s="1"/>
      <c r="N1379" s="1"/>
      <c r="O1379" s="1"/>
      <c r="P1379" s="1"/>
      <c r="Q1379" s="1"/>
      <c r="R1379" s="1"/>
      <c r="S1379" s="1"/>
      <c r="T1379" s="1"/>
    </row>
    <row r="1380" spans="1:20" ht="33.75" hidden="1" customHeight="1">
      <c r="A1380" s="1" t="s">
        <v>3911</v>
      </c>
      <c r="B1380" s="1" t="s">
        <v>3156</v>
      </c>
      <c r="C1380" s="4">
        <v>39888.133333333331</v>
      </c>
      <c r="D1380" s="1" t="s">
        <v>772</v>
      </c>
      <c r="E1380" s="1" t="s">
        <v>3825</v>
      </c>
      <c r="F1380" s="2" t="s">
        <v>3912</v>
      </c>
      <c r="G1380" s="1">
        <f ca="1">IFERROR(__xludf.DUMMYFUNCTION("COUNTA(SPLIT(F1380,"" ""))"),202)</f>
        <v>202</v>
      </c>
      <c r="H1380" s="1">
        <v>202</v>
      </c>
      <c r="I1380" s="1"/>
      <c r="J1380" s="1"/>
      <c r="K1380" s="1"/>
      <c r="L1380" s="1"/>
      <c r="M1380" s="1"/>
      <c r="N1380" s="1"/>
      <c r="O1380" s="1"/>
      <c r="P1380" s="1"/>
      <c r="Q1380" s="1"/>
      <c r="R1380" s="1"/>
      <c r="S1380" s="1"/>
      <c r="T1380" s="1"/>
    </row>
    <row r="1381" spans="1:20" ht="33.75" customHeight="1">
      <c r="A1381" s="1" t="s">
        <v>3913</v>
      </c>
      <c r="B1381" s="1" t="s">
        <v>3156</v>
      </c>
      <c r="C1381" s="4">
        <v>39888.138194444444</v>
      </c>
      <c r="D1381" s="1" t="s">
        <v>772</v>
      </c>
      <c r="E1381" s="1"/>
      <c r="F1381" s="2" t="s">
        <v>3915</v>
      </c>
      <c r="G1381" s="1">
        <f ca="1">IFERROR(__xludf.DUMMYFUNCTION("COUNTA(SPLIT(F1381,"" ""))"),79)</f>
        <v>79</v>
      </c>
      <c r="H1381" s="1">
        <v>79</v>
      </c>
      <c r="I1381" s="1"/>
      <c r="J1381" s="1"/>
      <c r="K1381" s="1"/>
      <c r="L1381" s="1"/>
      <c r="M1381" s="1"/>
      <c r="N1381" s="1"/>
      <c r="O1381" s="1"/>
      <c r="P1381" s="1"/>
      <c r="Q1381" s="1"/>
      <c r="R1381" s="1"/>
      <c r="S1381" s="1"/>
      <c r="T1381" s="1"/>
    </row>
    <row r="1382" spans="1:20" ht="33.75" hidden="1" customHeight="1">
      <c r="A1382" s="1" t="s">
        <v>3916</v>
      </c>
      <c r="B1382" s="1" t="s">
        <v>3156</v>
      </c>
      <c r="C1382" s="4">
        <v>39888.242361111108</v>
      </c>
      <c r="D1382" s="1" t="s">
        <v>772</v>
      </c>
      <c r="E1382" s="1">
        <v>1038</v>
      </c>
      <c r="F1382" s="2" t="s">
        <v>3917</v>
      </c>
      <c r="G1382" s="1">
        <f ca="1">IFERROR(__xludf.DUMMYFUNCTION("COUNTA(SPLIT(F1382,"" ""))"),68)</f>
        <v>68</v>
      </c>
      <c r="H1382" s="1">
        <v>68</v>
      </c>
      <c r="I1382" s="1"/>
      <c r="J1382" s="1"/>
      <c r="K1382" s="1"/>
      <c r="L1382" s="1"/>
      <c r="M1382" s="1"/>
      <c r="N1382" s="1"/>
      <c r="O1382" s="1"/>
      <c r="P1382" s="1"/>
      <c r="Q1382" s="1"/>
      <c r="R1382" s="1"/>
      <c r="S1382" s="1"/>
      <c r="T1382" s="1"/>
    </row>
    <row r="1383" spans="1:20" ht="33.75" hidden="1" customHeight="1">
      <c r="A1383" s="1" t="s">
        <v>3918</v>
      </c>
      <c r="B1383" s="1" t="s">
        <v>3156</v>
      </c>
      <c r="C1383" s="4">
        <v>39888.32916666667</v>
      </c>
      <c r="D1383" s="1" t="s">
        <v>14</v>
      </c>
      <c r="E1383" s="1">
        <v>1038</v>
      </c>
      <c r="F1383" s="2" t="s">
        <v>3920</v>
      </c>
      <c r="G1383" s="1">
        <f ca="1">IFERROR(__xludf.DUMMYFUNCTION("COUNTA(SPLIT(F1383,"" ""))"),20)</f>
        <v>20</v>
      </c>
      <c r="H1383" s="1">
        <v>20</v>
      </c>
      <c r="I1383" s="1"/>
      <c r="J1383" s="1"/>
      <c r="K1383" s="1"/>
      <c r="L1383" s="1"/>
      <c r="M1383" s="1"/>
      <c r="N1383" s="1"/>
      <c r="O1383" s="1"/>
      <c r="P1383" s="1"/>
      <c r="Q1383" s="1"/>
      <c r="R1383" s="1"/>
      <c r="S1383" s="1"/>
      <c r="T1383" s="1"/>
    </row>
    <row r="1384" spans="1:20" ht="33.75" customHeight="1">
      <c r="A1384" s="1" t="s">
        <v>3921</v>
      </c>
      <c r="B1384" s="1" t="s">
        <v>3800</v>
      </c>
      <c r="C1384" s="4">
        <v>39888.331944444442</v>
      </c>
      <c r="D1384" s="1" t="s">
        <v>2893</v>
      </c>
      <c r="E1384" s="1"/>
      <c r="F1384" s="2" t="s">
        <v>3922</v>
      </c>
      <c r="G1384" s="1">
        <f ca="1">IFERROR(__xludf.DUMMYFUNCTION("COUNTA(SPLIT(F1384,"" ""))"),11)</f>
        <v>11</v>
      </c>
      <c r="H1384" s="1">
        <v>11</v>
      </c>
      <c r="I1384" s="1"/>
      <c r="J1384" s="1"/>
      <c r="K1384" s="1"/>
      <c r="L1384" s="1"/>
      <c r="M1384" s="1"/>
      <c r="N1384" s="1"/>
      <c r="O1384" s="1"/>
      <c r="P1384" s="1"/>
      <c r="Q1384" s="1"/>
      <c r="R1384" s="1"/>
      <c r="S1384" s="1"/>
      <c r="T1384" s="1"/>
    </row>
    <row r="1385" spans="1:20" ht="33.75" customHeight="1">
      <c r="A1385" s="1" t="s">
        <v>3923</v>
      </c>
      <c r="B1385" s="1" t="s">
        <v>3255</v>
      </c>
      <c r="C1385" s="4">
        <v>39888.368055555555</v>
      </c>
      <c r="D1385" s="1" t="s">
        <v>314</v>
      </c>
      <c r="E1385" s="1"/>
      <c r="F1385" s="2" t="s">
        <v>3925</v>
      </c>
      <c r="G1385" s="1">
        <f ca="1">IFERROR(__xludf.DUMMYFUNCTION("COUNTA(SPLIT(F1385,"" ""))"),417)</f>
        <v>417</v>
      </c>
      <c r="H1385" s="1">
        <v>417</v>
      </c>
      <c r="I1385" s="1"/>
      <c r="J1385" s="1"/>
      <c r="K1385" s="1"/>
      <c r="L1385" s="1"/>
      <c r="M1385" s="1"/>
      <c r="N1385" s="1"/>
      <c r="O1385" s="1"/>
      <c r="P1385" s="1"/>
      <c r="Q1385" s="1"/>
      <c r="R1385" s="1"/>
      <c r="S1385" s="1"/>
      <c r="T1385" s="1"/>
    </row>
    <row r="1386" spans="1:20" ht="33.75" customHeight="1">
      <c r="A1386" s="1" t="s">
        <v>3766</v>
      </c>
      <c r="B1386" s="1" t="s">
        <v>3156</v>
      </c>
      <c r="C1386" s="4">
        <v>39888.48333333333</v>
      </c>
      <c r="D1386" s="1" t="s">
        <v>14</v>
      </c>
      <c r="E1386" s="1"/>
      <c r="F1386" s="2" t="s">
        <v>3928</v>
      </c>
      <c r="G1386" s="1">
        <f ca="1">IFERROR(__xludf.DUMMYFUNCTION("COUNTA(SPLIT(F1386,"" ""))"),250)</f>
        <v>250</v>
      </c>
      <c r="H1386" s="1">
        <v>250</v>
      </c>
      <c r="I1386" s="1"/>
      <c r="J1386" s="1"/>
      <c r="K1386" s="1"/>
      <c r="L1386" s="1"/>
      <c r="M1386" s="1"/>
      <c r="N1386" s="1"/>
      <c r="O1386" s="1"/>
      <c r="P1386" s="1"/>
      <c r="Q1386" s="1"/>
      <c r="R1386" s="1"/>
      <c r="S1386" s="1"/>
      <c r="T1386" s="1"/>
    </row>
    <row r="1387" spans="1:20" ht="33.75" customHeight="1">
      <c r="A1387" s="1" t="s">
        <v>12</v>
      </c>
      <c r="B1387" s="1" t="s">
        <v>3929</v>
      </c>
      <c r="C1387" s="4">
        <v>39888.511481481481</v>
      </c>
      <c r="D1387" s="1" t="s">
        <v>14</v>
      </c>
      <c r="E1387" s="1"/>
      <c r="F1387" s="2" t="s">
        <v>3930</v>
      </c>
      <c r="G1387" s="1">
        <f ca="1">IFERROR(__xludf.DUMMYFUNCTION("COUNTA(SPLIT(F1387,"" ""))"),166)</f>
        <v>166</v>
      </c>
      <c r="H1387" s="1">
        <v>166</v>
      </c>
      <c r="I1387" s="1"/>
      <c r="J1387" s="1"/>
      <c r="K1387" s="1"/>
      <c r="L1387" s="1"/>
      <c r="M1387" s="1"/>
      <c r="N1387" s="1"/>
      <c r="O1387" s="1"/>
      <c r="P1387" s="1"/>
      <c r="Q1387" s="1"/>
      <c r="R1387" s="1"/>
      <c r="S1387" s="1"/>
      <c r="T1387" s="1"/>
    </row>
    <row r="1388" spans="1:20" ht="33.75" customHeight="1">
      <c r="A1388" s="1" t="s">
        <v>3931</v>
      </c>
      <c r="B1388" s="1" t="s">
        <v>3156</v>
      </c>
      <c r="C1388" s="4">
        <v>39888.54791666667</v>
      </c>
      <c r="D1388" s="1" t="s">
        <v>14</v>
      </c>
      <c r="E1388" s="1"/>
      <c r="F1388" s="2" t="s">
        <v>3932</v>
      </c>
      <c r="G1388" s="1">
        <f ca="1">IFERROR(__xludf.DUMMYFUNCTION("COUNTA(SPLIT(F1388,"" ""))"),71)</f>
        <v>71</v>
      </c>
      <c r="H1388" s="1">
        <v>71</v>
      </c>
      <c r="I1388" s="1"/>
      <c r="J1388" s="1"/>
      <c r="K1388" s="1"/>
      <c r="L1388" s="1"/>
      <c r="M1388" s="1"/>
      <c r="N1388" s="1"/>
      <c r="O1388" s="1"/>
      <c r="P1388" s="1"/>
      <c r="Q1388" s="1"/>
      <c r="R1388" s="1"/>
      <c r="S1388" s="1"/>
      <c r="T1388" s="1"/>
    </row>
    <row r="1389" spans="1:20" ht="33.75" customHeight="1">
      <c r="A1389" s="1" t="s">
        <v>3933</v>
      </c>
      <c r="B1389" s="1" t="s">
        <v>3156</v>
      </c>
      <c r="C1389" s="4">
        <v>39888.553472222222</v>
      </c>
      <c r="D1389" s="1" t="s">
        <v>14</v>
      </c>
      <c r="E1389" s="1"/>
      <c r="F1389" s="2" t="s">
        <v>3934</v>
      </c>
      <c r="G1389" s="1">
        <f ca="1">IFERROR(__xludf.DUMMYFUNCTION("COUNTA(SPLIT(F1389,"" ""))"),16)</f>
        <v>16</v>
      </c>
      <c r="H1389" s="1">
        <v>16</v>
      </c>
      <c r="I1389" s="1"/>
      <c r="J1389" s="1"/>
      <c r="K1389" s="1"/>
      <c r="L1389" s="1"/>
      <c r="M1389" s="1"/>
      <c r="N1389" s="1"/>
      <c r="O1389" s="1"/>
      <c r="P1389" s="1"/>
      <c r="Q1389" s="1"/>
      <c r="R1389" s="1"/>
      <c r="S1389" s="1"/>
      <c r="T1389" s="1"/>
    </row>
    <row r="1390" spans="1:20" ht="33.75" customHeight="1">
      <c r="A1390" s="1" t="s">
        <v>3935</v>
      </c>
      <c r="B1390" s="1" t="s">
        <v>3800</v>
      </c>
      <c r="C1390" s="4">
        <v>39888.595138888886</v>
      </c>
      <c r="D1390" s="1" t="s">
        <v>381</v>
      </c>
      <c r="E1390" s="1"/>
      <c r="F1390" s="2" t="s">
        <v>3936</v>
      </c>
      <c r="G1390" s="1">
        <f ca="1">IFERROR(__xludf.DUMMYFUNCTION("COUNTA(SPLIT(F1390,"" ""))"),317)</f>
        <v>317</v>
      </c>
      <c r="H1390" s="1">
        <v>317</v>
      </c>
      <c r="I1390" s="1"/>
      <c r="J1390" s="1"/>
      <c r="K1390" s="1"/>
      <c r="L1390" s="1"/>
      <c r="M1390" s="1"/>
      <c r="N1390" s="1"/>
      <c r="O1390" s="1"/>
      <c r="P1390" s="1"/>
      <c r="Q1390" s="1"/>
      <c r="R1390" s="1"/>
      <c r="S1390" s="1"/>
      <c r="T1390" s="1"/>
    </row>
    <row r="1391" spans="1:20" ht="33.75" hidden="1" customHeight="1">
      <c r="A1391" s="1" t="s">
        <v>3937</v>
      </c>
      <c r="B1391" s="1" t="s">
        <v>3800</v>
      </c>
      <c r="C1391" s="4">
        <v>39888.65347222222</v>
      </c>
      <c r="D1391" s="1" t="s">
        <v>2893</v>
      </c>
      <c r="E1391" s="1" t="s">
        <v>3935</v>
      </c>
      <c r="F1391" s="2" t="s">
        <v>3939</v>
      </c>
      <c r="G1391" s="1">
        <f ca="1">IFERROR(__xludf.DUMMYFUNCTION("COUNTA(SPLIT(F1391,"" ""))"),134)</f>
        <v>134</v>
      </c>
      <c r="H1391" s="1">
        <v>134</v>
      </c>
      <c r="I1391" s="1"/>
      <c r="J1391" s="1"/>
      <c r="K1391" s="1"/>
      <c r="L1391" s="1"/>
      <c r="M1391" s="1"/>
      <c r="N1391" s="1"/>
      <c r="O1391" s="1"/>
      <c r="P1391" s="1"/>
      <c r="Q1391" s="1"/>
      <c r="R1391" s="1"/>
      <c r="S1391" s="1"/>
      <c r="T1391" s="1"/>
    </row>
    <row r="1392" spans="1:20" ht="33.75" customHeight="1">
      <c r="A1392" s="1" t="s">
        <v>3940</v>
      </c>
      <c r="B1392" s="1" t="s">
        <v>3800</v>
      </c>
      <c r="C1392" s="4">
        <v>39888.666666666664</v>
      </c>
      <c r="D1392" s="1" t="s">
        <v>3941</v>
      </c>
      <c r="E1392" s="1"/>
      <c r="F1392" s="2" t="s">
        <v>3943</v>
      </c>
      <c r="G1392" s="1">
        <f ca="1">IFERROR(__xludf.DUMMYFUNCTION("COUNTA(SPLIT(F1392,"" ""))"),57)</f>
        <v>57</v>
      </c>
      <c r="H1392" s="1">
        <v>57</v>
      </c>
      <c r="I1392" s="1"/>
      <c r="J1392" s="1"/>
      <c r="K1392" s="1"/>
      <c r="L1392" s="1"/>
      <c r="M1392" s="1"/>
      <c r="N1392" s="1"/>
      <c r="O1392" s="1"/>
      <c r="P1392" s="1"/>
      <c r="Q1392" s="1"/>
      <c r="R1392" s="1"/>
      <c r="S1392" s="1"/>
      <c r="T1392" s="1"/>
    </row>
    <row r="1393" spans="1:20" ht="33.75" customHeight="1">
      <c r="A1393" s="1" t="s">
        <v>3944</v>
      </c>
      <c r="B1393" s="1" t="s">
        <v>3800</v>
      </c>
      <c r="C1393" s="4">
        <v>39888.676388888889</v>
      </c>
      <c r="D1393" s="1" t="s">
        <v>54</v>
      </c>
      <c r="E1393" s="1"/>
      <c r="F1393" s="2" t="s">
        <v>3945</v>
      </c>
      <c r="G1393" s="1">
        <f ca="1">IFERROR(__xludf.DUMMYFUNCTION("COUNTA(SPLIT(F1393,"" ""))"),637)</f>
        <v>637</v>
      </c>
      <c r="H1393" s="1">
        <v>637</v>
      </c>
      <c r="I1393" s="1"/>
      <c r="J1393" s="1"/>
      <c r="K1393" s="1"/>
      <c r="L1393" s="1"/>
      <c r="M1393" s="1"/>
      <c r="N1393" s="1"/>
      <c r="O1393" s="1"/>
      <c r="P1393" s="1"/>
      <c r="Q1393" s="1"/>
      <c r="R1393" s="1"/>
      <c r="S1393" s="1"/>
      <c r="T1393" s="1"/>
    </row>
    <row r="1394" spans="1:20" ht="33.75" customHeight="1">
      <c r="A1394" s="1" t="s">
        <v>3946</v>
      </c>
      <c r="B1394" s="1" t="s">
        <v>3800</v>
      </c>
      <c r="C1394" s="4">
        <v>39888.685416666667</v>
      </c>
      <c r="D1394" s="1" t="s">
        <v>2893</v>
      </c>
      <c r="E1394" s="1"/>
      <c r="F1394" s="2" t="s">
        <v>3947</v>
      </c>
      <c r="G1394" s="1">
        <f ca="1">IFERROR(__xludf.DUMMYFUNCTION("COUNTA(SPLIT(F1394,"" ""))"),16)</f>
        <v>16</v>
      </c>
      <c r="H1394" s="1">
        <v>16</v>
      </c>
      <c r="I1394" s="1"/>
      <c r="J1394" s="1"/>
      <c r="K1394" s="1"/>
      <c r="L1394" s="1"/>
      <c r="M1394" s="1"/>
      <c r="N1394" s="1"/>
      <c r="O1394" s="1"/>
      <c r="P1394" s="1"/>
      <c r="Q1394" s="1"/>
      <c r="R1394" s="1"/>
      <c r="S1394" s="1"/>
      <c r="T1394" s="1"/>
    </row>
    <row r="1395" spans="1:20" ht="33.75" customHeight="1">
      <c r="A1395" s="1" t="s">
        <v>3948</v>
      </c>
      <c r="B1395" s="1" t="s">
        <v>3800</v>
      </c>
      <c r="C1395" s="4">
        <v>39888.686111111114</v>
      </c>
      <c r="D1395" s="1" t="s">
        <v>54</v>
      </c>
      <c r="E1395" s="1"/>
      <c r="F1395" s="2" t="s">
        <v>3949</v>
      </c>
      <c r="G1395" s="1">
        <f ca="1">IFERROR(__xludf.DUMMYFUNCTION("COUNTA(SPLIT(F1395,"" ""))"),196)</f>
        <v>196</v>
      </c>
      <c r="H1395" s="1">
        <v>196</v>
      </c>
      <c r="I1395" s="1"/>
      <c r="J1395" s="1"/>
      <c r="K1395" s="1"/>
      <c r="L1395" s="1"/>
      <c r="M1395" s="1"/>
      <c r="N1395" s="1"/>
      <c r="O1395" s="1"/>
      <c r="P1395" s="1"/>
      <c r="Q1395" s="1"/>
      <c r="R1395" s="1"/>
      <c r="S1395" s="1"/>
      <c r="T1395" s="1"/>
    </row>
    <row r="1396" spans="1:20" ht="33.75" customHeight="1">
      <c r="A1396" s="1" t="s">
        <v>3950</v>
      </c>
      <c r="B1396" s="1" t="s">
        <v>3255</v>
      </c>
      <c r="C1396" s="4">
        <v>39888.686111111114</v>
      </c>
      <c r="D1396" s="1" t="s">
        <v>314</v>
      </c>
      <c r="E1396" s="1"/>
      <c r="F1396" s="2" t="s">
        <v>3952</v>
      </c>
      <c r="G1396" s="1">
        <f ca="1">IFERROR(__xludf.DUMMYFUNCTION("COUNTA(SPLIT(F1396,"" ""))"),63)</f>
        <v>63</v>
      </c>
      <c r="H1396" s="1">
        <v>63</v>
      </c>
      <c r="I1396" s="1"/>
      <c r="J1396" s="1"/>
      <c r="K1396" s="1"/>
      <c r="L1396" s="1"/>
      <c r="M1396" s="1"/>
      <c r="N1396" s="1"/>
      <c r="O1396" s="1"/>
      <c r="P1396" s="1"/>
      <c r="Q1396" s="1"/>
      <c r="R1396" s="1"/>
      <c r="S1396" s="1"/>
      <c r="T1396" s="1"/>
    </row>
    <row r="1397" spans="1:20" ht="33.75" hidden="1" customHeight="1">
      <c r="A1397" s="1" t="s">
        <v>3953</v>
      </c>
      <c r="B1397" s="1" t="s">
        <v>3255</v>
      </c>
      <c r="C1397" s="4">
        <v>39888.711111111108</v>
      </c>
      <c r="D1397" s="1" t="s">
        <v>14</v>
      </c>
      <c r="E1397" s="1" t="s">
        <v>3950</v>
      </c>
      <c r="F1397" s="2" t="s">
        <v>3954</v>
      </c>
      <c r="G1397" s="1">
        <f ca="1">IFERROR(__xludf.DUMMYFUNCTION("COUNTA(SPLIT(F1397,"" ""))"),14)</f>
        <v>14</v>
      </c>
      <c r="H1397" s="1">
        <v>14</v>
      </c>
      <c r="I1397" s="1"/>
      <c r="J1397" s="1"/>
      <c r="K1397" s="1"/>
      <c r="L1397" s="1"/>
      <c r="M1397" s="1"/>
      <c r="N1397" s="1"/>
      <c r="O1397" s="1"/>
      <c r="P1397" s="1"/>
      <c r="Q1397" s="1"/>
      <c r="R1397" s="1"/>
      <c r="S1397" s="1"/>
      <c r="T1397" s="1"/>
    </row>
    <row r="1398" spans="1:20" ht="33.75" customHeight="1">
      <c r="A1398" s="1" t="s">
        <v>3955</v>
      </c>
      <c r="B1398" s="1" t="s">
        <v>3800</v>
      </c>
      <c r="C1398" s="4">
        <v>39888.726388888892</v>
      </c>
      <c r="D1398" s="1" t="s">
        <v>772</v>
      </c>
      <c r="E1398" s="1"/>
      <c r="F1398" s="2" t="s">
        <v>3956</v>
      </c>
      <c r="G1398" s="1">
        <f ca="1">IFERROR(__xludf.DUMMYFUNCTION("COUNTA(SPLIT(F1398,"" ""))"),42)</f>
        <v>42</v>
      </c>
      <c r="H1398" s="1">
        <v>42</v>
      </c>
      <c r="I1398" s="1"/>
      <c r="J1398" s="1"/>
      <c r="K1398" s="1"/>
      <c r="L1398" s="1"/>
      <c r="M1398" s="1"/>
      <c r="N1398" s="1"/>
      <c r="O1398" s="1"/>
      <c r="P1398" s="1"/>
      <c r="Q1398" s="1"/>
      <c r="R1398" s="1"/>
      <c r="S1398" s="1"/>
      <c r="T1398" s="1"/>
    </row>
    <row r="1399" spans="1:20" ht="33.75" hidden="1" customHeight="1">
      <c r="A1399" s="1" t="s">
        <v>3957</v>
      </c>
      <c r="B1399" s="1" t="s">
        <v>3255</v>
      </c>
      <c r="C1399" s="4">
        <v>39888.730555555558</v>
      </c>
      <c r="D1399" s="1" t="s">
        <v>196</v>
      </c>
      <c r="E1399" s="1" t="s">
        <v>3950</v>
      </c>
      <c r="F1399" s="2" t="s">
        <v>3958</v>
      </c>
      <c r="G1399" s="1">
        <f ca="1">IFERROR(__xludf.DUMMYFUNCTION("COUNTA(SPLIT(F1399,"" ""))"),28)</f>
        <v>28</v>
      </c>
      <c r="H1399" s="1">
        <v>28</v>
      </c>
      <c r="I1399" s="1"/>
      <c r="J1399" s="1"/>
      <c r="K1399" s="1"/>
      <c r="L1399" s="1"/>
      <c r="M1399" s="1"/>
      <c r="N1399" s="1"/>
      <c r="O1399" s="1"/>
      <c r="P1399" s="1"/>
      <c r="Q1399" s="1"/>
      <c r="R1399" s="1"/>
      <c r="S1399" s="1"/>
      <c r="T1399" s="1"/>
    </row>
    <row r="1400" spans="1:20" ht="33.75" customHeight="1">
      <c r="A1400" s="1" t="s">
        <v>3959</v>
      </c>
      <c r="B1400" s="1" t="s">
        <v>3929</v>
      </c>
      <c r="C1400" s="4">
        <v>39888.734722222223</v>
      </c>
      <c r="D1400" s="1" t="s">
        <v>14</v>
      </c>
      <c r="E1400" s="1"/>
      <c r="F1400" s="2" t="s">
        <v>3961</v>
      </c>
      <c r="G1400" s="1">
        <f ca="1">IFERROR(__xludf.DUMMYFUNCTION("COUNTA(SPLIT(F1400,"" ""))"),903)</f>
        <v>903</v>
      </c>
      <c r="H1400" s="1">
        <v>903</v>
      </c>
      <c r="I1400" s="1"/>
      <c r="J1400" s="1"/>
      <c r="K1400" s="1"/>
      <c r="L1400" s="1"/>
      <c r="M1400" s="1"/>
      <c r="N1400" s="1"/>
      <c r="O1400" s="1"/>
      <c r="P1400" s="1"/>
      <c r="Q1400" s="1"/>
      <c r="R1400" s="1"/>
      <c r="S1400" s="1"/>
      <c r="T1400" s="1"/>
    </row>
    <row r="1401" spans="1:20" ht="33.75" customHeight="1">
      <c r="A1401" s="1" t="s">
        <v>3962</v>
      </c>
      <c r="B1401" s="1" t="s">
        <v>3255</v>
      </c>
      <c r="C1401" s="4">
        <v>39883.238194444442</v>
      </c>
      <c r="D1401" s="1" t="s">
        <v>1528</v>
      </c>
      <c r="E1401" s="1"/>
      <c r="F1401" s="2" t="s">
        <v>3964</v>
      </c>
      <c r="G1401" s="1">
        <f ca="1">IFERROR(__xludf.DUMMYFUNCTION("COUNTA(SPLIT(F1401,"" ""))"),60)</f>
        <v>60</v>
      </c>
      <c r="H1401" s="1">
        <v>60</v>
      </c>
      <c r="I1401" s="1"/>
      <c r="J1401" s="1"/>
      <c r="K1401" s="1"/>
      <c r="L1401" s="1"/>
      <c r="M1401" s="1"/>
      <c r="N1401" s="1"/>
      <c r="O1401" s="1"/>
      <c r="P1401" s="1"/>
      <c r="Q1401" s="1"/>
      <c r="R1401" s="1"/>
      <c r="S1401" s="1"/>
      <c r="T1401" s="1"/>
    </row>
    <row r="1402" spans="1:20" ht="33.75" customHeight="1">
      <c r="A1402" s="1" t="s">
        <v>3965</v>
      </c>
      <c r="B1402" s="1" t="s">
        <v>3255</v>
      </c>
      <c r="C1402" s="4">
        <v>39885.747916666667</v>
      </c>
      <c r="D1402" s="1" t="s">
        <v>1528</v>
      </c>
      <c r="E1402" s="1"/>
      <c r="F1402" s="2" t="s">
        <v>3967</v>
      </c>
      <c r="G1402" s="1">
        <f ca="1">IFERROR(__xludf.DUMMYFUNCTION("COUNTA(SPLIT(F1402,"" ""))"),145)</f>
        <v>145</v>
      </c>
      <c r="H1402" s="1">
        <v>145</v>
      </c>
      <c r="I1402" s="1"/>
      <c r="J1402" s="1"/>
      <c r="K1402" s="1"/>
      <c r="L1402" s="1"/>
      <c r="M1402" s="1"/>
      <c r="N1402" s="1"/>
      <c r="O1402" s="1"/>
      <c r="P1402" s="1"/>
      <c r="Q1402" s="1"/>
      <c r="R1402" s="1"/>
      <c r="S1402" s="1"/>
      <c r="T1402" s="1"/>
    </row>
    <row r="1403" spans="1:20" ht="33.75" hidden="1" customHeight="1">
      <c r="A1403" s="1" t="s">
        <v>3968</v>
      </c>
      <c r="B1403" s="1" t="s">
        <v>3929</v>
      </c>
      <c r="C1403" s="4">
        <v>39888.784722222219</v>
      </c>
      <c r="D1403" s="1" t="s">
        <v>196</v>
      </c>
      <c r="E1403" s="1" t="s">
        <v>3969</v>
      </c>
      <c r="F1403" s="2" t="s">
        <v>3970</v>
      </c>
      <c r="G1403" s="1">
        <f ca="1">IFERROR(__xludf.DUMMYFUNCTION("COUNTA(SPLIT(F1403,"" ""))"),46)</f>
        <v>46</v>
      </c>
      <c r="H1403" s="1">
        <v>46</v>
      </c>
      <c r="I1403" s="1"/>
      <c r="J1403" s="1"/>
      <c r="K1403" s="1"/>
      <c r="L1403" s="1"/>
      <c r="M1403" s="1"/>
      <c r="N1403" s="1"/>
      <c r="O1403" s="1"/>
      <c r="P1403" s="1"/>
      <c r="Q1403" s="1"/>
      <c r="R1403" s="1"/>
      <c r="S1403" s="1"/>
      <c r="T1403" s="1"/>
    </row>
    <row r="1404" spans="1:20" ht="33.75" hidden="1" customHeight="1">
      <c r="A1404" s="1" t="s">
        <v>3971</v>
      </c>
      <c r="B1404" s="1" t="s">
        <v>3929</v>
      </c>
      <c r="C1404" s="4">
        <v>39888.811805555553</v>
      </c>
      <c r="D1404" s="1" t="s">
        <v>14</v>
      </c>
      <c r="E1404" s="1" t="s">
        <v>3968</v>
      </c>
      <c r="F1404" s="2" t="s">
        <v>3972</v>
      </c>
      <c r="G1404" s="1">
        <f ca="1">IFERROR(__xludf.DUMMYFUNCTION("COUNTA(SPLIT(F1404,"" ""))"),55)</f>
        <v>55</v>
      </c>
      <c r="H1404" s="1">
        <v>55</v>
      </c>
      <c r="I1404" s="1"/>
      <c r="J1404" s="1"/>
      <c r="K1404" s="1"/>
      <c r="L1404" s="1"/>
      <c r="M1404" s="1"/>
      <c r="N1404" s="1"/>
      <c r="O1404" s="1"/>
      <c r="P1404" s="1"/>
      <c r="Q1404" s="1"/>
      <c r="R1404" s="1"/>
      <c r="S1404" s="1"/>
      <c r="T1404" s="1"/>
    </row>
    <row r="1405" spans="1:20" ht="33.75" hidden="1" customHeight="1">
      <c r="A1405" s="1" t="s">
        <v>3973</v>
      </c>
      <c r="B1405" s="1" t="s">
        <v>3929</v>
      </c>
      <c r="C1405" s="4">
        <v>39888.84375</v>
      </c>
      <c r="D1405" s="1" t="s">
        <v>196</v>
      </c>
      <c r="E1405" s="1" t="s">
        <v>3971</v>
      </c>
      <c r="F1405" s="2" t="s">
        <v>3975</v>
      </c>
      <c r="G1405" s="1">
        <f ca="1">IFERROR(__xludf.DUMMYFUNCTION("COUNTA(SPLIT(F1405,"" ""))"),85)</f>
        <v>85</v>
      </c>
      <c r="H1405" s="1">
        <v>85</v>
      </c>
      <c r="I1405" s="1"/>
      <c r="J1405" s="1"/>
      <c r="K1405" s="1"/>
      <c r="L1405" s="1"/>
      <c r="M1405" s="1"/>
      <c r="N1405" s="1"/>
      <c r="O1405" s="1"/>
      <c r="P1405" s="1"/>
      <c r="Q1405" s="1"/>
      <c r="R1405" s="1"/>
      <c r="S1405" s="1"/>
      <c r="T1405" s="1"/>
    </row>
    <row r="1406" spans="1:20" ht="33.75" hidden="1" customHeight="1">
      <c r="A1406" s="1" t="s">
        <v>3976</v>
      </c>
      <c r="B1406" s="1" t="s">
        <v>3800</v>
      </c>
      <c r="C1406" s="4">
        <v>39889.414583333331</v>
      </c>
      <c r="D1406" s="1" t="s">
        <v>1089</v>
      </c>
      <c r="E1406" s="1" t="s">
        <v>3955</v>
      </c>
      <c r="F1406" s="2" t="s">
        <v>3977</v>
      </c>
      <c r="G1406" s="1">
        <f ca="1">IFERROR(__xludf.DUMMYFUNCTION("COUNTA(SPLIT(F1406,"" ""))"),48)</f>
        <v>48</v>
      </c>
      <c r="H1406" s="1">
        <v>48</v>
      </c>
      <c r="I1406" s="1"/>
      <c r="J1406" s="1"/>
      <c r="K1406" s="1"/>
      <c r="L1406" s="1"/>
      <c r="M1406" s="1"/>
      <c r="N1406" s="1"/>
      <c r="O1406" s="1"/>
      <c r="P1406" s="1"/>
      <c r="Q1406" s="1"/>
      <c r="R1406" s="1"/>
      <c r="S1406" s="1"/>
      <c r="T1406" s="1"/>
    </row>
    <row r="1407" spans="1:20" ht="33.75" hidden="1" customHeight="1">
      <c r="A1407" s="1" t="s">
        <v>3978</v>
      </c>
      <c r="B1407" s="1" t="s">
        <v>3800</v>
      </c>
      <c r="C1407" s="4">
        <v>39889.42083333333</v>
      </c>
      <c r="D1407" s="1" t="s">
        <v>772</v>
      </c>
      <c r="E1407" s="1" t="s">
        <v>3976</v>
      </c>
      <c r="F1407" s="2" t="s">
        <v>3979</v>
      </c>
      <c r="G1407" s="1">
        <f ca="1">IFERROR(__xludf.DUMMYFUNCTION("COUNTA(SPLIT(F1407,"" ""))"),22)</f>
        <v>22</v>
      </c>
      <c r="H1407" s="1">
        <v>22</v>
      </c>
      <c r="I1407" s="1"/>
      <c r="J1407" s="1"/>
      <c r="K1407" s="1"/>
      <c r="L1407" s="1"/>
      <c r="M1407" s="1"/>
      <c r="N1407" s="1"/>
      <c r="O1407" s="1"/>
      <c r="P1407" s="1"/>
      <c r="Q1407" s="1"/>
      <c r="R1407" s="1"/>
      <c r="S1407" s="1"/>
      <c r="T1407" s="1"/>
    </row>
    <row r="1408" spans="1:20" ht="33.75" customHeight="1">
      <c r="A1408" s="1" t="s">
        <v>3980</v>
      </c>
      <c r="B1408" s="1" t="s">
        <v>3800</v>
      </c>
      <c r="C1408" s="4">
        <v>39889.675000000003</v>
      </c>
      <c r="D1408" s="1" t="s">
        <v>2893</v>
      </c>
      <c r="E1408" s="1"/>
      <c r="F1408" s="2" t="s">
        <v>3982</v>
      </c>
      <c r="G1408" s="1">
        <f ca="1">IFERROR(__xludf.DUMMYFUNCTION("COUNTA(SPLIT(F1408,"" ""))"),14)</f>
        <v>14</v>
      </c>
      <c r="H1408" s="1">
        <v>14</v>
      </c>
      <c r="I1408" s="1"/>
      <c r="J1408" s="1"/>
      <c r="K1408" s="1"/>
      <c r="L1408" s="1"/>
      <c r="M1408" s="1"/>
      <c r="N1408" s="1"/>
      <c r="O1408" s="1"/>
      <c r="P1408" s="1"/>
      <c r="Q1408" s="1"/>
      <c r="R1408" s="1"/>
      <c r="S1408" s="1"/>
      <c r="T1408" s="1"/>
    </row>
    <row r="1409" spans="1:20" ht="33.75" hidden="1" customHeight="1">
      <c r="A1409" s="1" t="s">
        <v>3983</v>
      </c>
      <c r="B1409" s="1" t="s">
        <v>3929</v>
      </c>
      <c r="C1409" s="4">
        <v>39889.767361111109</v>
      </c>
      <c r="D1409" s="1" t="s">
        <v>196</v>
      </c>
      <c r="E1409" s="1" t="s">
        <v>3973</v>
      </c>
      <c r="F1409" s="2" t="s">
        <v>3984</v>
      </c>
      <c r="G1409" s="1">
        <f ca="1">IFERROR(__xludf.DUMMYFUNCTION("COUNTA(SPLIT(F1409,"" ""))"),139)</f>
        <v>139</v>
      </c>
      <c r="H1409" s="1">
        <v>139</v>
      </c>
      <c r="I1409" s="1"/>
      <c r="J1409" s="1"/>
      <c r="K1409" s="1"/>
      <c r="L1409" s="1"/>
      <c r="M1409" s="1"/>
      <c r="N1409" s="1"/>
      <c r="O1409" s="1"/>
      <c r="P1409" s="1"/>
      <c r="Q1409" s="1"/>
      <c r="R1409" s="1"/>
      <c r="S1409" s="1"/>
      <c r="T1409" s="1"/>
    </row>
    <row r="1410" spans="1:20" ht="33.75" hidden="1" customHeight="1">
      <c r="A1410" s="1" t="s">
        <v>3985</v>
      </c>
      <c r="B1410" s="1" t="s">
        <v>3929</v>
      </c>
      <c r="C1410" s="4">
        <v>39889.84652777778</v>
      </c>
      <c r="D1410" s="1" t="s">
        <v>14</v>
      </c>
      <c r="E1410" s="1" t="s">
        <v>3959</v>
      </c>
      <c r="F1410" s="2" t="s">
        <v>3987</v>
      </c>
      <c r="G1410" s="1">
        <f ca="1">IFERROR(__xludf.DUMMYFUNCTION("COUNTA(SPLIT(F1410,"" ""))"),47)</f>
        <v>47</v>
      </c>
      <c r="H1410" s="1">
        <v>47</v>
      </c>
      <c r="I1410" s="1"/>
      <c r="J1410" s="1"/>
      <c r="K1410" s="1"/>
      <c r="L1410" s="1"/>
      <c r="M1410" s="1"/>
      <c r="N1410" s="1"/>
      <c r="O1410" s="1"/>
      <c r="P1410" s="1"/>
      <c r="Q1410" s="1"/>
      <c r="R1410" s="1"/>
      <c r="S1410" s="1"/>
      <c r="T1410" s="1"/>
    </row>
    <row r="1411" spans="1:20" ht="33.75" customHeight="1">
      <c r="A1411" s="1" t="s">
        <v>3988</v>
      </c>
      <c r="B1411" s="1" t="s">
        <v>3929</v>
      </c>
      <c r="C1411" s="4">
        <v>39889.895138888889</v>
      </c>
      <c r="D1411" s="1" t="s">
        <v>314</v>
      </c>
      <c r="E1411" s="1"/>
      <c r="F1411" s="2" t="s">
        <v>3989</v>
      </c>
      <c r="G1411" s="1">
        <f ca="1">IFERROR(__xludf.DUMMYFUNCTION("COUNTA(SPLIT(F1411,"" ""))"),52)</f>
        <v>52</v>
      </c>
      <c r="H1411" s="1">
        <v>52</v>
      </c>
      <c r="I1411" s="1"/>
      <c r="J1411" s="1"/>
      <c r="K1411" s="1"/>
      <c r="L1411" s="1"/>
      <c r="M1411" s="1"/>
      <c r="N1411" s="1"/>
      <c r="O1411" s="1"/>
      <c r="P1411" s="1"/>
      <c r="Q1411" s="1"/>
      <c r="R1411" s="1"/>
      <c r="S1411" s="1"/>
      <c r="T1411" s="1"/>
    </row>
    <row r="1412" spans="1:20" ht="33.75" hidden="1" customHeight="1">
      <c r="A1412" s="1" t="s">
        <v>3990</v>
      </c>
      <c r="B1412" s="1" t="s">
        <v>3929</v>
      </c>
      <c r="C1412" s="4">
        <v>39890.004861111112</v>
      </c>
      <c r="D1412" s="1" t="s">
        <v>14</v>
      </c>
      <c r="E1412" s="1" t="s">
        <v>3985</v>
      </c>
      <c r="F1412" s="2" t="s">
        <v>3991</v>
      </c>
      <c r="G1412" s="1">
        <f ca="1">IFERROR(__xludf.DUMMYFUNCTION("COUNTA(SPLIT(F1412,"" ""))"),285)</f>
        <v>285</v>
      </c>
      <c r="H1412" s="1">
        <v>285</v>
      </c>
      <c r="I1412" s="1"/>
      <c r="J1412" s="1"/>
      <c r="K1412" s="1"/>
      <c r="L1412" s="1"/>
      <c r="M1412" s="1"/>
      <c r="N1412" s="1"/>
      <c r="O1412" s="1"/>
      <c r="P1412" s="1"/>
      <c r="Q1412" s="1"/>
      <c r="R1412" s="1"/>
      <c r="S1412" s="1"/>
      <c r="T1412" s="1"/>
    </row>
    <row r="1413" spans="1:20" ht="33.75" hidden="1" customHeight="1">
      <c r="A1413" s="1" t="s">
        <v>3992</v>
      </c>
      <c r="B1413" s="1" t="s">
        <v>3929</v>
      </c>
      <c r="C1413" s="4">
        <v>39890.009027777778</v>
      </c>
      <c r="D1413" s="1" t="s">
        <v>1528</v>
      </c>
      <c r="E1413" s="1" t="s">
        <v>3990</v>
      </c>
      <c r="F1413" s="2" t="s">
        <v>3993</v>
      </c>
      <c r="G1413" s="1">
        <f ca="1">IFERROR(__xludf.DUMMYFUNCTION("COUNTA(SPLIT(F1413,"" ""))"),120)</f>
        <v>120</v>
      </c>
      <c r="H1413" s="1">
        <v>120</v>
      </c>
      <c r="I1413" s="1"/>
      <c r="J1413" s="1"/>
      <c r="K1413" s="1"/>
      <c r="L1413" s="1"/>
      <c r="M1413" s="1"/>
      <c r="N1413" s="1"/>
      <c r="O1413" s="1"/>
      <c r="P1413" s="1"/>
      <c r="Q1413" s="1"/>
      <c r="R1413" s="1"/>
      <c r="S1413" s="1"/>
      <c r="T1413" s="1"/>
    </row>
    <row r="1414" spans="1:20" ht="33.75" hidden="1" customHeight="1">
      <c r="A1414" s="1" t="s">
        <v>3994</v>
      </c>
      <c r="B1414" s="1" t="s">
        <v>3929</v>
      </c>
      <c r="C1414" s="4">
        <v>39890.006249999999</v>
      </c>
      <c r="D1414" s="1" t="s">
        <v>1528</v>
      </c>
      <c r="E1414" s="1">
        <v>1002</v>
      </c>
      <c r="F1414" s="2" t="s">
        <v>3995</v>
      </c>
      <c r="G1414" s="1">
        <f ca="1">IFERROR(__xludf.DUMMYFUNCTION("COUNTA(SPLIT(F1414,"" ""))"),147)</f>
        <v>147</v>
      </c>
      <c r="H1414" s="1">
        <v>147</v>
      </c>
      <c r="I1414" s="1"/>
      <c r="J1414" s="1"/>
      <c r="K1414" s="1"/>
      <c r="L1414" s="1"/>
      <c r="M1414" s="1"/>
      <c r="N1414" s="1"/>
      <c r="O1414" s="1"/>
      <c r="P1414" s="1"/>
      <c r="Q1414" s="1"/>
      <c r="R1414" s="1"/>
      <c r="S1414" s="1"/>
      <c r="T1414" s="1"/>
    </row>
    <row r="1415" spans="1:20" ht="33.75" hidden="1" customHeight="1">
      <c r="A1415" s="1" t="s">
        <v>3996</v>
      </c>
      <c r="B1415" s="1" t="s">
        <v>3929</v>
      </c>
      <c r="C1415" s="4">
        <v>39890.020138888889</v>
      </c>
      <c r="D1415" s="1" t="s">
        <v>14</v>
      </c>
      <c r="E1415" s="1">
        <v>1002</v>
      </c>
      <c r="F1415" s="2" t="s">
        <v>3998</v>
      </c>
      <c r="G1415" s="1">
        <f ca="1">IFERROR(__xludf.DUMMYFUNCTION("COUNTA(SPLIT(F1415,"" ""))"),40)</f>
        <v>40</v>
      </c>
      <c r="H1415" s="1">
        <v>40</v>
      </c>
      <c r="I1415" s="1"/>
      <c r="J1415" s="1"/>
      <c r="K1415" s="1"/>
      <c r="L1415" s="1"/>
      <c r="M1415" s="1"/>
      <c r="N1415" s="1"/>
      <c r="O1415" s="1"/>
      <c r="P1415" s="1"/>
      <c r="Q1415" s="1"/>
      <c r="R1415" s="1"/>
      <c r="S1415" s="1"/>
      <c r="T1415" s="1"/>
    </row>
    <row r="1416" spans="1:20" ht="33.75" customHeight="1">
      <c r="A1416" s="1" t="s">
        <v>3999</v>
      </c>
      <c r="B1416" s="1" t="s">
        <v>3929</v>
      </c>
      <c r="C1416" s="4">
        <v>39890.070138888892</v>
      </c>
      <c r="D1416" s="1" t="s">
        <v>320</v>
      </c>
      <c r="E1416" s="1"/>
      <c r="F1416" s="2" t="s">
        <v>4000</v>
      </c>
      <c r="G1416" s="1">
        <f ca="1">IFERROR(__xludf.DUMMYFUNCTION("COUNTA(SPLIT(F1416,"" ""))"),619)</f>
        <v>619</v>
      </c>
      <c r="H1416" s="1">
        <v>619</v>
      </c>
      <c r="I1416" s="1"/>
      <c r="J1416" s="1"/>
      <c r="K1416" s="1"/>
      <c r="L1416" s="1"/>
      <c r="M1416" s="1"/>
      <c r="N1416" s="1"/>
      <c r="O1416" s="1"/>
      <c r="P1416" s="1"/>
      <c r="Q1416" s="1"/>
      <c r="R1416" s="1"/>
      <c r="S1416" s="1"/>
      <c r="T1416" s="1"/>
    </row>
    <row r="1417" spans="1:20" ht="33.75" customHeight="1">
      <c r="A1417" s="1" t="s">
        <v>4001</v>
      </c>
      <c r="B1417" s="1" t="s">
        <v>3800</v>
      </c>
      <c r="C1417" s="4">
        <v>39890.086805555555</v>
      </c>
      <c r="D1417" s="1" t="s">
        <v>1089</v>
      </c>
      <c r="E1417" s="1"/>
      <c r="F1417" s="2" t="s">
        <v>4002</v>
      </c>
      <c r="G1417" s="1">
        <f ca="1">IFERROR(__xludf.DUMMYFUNCTION("COUNTA(SPLIT(F1417,"" ""))"),67)</f>
        <v>67</v>
      </c>
      <c r="H1417" s="1">
        <v>67</v>
      </c>
      <c r="I1417" s="1"/>
      <c r="J1417" s="1"/>
      <c r="K1417" s="1"/>
      <c r="L1417" s="1"/>
      <c r="M1417" s="1"/>
      <c r="N1417" s="1"/>
      <c r="O1417" s="1"/>
      <c r="P1417" s="1"/>
      <c r="Q1417" s="1"/>
      <c r="R1417" s="1"/>
      <c r="S1417" s="1"/>
      <c r="T1417" s="1"/>
    </row>
    <row r="1418" spans="1:20" ht="33.75" customHeight="1">
      <c r="A1418" s="1" t="s">
        <v>4003</v>
      </c>
      <c r="B1418" s="1" t="s">
        <v>3800</v>
      </c>
      <c r="C1418" s="4">
        <v>39890.176388888889</v>
      </c>
      <c r="D1418" s="1" t="s">
        <v>1089</v>
      </c>
      <c r="E1418" s="1"/>
      <c r="F1418" s="2" t="s">
        <v>4005</v>
      </c>
      <c r="G1418" s="1">
        <f ca="1">IFERROR(__xludf.DUMMYFUNCTION("COUNTA(SPLIT(F1418,"" ""))"),80)</f>
        <v>80</v>
      </c>
      <c r="H1418" s="1">
        <v>80</v>
      </c>
      <c r="I1418" s="1"/>
      <c r="J1418" s="1"/>
      <c r="K1418" s="1"/>
      <c r="L1418" s="1"/>
      <c r="M1418" s="1"/>
      <c r="N1418" s="1"/>
      <c r="O1418" s="1"/>
      <c r="P1418" s="1"/>
      <c r="Q1418" s="1"/>
      <c r="R1418" s="1"/>
      <c r="S1418" s="1"/>
      <c r="T1418" s="1"/>
    </row>
    <row r="1419" spans="1:20" ht="33.75" customHeight="1">
      <c r="A1419" s="1" t="s">
        <v>4006</v>
      </c>
      <c r="B1419" s="1" t="s">
        <v>3929</v>
      </c>
      <c r="C1419" s="4">
        <v>39890.320833333331</v>
      </c>
      <c r="D1419" s="1" t="s">
        <v>255</v>
      </c>
      <c r="E1419" s="1"/>
      <c r="F1419" s="2" t="s">
        <v>4008</v>
      </c>
      <c r="G1419" s="1">
        <f ca="1">IFERROR(__xludf.DUMMYFUNCTION("COUNTA(SPLIT(F1419,"" ""))"),45)</f>
        <v>45</v>
      </c>
      <c r="H1419" s="1">
        <v>45</v>
      </c>
      <c r="I1419" s="1"/>
      <c r="J1419" s="1"/>
      <c r="K1419" s="1"/>
      <c r="L1419" s="1"/>
      <c r="M1419" s="1"/>
      <c r="N1419" s="1"/>
      <c r="O1419" s="1"/>
      <c r="P1419" s="1"/>
      <c r="Q1419" s="1"/>
      <c r="R1419" s="1"/>
      <c r="S1419" s="1"/>
      <c r="T1419" s="1"/>
    </row>
    <row r="1420" spans="1:20" ht="33.75" hidden="1" customHeight="1">
      <c r="A1420" s="1" t="s">
        <v>4009</v>
      </c>
      <c r="B1420" s="1" t="s">
        <v>3929</v>
      </c>
      <c r="C1420" s="4">
        <v>39890.340277777781</v>
      </c>
      <c r="D1420" s="1" t="s">
        <v>14</v>
      </c>
      <c r="E1420" s="1" t="s">
        <v>3999</v>
      </c>
      <c r="F1420" s="2" t="s">
        <v>4010</v>
      </c>
      <c r="G1420" s="1">
        <f ca="1">IFERROR(__xludf.DUMMYFUNCTION("COUNTA(SPLIT(F1420,"" ""))"),119)</f>
        <v>119</v>
      </c>
      <c r="H1420" s="1">
        <v>119</v>
      </c>
      <c r="I1420" s="1"/>
      <c r="J1420" s="1"/>
      <c r="K1420" s="1"/>
      <c r="L1420" s="1"/>
      <c r="M1420" s="1"/>
      <c r="N1420" s="1"/>
      <c r="O1420" s="1"/>
      <c r="P1420" s="1"/>
      <c r="Q1420" s="1"/>
      <c r="R1420" s="1"/>
      <c r="S1420" s="1"/>
      <c r="T1420" s="1"/>
    </row>
    <row r="1421" spans="1:20" ht="33.75" hidden="1" customHeight="1">
      <c r="A1421" s="1" t="s">
        <v>4011</v>
      </c>
      <c r="B1421" s="1" t="s">
        <v>3929</v>
      </c>
      <c r="C1421" s="4">
        <v>39890.369444444441</v>
      </c>
      <c r="D1421" s="1" t="s">
        <v>14</v>
      </c>
      <c r="E1421" s="1" t="s">
        <v>4012</v>
      </c>
      <c r="F1421" s="2" t="s">
        <v>4013</v>
      </c>
      <c r="G1421" s="1">
        <f ca="1">IFERROR(__xludf.DUMMYFUNCTION("COUNTA(SPLIT(F1421,"" ""))"),91)</f>
        <v>91</v>
      </c>
      <c r="H1421" s="1">
        <v>91</v>
      </c>
      <c r="I1421" s="1"/>
      <c r="J1421" s="1"/>
      <c r="K1421" s="1"/>
      <c r="L1421" s="1"/>
      <c r="M1421" s="1"/>
      <c r="N1421" s="1"/>
      <c r="O1421" s="1"/>
      <c r="P1421" s="1"/>
      <c r="Q1421" s="1"/>
      <c r="R1421" s="1"/>
      <c r="S1421" s="1"/>
      <c r="T1421" s="1"/>
    </row>
    <row r="1422" spans="1:20" ht="33.75" customHeight="1">
      <c r="A1422" s="1" t="s">
        <v>4014</v>
      </c>
      <c r="B1422" s="1" t="s">
        <v>3800</v>
      </c>
      <c r="C1422" s="4">
        <v>39890.411111111112</v>
      </c>
      <c r="D1422" s="1" t="s">
        <v>84</v>
      </c>
      <c r="E1422" s="1"/>
      <c r="F1422" s="2" t="s">
        <v>4016</v>
      </c>
      <c r="G1422" s="1">
        <f ca="1">IFERROR(__xludf.DUMMYFUNCTION("COUNTA(SPLIT(F1422,"" ""))"),48)</f>
        <v>48</v>
      </c>
      <c r="H1422" s="1">
        <v>48</v>
      </c>
      <c r="I1422" s="1"/>
      <c r="J1422" s="1"/>
      <c r="K1422" s="1"/>
      <c r="L1422" s="1"/>
      <c r="M1422" s="1"/>
      <c r="N1422" s="1"/>
      <c r="O1422" s="1"/>
      <c r="P1422" s="1"/>
      <c r="Q1422" s="1"/>
      <c r="R1422" s="1"/>
      <c r="S1422" s="1"/>
      <c r="T1422" s="1"/>
    </row>
    <row r="1423" spans="1:20" ht="33.75" hidden="1" customHeight="1">
      <c r="A1423" s="1" t="s">
        <v>4017</v>
      </c>
      <c r="B1423" s="1" t="s">
        <v>3800</v>
      </c>
      <c r="C1423" s="4">
        <v>39890.456250000003</v>
      </c>
      <c r="D1423" s="1" t="s">
        <v>772</v>
      </c>
      <c r="E1423" s="1" t="s">
        <v>4014</v>
      </c>
      <c r="F1423" s="2" t="s">
        <v>4019</v>
      </c>
      <c r="G1423" s="1">
        <f ca="1">IFERROR(__xludf.DUMMYFUNCTION("COUNTA(SPLIT(F1423,"" ""))"),22)</f>
        <v>22</v>
      </c>
      <c r="H1423" s="1">
        <v>22</v>
      </c>
      <c r="I1423" s="1"/>
      <c r="J1423" s="1"/>
      <c r="K1423" s="1"/>
      <c r="L1423" s="1"/>
      <c r="M1423" s="1"/>
      <c r="N1423" s="1"/>
      <c r="O1423" s="1"/>
      <c r="P1423" s="1"/>
      <c r="Q1423" s="1"/>
      <c r="R1423" s="1"/>
      <c r="S1423" s="1"/>
      <c r="T1423" s="1"/>
    </row>
    <row r="1424" spans="1:20" ht="33.75" customHeight="1">
      <c r="A1424" s="1" t="s">
        <v>4020</v>
      </c>
      <c r="B1424" s="1" t="s">
        <v>3800</v>
      </c>
      <c r="C1424" s="4">
        <v>39890.466666666667</v>
      </c>
      <c r="D1424" s="1" t="s">
        <v>772</v>
      </c>
      <c r="E1424" s="1"/>
      <c r="F1424" s="2" t="s">
        <v>4021</v>
      </c>
      <c r="G1424" s="1">
        <f ca="1">IFERROR(__xludf.DUMMYFUNCTION("COUNTA(SPLIT(F1424,"" ""))"),419)</f>
        <v>419</v>
      </c>
      <c r="H1424" s="1">
        <v>419</v>
      </c>
      <c r="I1424" s="1"/>
      <c r="J1424" s="1"/>
      <c r="K1424" s="1"/>
      <c r="L1424" s="1"/>
      <c r="M1424" s="1"/>
      <c r="N1424" s="1"/>
      <c r="O1424" s="1"/>
      <c r="P1424" s="1"/>
      <c r="Q1424" s="1"/>
      <c r="R1424" s="1"/>
      <c r="S1424" s="1"/>
      <c r="T1424" s="1"/>
    </row>
    <row r="1425" spans="1:20" ht="33.75" hidden="1" customHeight="1">
      <c r="A1425" s="1" t="s">
        <v>4022</v>
      </c>
      <c r="B1425" s="1" t="s">
        <v>3929</v>
      </c>
      <c r="C1425" s="4">
        <v>39890.630555555559</v>
      </c>
      <c r="D1425" s="1" t="s">
        <v>320</v>
      </c>
      <c r="E1425" s="1" t="s">
        <v>4011</v>
      </c>
      <c r="F1425" s="2" t="s">
        <v>4023</v>
      </c>
      <c r="G1425" s="1">
        <f ca="1">IFERROR(__xludf.DUMMYFUNCTION("COUNTA(SPLIT(F1425,"" ""))"),784)</f>
        <v>784</v>
      </c>
      <c r="H1425" s="1">
        <v>784</v>
      </c>
      <c r="I1425" s="1"/>
      <c r="J1425" s="1"/>
      <c r="K1425" s="1"/>
      <c r="L1425" s="1"/>
      <c r="M1425" s="1"/>
      <c r="N1425" s="1"/>
      <c r="O1425" s="1"/>
      <c r="P1425" s="1"/>
      <c r="Q1425" s="1"/>
      <c r="R1425" s="1"/>
      <c r="S1425" s="1"/>
      <c r="T1425" s="1"/>
    </row>
    <row r="1426" spans="1:20" ht="33.75" customHeight="1">
      <c r="A1426" s="1" t="s">
        <v>4024</v>
      </c>
      <c r="B1426" s="1" t="s">
        <v>3929</v>
      </c>
      <c r="C1426" s="4">
        <v>39890.645138888889</v>
      </c>
      <c r="D1426" s="1" t="s">
        <v>320</v>
      </c>
      <c r="E1426" s="1"/>
      <c r="F1426" s="2" t="s">
        <v>4026</v>
      </c>
      <c r="G1426" s="1">
        <f ca="1">IFERROR(__xludf.DUMMYFUNCTION("COUNTA(SPLIT(F1426,"" ""))"),34)</f>
        <v>34</v>
      </c>
      <c r="H1426" s="1">
        <v>34</v>
      </c>
      <c r="I1426" s="1"/>
      <c r="J1426" s="1"/>
      <c r="K1426" s="1"/>
      <c r="L1426" s="1"/>
      <c r="M1426" s="1"/>
      <c r="N1426" s="1"/>
      <c r="O1426" s="1"/>
      <c r="P1426" s="1"/>
      <c r="Q1426" s="1"/>
      <c r="R1426" s="1"/>
      <c r="S1426" s="1"/>
      <c r="T1426" s="1"/>
    </row>
    <row r="1427" spans="1:20" ht="33.75" hidden="1" customHeight="1">
      <c r="A1427" s="1" t="s">
        <v>4027</v>
      </c>
      <c r="B1427" s="1" t="s">
        <v>3929</v>
      </c>
      <c r="C1427" s="4">
        <v>39890.660416666666</v>
      </c>
      <c r="D1427" s="1" t="s">
        <v>320</v>
      </c>
      <c r="E1427" s="1" t="s">
        <v>4022</v>
      </c>
      <c r="F1427" s="2" t="s">
        <v>4028</v>
      </c>
      <c r="G1427" s="1">
        <f ca="1">IFERROR(__xludf.DUMMYFUNCTION("COUNTA(SPLIT(F1427,"" ""))"),14)</f>
        <v>14</v>
      </c>
      <c r="H1427" s="1">
        <v>14</v>
      </c>
      <c r="I1427" s="1"/>
      <c r="J1427" s="1"/>
      <c r="K1427" s="1"/>
      <c r="L1427" s="1"/>
      <c r="M1427" s="1"/>
      <c r="N1427" s="1"/>
      <c r="O1427" s="1"/>
      <c r="P1427" s="1"/>
      <c r="Q1427" s="1"/>
      <c r="R1427" s="1"/>
      <c r="S1427" s="1"/>
      <c r="T1427" s="1"/>
    </row>
    <row r="1428" spans="1:20" ht="33.75" hidden="1" customHeight="1">
      <c r="A1428" s="1" t="s">
        <v>4029</v>
      </c>
      <c r="B1428" s="1" t="s">
        <v>3929</v>
      </c>
      <c r="C1428" s="4">
        <v>39890.668055555558</v>
      </c>
      <c r="D1428" s="1" t="s">
        <v>320</v>
      </c>
      <c r="E1428" s="1" t="s">
        <v>4022</v>
      </c>
      <c r="F1428" s="2" t="s">
        <v>4030</v>
      </c>
      <c r="G1428" s="1">
        <f ca="1">IFERROR(__xludf.DUMMYFUNCTION("COUNTA(SPLIT(F1428,"" ""))"),109)</f>
        <v>109</v>
      </c>
      <c r="H1428" s="1">
        <v>109</v>
      </c>
      <c r="I1428" s="1"/>
      <c r="J1428" s="1"/>
      <c r="K1428" s="1"/>
      <c r="L1428" s="1"/>
      <c r="M1428" s="1"/>
      <c r="N1428" s="1"/>
      <c r="O1428" s="1"/>
      <c r="P1428" s="1"/>
      <c r="Q1428" s="1"/>
      <c r="R1428" s="1"/>
      <c r="S1428" s="1"/>
      <c r="T1428" s="1"/>
    </row>
    <row r="1429" spans="1:20" ht="33.75" hidden="1" customHeight="1">
      <c r="A1429" s="1" t="s">
        <v>4031</v>
      </c>
      <c r="B1429" s="1" t="s">
        <v>3929</v>
      </c>
      <c r="C1429" s="4">
        <v>39890.711111111108</v>
      </c>
      <c r="D1429" s="1" t="s">
        <v>320</v>
      </c>
      <c r="E1429" s="1" t="s">
        <v>4022</v>
      </c>
      <c r="F1429" s="2" t="s">
        <v>4032</v>
      </c>
      <c r="G1429" s="1">
        <f ca="1">IFERROR(__xludf.DUMMYFUNCTION("COUNTA(SPLIT(F1429,"" ""))"),36)</f>
        <v>36</v>
      </c>
      <c r="H1429" s="1">
        <v>36</v>
      </c>
      <c r="I1429" s="1"/>
      <c r="J1429" s="1"/>
      <c r="K1429" s="1"/>
      <c r="L1429" s="1"/>
      <c r="M1429" s="1"/>
      <c r="N1429" s="1"/>
      <c r="O1429" s="1"/>
      <c r="P1429" s="1"/>
      <c r="Q1429" s="1"/>
      <c r="R1429" s="1"/>
      <c r="S1429" s="1"/>
      <c r="T1429" s="1"/>
    </row>
    <row r="1430" spans="1:20" ht="33.75" hidden="1" customHeight="1">
      <c r="A1430" s="1" t="s">
        <v>4033</v>
      </c>
      <c r="B1430" s="1" t="s">
        <v>3929</v>
      </c>
      <c r="C1430" s="4">
        <v>39890.725694444445</v>
      </c>
      <c r="D1430" s="1" t="s">
        <v>14</v>
      </c>
      <c r="E1430" s="1" t="s">
        <v>4022</v>
      </c>
      <c r="F1430" s="2" t="s">
        <v>4035</v>
      </c>
      <c r="G1430" s="1">
        <f ca="1">IFERROR(__xludf.DUMMYFUNCTION("COUNTA(SPLIT(F1430,"" ""))"),54)</f>
        <v>54</v>
      </c>
      <c r="H1430" s="1">
        <v>54</v>
      </c>
      <c r="I1430" s="1"/>
      <c r="J1430" s="1"/>
      <c r="K1430" s="1"/>
      <c r="L1430" s="1"/>
      <c r="M1430" s="1"/>
      <c r="N1430" s="1"/>
      <c r="O1430" s="1"/>
      <c r="P1430" s="1"/>
      <c r="Q1430" s="1"/>
      <c r="R1430" s="1"/>
      <c r="S1430" s="1"/>
      <c r="T1430" s="1"/>
    </row>
    <row r="1431" spans="1:20" ht="33.75" hidden="1" customHeight="1">
      <c r="A1431" s="1" t="s">
        <v>4036</v>
      </c>
      <c r="B1431" s="1" t="s">
        <v>3929</v>
      </c>
      <c r="C1431" s="4">
        <v>39890.73541666667</v>
      </c>
      <c r="D1431" s="1" t="s">
        <v>14</v>
      </c>
      <c r="E1431" s="1" t="s">
        <v>4022</v>
      </c>
      <c r="F1431" s="2" t="s">
        <v>4037</v>
      </c>
      <c r="G1431" s="1">
        <f ca="1">IFERROR(__xludf.DUMMYFUNCTION("COUNTA(SPLIT(F1431,"" ""))"),45)</f>
        <v>45</v>
      </c>
      <c r="H1431" s="1">
        <v>45</v>
      </c>
      <c r="I1431" s="1"/>
      <c r="J1431" s="1"/>
      <c r="K1431" s="1"/>
      <c r="L1431" s="1"/>
      <c r="M1431" s="1"/>
      <c r="N1431" s="1"/>
      <c r="O1431" s="1"/>
      <c r="P1431" s="1"/>
      <c r="Q1431" s="1"/>
      <c r="R1431" s="1"/>
      <c r="S1431" s="1"/>
      <c r="T1431" s="1"/>
    </row>
    <row r="1432" spans="1:20" ht="33.75" customHeight="1">
      <c r="A1432" s="1" t="s">
        <v>4038</v>
      </c>
      <c r="B1432" s="1" t="s">
        <v>3255</v>
      </c>
      <c r="C1432" s="4">
        <v>39890.753472222219</v>
      </c>
      <c r="D1432" s="1" t="s">
        <v>110</v>
      </c>
      <c r="E1432" s="1"/>
      <c r="F1432" s="2" t="s">
        <v>4040</v>
      </c>
      <c r="G1432" s="1">
        <f ca="1">IFERROR(__xludf.DUMMYFUNCTION("COUNTA(SPLIT(F1432,"" ""))"),113)</f>
        <v>113</v>
      </c>
      <c r="H1432" s="1">
        <v>113</v>
      </c>
      <c r="I1432" s="1"/>
      <c r="J1432" s="1"/>
      <c r="K1432" s="1"/>
      <c r="L1432" s="1"/>
      <c r="M1432" s="1"/>
      <c r="N1432" s="1"/>
      <c r="O1432" s="1"/>
      <c r="P1432" s="1"/>
      <c r="Q1432" s="1"/>
      <c r="R1432" s="1"/>
      <c r="S1432" s="1"/>
      <c r="T1432" s="1"/>
    </row>
    <row r="1433" spans="1:20" ht="33.75" customHeight="1">
      <c r="A1433" s="1" t="s">
        <v>4041</v>
      </c>
      <c r="B1433" s="1" t="s">
        <v>3929</v>
      </c>
      <c r="C1433" s="4">
        <v>39890.784722222219</v>
      </c>
      <c r="D1433" s="1" t="s">
        <v>320</v>
      </c>
      <c r="E1433" s="1"/>
      <c r="F1433" s="2" t="s">
        <v>4043</v>
      </c>
      <c r="G1433" s="1">
        <f ca="1">IFERROR(__xludf.DUMMYFUNCTION("COUNTA(SPLIT(F1433,"" ""))"),38)</f>
        <v>38</v>
      </c>
      <c r="H1433" s="1">
        <v>38</v>
      </c>
      <c r="I1433" s="1"/>
      <c r="J1433" s="1"/>
      <c r="K1433" s="1"/>
      <c r="L1433" s="1"/>
      <c r="M1433" s="1"/>
      <c r="N1433" s="1"/>
      <c r="O1433" s="1"/>
      <c r="P1433" s="1"/>
      <c r="Q1433" s="1"/>
      <c r="R1433" s="1"/>
      <c r="S1433" s="1"/>
      <c r="T1433" s="1"/>
    </row>
    <row r="1434" spans="1:20" ht="33.75" customHeight="1">
      <c r="A1434" s="1" t="s">
        <v>4044</v>
      </c>
      <c r="B1434" s="1" t="s">
        <v>3929</v>
      </c>
      <c r="C1434" s="4">
        <v>39890.786805555559</v>
      </c>
      <c r="D1434" s="1" t="s">
        <v>14</v>
      </c>
      <c r="E1434" s="1"/>
      <c r="F1434" s="2" t="s">
        <v>4046</v>
      </c>
      <c r="G1434" s="1">
        <f ca="1">IFERROR(__xludf.DUMMYFUNCTION("COUNTA(SPLIT(F1434,"" ""))"),39)</f>
        <v>39</v>
      </c>
      <c r="H1434" s="1">
        <v>39</v>
      </c>
      <c r="I1434" s="1"/>
      <c r="J1434" s="1"/>
      <c r="K1434" s="1"/>
      <c r="L1434" s="1"/>
      <c r="M1434" s="1"/>
      <c r="N1434" s="1"/>
      <c r="O1434" s="1"/>
      <c r="P1434" s="1"/>
      <c r="Q1434" s="1"/>
      <c r="R1434" s="1"/>
      <c r="S1434" s="1"/>
      <c r="T1434" s="1"/>
    </row>
    <row r="1435" spans="1:20" ht="33.75" hidden="1" customHeight="1">
      <c r="A1435" s="1" t="s">
        <v>4047</v>
      </c>
      <c r="B1435" s="1" t="s">
        <v>3929</v>
      </c>
      <c r="C1435" s="4">
        <v>39890.824305555558</v>
      </c>
      <c r="D1435" s="1" t="s">
        <v>320</v>
      </c>
      <c r="E1435" s="1" t="s">
        <v>4036</v>
      </c>
      <c r="F1435" s="2" t="s">
        <v>4048</v>
      </c>
      <c r="G1435" s="1">
        <f ca="1">IFERROR(__xludf.DUMMYFUNCTION("COUNTA(SPLIT(F1435,"" ""))"),374)</f>
        <v>374</v>
      </c>
      <c r="H1435" s="1">
        <v>374</v>
      </c>
      <c r="I1435" s="1"/>
      <c r="J1435" s="1"/>
      <c r="K1435" s="1"/>
      <c r="L1435" s="1"/>
      <c r="M1435" s="1"/>
      <c r="N1435" s="1"/>
      <c r="O1435" s="1"/>
      <c r="P1435" s="1"/>
      <c r="Q1435" s="1"/>
      <c r="R1435" s="1"/>
      <c r="S1435" s="1"/>
      <c r="T1435" s="1"/>
    </row>
    <row r="1436" spans="1:20" ht="33.75" customHeight="1">
      <c r="A1436" s="1" t="s">
        <v>4049</v>
      </c>
      <c r="B1436" s="1" t="s">
        <v>3929</v>
      </c>
      <c r="C1436" s="4">
        <v>39890.853472222225</v>
      </c>
      <c r="D1436" s="1" t="s">
        <v>255</v>
      </c>
      <c r="E1436" s="1"/>
      <c r="F1436" s="2" t="s">
        <v>4050</v>
      </c>
      <c r="G1436" s="1">
        <f ca="1">IFERROR(__xludf.DUMMYFUNCTION("COUNTA(SPLIT(F1436,"" ""))"),19)</f>
        <v>19</v>
      </c>
      <c r="H1436" s="1">
        <v>19</v>
      </c>
      <c r="I1436" s="1"/>
      <c r="J1436" s="1"/>
      <c r="K1436" s="1"/>
      <c r="L1436" s="1"/>
      <c r="M1436" s="1"/>
      <c r="N1436" s="1"/>
      <c r="O1436" s="1"/>
      <c r="P1436" s="1"/>
      <c r="Q1436" s="1"/>
      <c r="R1436" s="1"/>
      <c r="S1436" s="1"/>
      <c r="T1436" s="1"/>
    </row>
    <row r="1437" spans="1:20" ht="33.75" customHeight="1">
      <c r="A1437" s="1" t="s">
        <v>4051</v>
      </c>
      <c r="B1437" s="1" t="s">
        <v>3255</v>
      </c>
      <c r="C1437" s="4">
        <v>39890.883333333331</v>
      </c>
      <c r="D1437" s="1" t="s">
        <v>4052</v>
      </c>
      <c r="E1437" s="1"/>
      <c r="F1437" s="2" t="s">
        <v>4054</v>
      </c>
      <c r="G1437" s="1">
        <f ca="1">IFERROR(__xludf.DUMMYFUNCTION("COUNTA(SPLIT(F1437,"" ""))"),36)</f>
        <v>36</v>
      </c>
      <c r="H1437" s="1">
        <v>36</v>
      </c>
      <c r="I1437" s="1"/>
      <c r="J1437" s="1"/>
      <c r="K1437" s="1"/>
      <c r="L1437" s="1"/>
      <c r="M1437" s="1"/>
      <c r="N1437" s="1"/>
      <c r="O1437" s="1"/>
      <c r="P1437" s="1"/>
      <c r="Q1437" s="1"/>
      <c r="R1437" s="1"/>
      <c r="S1437" s="1"/>
      <c r="T1437" s="1"/>
    </row>
    <row r="1438" spans="1:20" ht="33.75" hidden="1" customHeight="1">
      <c r="A1438" s="1" t="s">
        <v>4055</v>
      </c>
      <c r="B1438" s="1" t="s">
        <v>2636</v>
      </c>
      <c r="C1438" s="4">
        <v>39890.932638888888</v>
      </c>
      <c r="D1438" s="1" t="s">
        <v>255</v>
      </c>
      <c r="E1438" s="1" t="s">
        <v>2976</v>
      </c>
      <c r="F1438" s="2" t="s">
        <v>4056</v>
      </c>
      <c r="G1438" s="1">
        <f ca="1">IFERROR(__xludf.DUMMYFUNCTION("COUNTA(SPLIT(F1438,"" ""))"),35)</f>
        <v>35</v>
      </c>
      <c r="H1438" s="1">
        <v>35</v>
      </c>
      <c r="I1438" s="1"/>
      <c r="J1438" s="1"/>
      <c r="K1438" s="1"/>
      <c r="L1438" s="1"/>
      <c r="M1438" s="1"/>
      <c r="N1438" s="1"/>
      <c r="O1438" s="1"/>
      <c r="P1438" s="1"/>
      <c r="Q1438" s="1"/>
      <c r="R1438" s="1"/>
      <c r="S1438" s="1"/>
      <c r="T1438" s="1"/>
    </row>
    <row r="1439" spans="1:20" ht="33.75" customHeight="1">
      <c r="A1439" s="1" t="s">
        <v>4057</v>
      </c>
      <c r="B1439" s="1" t="s">
        <v>3255</v>
      </c>
      <c r="C1439" s="4">
        <v>39890.956944444442</v>
      </c>
      <c r="D1439" s="1" t="s">
        <v>4058</v>
      </c>
      <c r="E1439" s="1"/>
      <c r="F1439" s="2" t="s">
        <v>4060</v>
      </c>
      <c r="G1439" s="1">
        <f ca="1">IFERROR(__xludf.DUMMYFUNCTION("COUNTA(SPLIT(F1439,"" ""))"),39)</f>
        <v>39</v>
      </c>
      <c r="H1439" s="1">
        <v>39</v>
      </c>
      <c r="I1439" s="1"/>
      <c r="J1439" s="1"/>
      <c r="K1439" s="1"/>
      <c r="L1439" s="1"/>
      <c r="M1439" s="1"/>
      <c r="N1439" s="1"/>
      <c r="O1439" s="1"/>
      <c r="P1439" s="1"/>
      <c r="Q1439" s="1"/>
      <c r="R1439" s="1"/>
      <c r="S1439" s="1"/>
      <c r="T1439" s="1"/>
    </row>
    <row r="1440" spans="1:20" ht="33.75" customHeight="1">
      <c r="A1440" s="1" t="s">
        <v>4061</v>
      </c>
      <c r="B1440" s="1" t="s">
        <v>3255</v>
      </c>
      <c r="C1440" s="4">
        <v>39891.400694444441</v>
      </c>
      <c r="D1440" s="1" t="s">
        <v>1073</v>
      </c>
      <c r="E1440" s="1"/>
      <c r="F1440" s="2" t="s">
        <v>4063</v>
      </c>
      <c r="G1440" s="1">
        <f ca="1">IFERROR(__xludf.DUMMYFUNCTION("COUNTA(SPLIT(F1440,"" ""))"),107)</f>
        <v>107</v>
      </c>
      <c r="H1440" s="1">
        <v>107</v>
      </c>
      <c r="I1440" s="1"/>
      <c r="J1440" s="1"/>
      <c r="K1440" s="1"/>
      <c r="L1440" s="1"/>
      <c r="M1440" s="1"/>
      <c r="N1440" s="1"/>
      <c r="O1440" s="1"/>
      <c r="P1440" s="1"/>
      <c r="Q1440" s="1"/>
      <c r="R1440" s="1"/>
      <c r="S1440" s="1"/>
      <c r="T1440" s="1"/>
    </row>
    <row r="1441" spans="1:20" ht="33.75" customHeight="1">
      <c r="A1441" s="1" t="s">
        <v>4064</v>
      </c>
      <c r="B1441" s="1" t="s">
        <v>3255</v>
      </c>
      <c r="C1441" s="4">
        <v>39891.409722222219</v>
      </c>
      <c r="D1441" s="1" t="s">
        <v>1073</v>
      </c>
      <c r="E1441" s="1"/>
      <c r="F1441" s="2" t="s">
        <v>4065</v>
      </c>
      <c r="G1441" s="1">
        <f ca="1">IFERROR(__xludf.DUMMYFUNCTION("COUNTA(SPLIT(F1441,"" ""))"),779)</f>
        <v>779</v>
      </c>
      <c r="H1441" s="1">
        <v>779</v>
      </c>
      <c r="I1441" s="1"/>
      <c r="J1441" s="1"/>
      <c r="K1441" s="1"/>
      <c r="L1441" s="1"/>
      <c r="M1441" s="1"/>
      <c r="N1441" s="1"/>
      <c r="O1441" s="1"/>
      <c r="P1441" s="1"/>
      <c r="Q1441" s="1"/>
      <c r="R1441" s="1"/>
      <c r="S1441" s="1"/>
      <c r="T1441" s="1"/>
    </row>
    <row r="1442" spans="1:20" ht="33.75" hidden="1" customHeight="1">
      <c r="A1442" s="1" t="s">
        <v>4066</v>
      </c>
      <c r="B1442" s="1" t="s">
        <v>3255</v>
      </c>
      <c r="C1442" s="4">
        <v>39891.418055555558</v>
      </c>
      <c r="D1442" s="1" t="s">
        <v>1073</v>
      </c>
      <c r="E1442" s="1" t="s">
        <v>4064</v>
      </c>
      <c r="F1442" s="2" t="s">
        <v>4067</v>
      </c>
      <c r="G1442" s="1">
        <f ca="1">IFERROR(__xludf.DUMMYFUNCTION("COUNTA(SPLIT(F1442,"" ""))"),14)</f>
        <v>14</v>
      </c>
      <c r="H1442" s="1">
        <v>14</v>
      </c>
      <c r="I1442" s="1"/>
      <c r="J1442" s="1"/>
      <c r="K1442" s="1"/>
      <c r="L1442" s="1"/>
      <c r="M1442" s="1"/>
      <c r="N1442" s="1"/>
      <c r="O1442" s="1"/>
      <c r="P1442" s="1"/>
      <c r="Q1442" s="1"/>
      <c r="R1442" s="1"/>
      <c r="S1442" s="1"/>
      <c r="T1442" s="1"/>
    </row>
    <row r="1443" spans="1:20" ht="33.75" hidden="1" customHeight="1">
      <c r="A1443" s="1" t="s">
        <v>4068</v>
      </c>
      <c r="B1443" s="1" t="s">
        <v>3255</v>
      </c>
      <c r="C1443" s="4">
        <v>39891.443055555559</v>
      </c>
      <c r="D1443" s="1" t="s">
        <v>14</v>
      </c>
      <c r="E1443" s="1" t="s">
        <v>4064</v>
      </c>
      <c r="F1443" s="2" t="s">
        <v>4069</v>
      </c>
      <c r="G1443" s="1">
        <f ca="1">IFERROR(__xludf.DUMMYFUNCTION("COUNTA(SPLIT(F1443,"" ""))"),301)</f>
        <v>301</v>
      </c>
      <c r="H1443" s="1">
        <v>301</v>
      </c>
      <c r="I1443" s="1"/>
      <c r="J1443" s="1"/>
      <c r="K1443" s="1"/>
      <c r="L1443" s="1"/>
      <c r="M1443" s="1"/>
      <c r="N1443" s="1"/>
      <c r="O1443" s="1"/>
      <c r="P1443" s="1"/>
      <c r="Q1443" s="1"/>
      <c r="R1443" s="1"/>
      <c r="S1443" s="1"/>
      <c r="T1443" s="1"/>
    </row>
    <row r="1444" spans="1:20" ht="33.75" hidden="1" customHeight="1">
      <c r="A1444" s="1" t="s">
        <v>4070</v>
      </c>
      <c r="B1444" s="1" t="s">
        <v>3255</v>
      </c>
      <c r="C1444" s="4">
        <v>39891.570138888892</v>
      </c>
      <c r="D1444" s="1" t="s">
        <v>526</v>
      </c>
      <c r="E1444" s="1" t="s">
        <v>4064</v>
      </c>
      <c r="F1444" s="2" t="s">
        <v>4071</v>
      </c>
      <c r="G1444" s="1">
        <f ca="1">IFERROR(__xludf.DUMMYFUNCTION("COUNTA(SPLIT(F1444,"" ""))"),254)</f>
        <v>254</v>
      </c>
      <c r="H1444" s="1">
        <v>254</v>
      </c>
      <c r="I1444" s="1"/>
      <c r="J1444" s="1"/>
      <c r="K1444" s="1"/>
      <c r="L1444" s="1"/>
      <c r="M1444" s="1"/>
      <c r="N1444" s="1"/>
      <c r="O1444" s="1"/>
      <c r="P1444" s="1"/>
      <c r="Q1444" s="1"/>
      <c r="R1444" s="1"/>
      <c r="S1444" s="1"/>
      <c r="T1444" s="1"/>
    </row>
    <row r="1445" spans="1:20" ht="33.75" customHeight="1">
      <c r="A1445" s="1" t="s">
        <v>4072</v>
      </c>
      <c r="B1445" s="1" t="s">
        <v>3800</v>
      </c>
      <c r="C1445" s="4">
        <v>39891.642361111109</v>
      </c>
      <c r="D1445" s="1" t="s">
        <v>84</v>
      </c>
      <c r="E1445" s="1"/>
      <c r="F1445" s="2" t="s">
        <v>4073</v>
      </c>
      <c r="G1445" s="1">
        <f ca="1">IFERROR(__xludf.DUMMYFUNCTION("COUNTA(SPLIT(F1445,"" ""))"),2968)</f>
        <v>2968</v>
      </c>
      <c r="H1445" s="1">
        <v>2968</v>
      </c>
      <c r="I1445" s="1"/>
      <c r="J1445" s="1"/>
      <c r="K1445" s="1"/>
      <c r="L1445" s="1"/>
      <c r="M1445" s="1"/>
      <c r="N1445" s="1"/>
      <c r="O1445" s="1"/>
      <c r="P1445" s="1"/>
      <c r="Q1445" s="1"/>
      <c r="R1445" s="1"/>
      <c r="S1445" s="1"/>
      <c r="T1445" s="1"/>
    </row>
    <row r="1446" spans="1:20" ht="33.75" customHeight="1">
      <c r="A1446" s="1" t="s">
        <v>4074</v>
      </c>
      <c r="B1446" s="1" t="s">
        <v>3800</v>
      </c>
      <c r="C1446" s="4">
        <v>39891.645833333336</v>
      </c>
      <c r="D1446" s="1" t="s">
        <v>84</v>
      </c>
      <c r="E1446" s="1"/>
      <c r="F1446" s="2" t="s">
        <v>4075</v>
      </c>
      <c r="G1446" s="1">
        <f ca="1">IFERROR(__xludf.DUMMYFUNCTION("COUNTA(SPLIT(F1446,"" ""))"),35)</f>
        <v>35</v>
      </c>
      <c r="H1446" s="1">
        <v>35</v>
      </c>
      <c r="I1446" s="1"/>
      <c r="J1446" s="1"/>
      <c r="K1446" s="1"/>
      <c r="L1446" s="1"/>
      <c r="M1446" s="1"/>
      <c r="N1446" s="1"/>
      <c r="O1446" s="1"/>
      <c r="P1446" s="1"/>
      <c r="Q1446" s="1"/>
      <c r="R1446" s="1"/>
      <c r="S1446" s="1"/>
      <c r="T1446" s="1"/>
    </row>
    <row r="1447" spans="1:20" ht="33.75" customHeight="1">
      <c r="A1447" s="1" t="s">
        <v>4076</v>
      </c>
      <c r="B1447" s="1" t="s">
        <v>3929</v>
      </c>
      <c r="C1447" s="4">
        <v>39891.720833333333</v>
      </c>
      <c r="D1447" s="1" t="s">
        <v>1528</v>
      </c>
      <c r="E1447" s="1"/>
      <c r="F1447" s="2" t="s">
        <v>4077</v>
      </c>
      <c r="G1447" s="1">
        <f ca="1">IFERROR(__xludf.DUMMYFUNCTION("COUNTA(SPLIT(F1447,"" ""))"),196)</f>
        <v>196</v>
      </c>
      <c r="H1447" s="1">
        <v>196</v>
      </c>
      <c r="I1447" s="1"/>
      <c r="J1447" s="1"/>
      <c r="K1447" s="1"/>
      <c r="L1447" s="1"/>
      <c r="M1447" s="1"/>
      <c r="N1447" s="1"/>
      <c r="O1447" s="1"/>
      <c r="P1447" s="1"/>
      <c r="Q1447" s="1"/>
      <c r="R1447" s="1"/>
      <c r="S1447" s="1"/>
      <c r="T1447" s="1"/>
    </row>
    <row r="1448" spans="1:20" ht="33.75" customHeight="1">
      <c r="A1448" s="1" t="s">
        <v>4078</v>
      </c>
      <c r="B1448" s="1" t="s">
        <v>3255</v>
      </c>
      <c r="C1448" s="4">
        <v>39891.753472222219</v>
      </c>
      <c r="D1448" s="1" t="s">
        <v>110</v>
      </c>
      <c r="E1448" s="1"/>
      <c r="F1448" s="2" t="s">
        <v>4079</v>
      </c>
      <c r="G1448" s="1">
        <f ca="1">IFERROR(__xludf.DUMMYFUNCTION("COUNTA(SPLIT(F1448,"" ""))"),264)</f>
        <v>264</v>
      </c>
      <c r="H1448" s="1">
        <v>264</v>
      </c>
      <c r="I1448" s="1"/>
      <c r="J1448" s="1"/>
      <c r="K1448" s="1"/>
      <c r="L1448" s="1"/>
      <c r="M1448" s="1"/>
      <c r="N1448" s="1"/>
      <c r="O1448" s="1"/>
      <c r="P1448" s="1"/>
      <c r="Q1448" s="1"/>
      <c r="R1448" s="1"/>
      <c r="S1448" s="1"/>
      <c r="T1448" s="1"/>
    </row>
    <row r="1449" spans="1:20" ht="33.75" customHeight="1">
      <c r="A1449" s="1" t="s">
        <v>4080</v>
      </c>
      <c r="B1449" s="1" t="s">
        <v>3929</v>
      </c>
      <c r="C1449" s="4">
        <v>39891.975694444445</v>
      </c>
      <c r="D1449" s="1" t="s">
        <v>320</v>
      </c>
      <c r="E1449" s="1"/>
      <c r="F1449" s="2" t="s">
        <v>4081</v>
      </c>
      <c r="G1449" s="1">
        <f ca="1">IFERROR(__xludf.DUMMYFUNCTION("COUNTA(SPLIT(F1449,"" ""))"),392)</f>
        <v>392</v>
      </c>
      <c r="H1449" s="1">
        <v>392</v>
      </c>
      <c r="I1449" s="1"/>
      <c r="J1449" s="1"/>
      <c r="K1449" s="1"/>
      <c r="L1449" s="1"/>
      <c r="M1449" s="1"/>
      <c r="N1449" s="1"/>
      <c r="O1449" s="1"/>
      <c r="P1449" s="1"/>
      <c r="Q1449" s="1"/>
      <c r="R1449" s="1"/>
      <c r="S1449" s="1"/>
      <c r="T1449" s="1"/>
    </row>
    <row r="1450" spans="1:20" ht="33.75" hidden="1" customHeight="1">
      <c r="A1450" s="1" t="s">
        <v>4082</v>
      </c>
      <c r="B1450" s="1" t="s">
        <v>3929</v>
      </c>
      <c r="C1450" s="4">
        <v>39891.976388888892</v>
      </c>
      <c r="D1450" s="1" t="s">
        <v>320</v>
      </c>
      <c r="E1450" s="1" t="s">
        <v>4080</v>
      </c>
      <c r="F1450" s="10" t="s">
        <v>4084</v>
      </c>
      <c r="G1450" s="1">
        <f ca="1">IFERROR(__xludf.DUMMYFUNCTION("COUNTA(SPLIT(F1450,"" ""))"),12)</f>
        <v>12</v>
      </c>
      <c r="H1450" s="1">
        <v>12</v>
      </c>
      <c r="I1450" s="1"/>
      <c r="J1450" s="1"/>
      <c r="K1450" s="1"/>
      <c r="L1450" s="1"/>
      <c r="M1450" s="1"/>
      <c r="N1450" s="1"/>
      <c r="O1450" s="1"/>
      <c r="P1450" s="1"/>
      <c r="Q1450" s="1"/>
      <c r="R1450" s="1"/>
      <c r="S1450" s="1"/>
      <c r="T1450" s="1"/>
    </row>
    <row r="1451" spans="1:20" ht="33.75" customHeight="1">
      <c r="A1451" s="1" t="s">
        <v>4085</v>
      </c>
      <c r="B1451" s="1" t="s">
        <v>3255</v>
      </c>
      <c r="C1451" s="4">
        <v>39892.094444444447</v>
      </c>
      <c r="D1451" s="1" t="s">
        <v>84</v>
      </c>
      <c r="E1451" s="1"/>
      <c r="F1451" s="2" t="s">
        <v>4087</v>
      </c>
      <c r="G1451" s="1">
        <f ca="1">IFERROR(__xludf.DUMMYFUNCTION("COUNTA(SPLIT(F1451,"" ""))"),21)</f>
        <v>21</v>
      </c>
      <c r="H1451" s="1">
        <v>21</v>
      </c>
      <c r="I1451" s="1"/>
      <c r="J1451" s="1"/>
      <c r="K1451" s="1"/>
      <c r="L1451" s="1"/>
      <c r="M1451" s="1"/>
      <c r="N1451" s="1"/>
      <c r="O1451" s="1"/>
      <c r="P1451" s="1"/>
      <c r="Q1451" s="1"/>
      <c r="R1451" s="1"/>
      <c r="S1451" s="1"/>
      <c r="T1451" s="1"/>
    </row>
    <row r="1452" spans="1:20" ht="33.75" hidden="1" customHeight="1">
      <c r="A1452" s="1" t="s">
        <v>4088</v>
      </c>
      <c r="B1452" s="1" t="s">
        <v>3929</v>
      </c>
      <c r="C1452" s="4">
        <v>39892.124305555553</v>
      </c>
      <c r="D1452" s="1" t="s">
        <v>320</v>
      </c>
      <c r="E1452" s="1" t="s">
        <v>4049</v>
      </c>
      <c r="F1452" s="2" t="s">
        <v>4089</v>
      </c>
      <c r="G1452" s="1">
        <f ca="1">IFERROR(__xludf.DUMMYFUNCTION("COUNTA(SPLIT(F1452,"" ""))"),81)</f>
        <v>81</v>
      </c>
      <c r="H1452" s="1">
        <v>81</v>
      </c>
      <c r="I1452" s="1"/>
      <c r="J1452" s="1"/>
      <c r="K1452" s="1"/>
      <c r="L1452" s="1"/>
      <c r="M1452" s="1"/>
      <c r="N1452" s="1"/>
      <c r="O1452" s="1"/>
      <c r="P1452" s="1"/>
      <c r="Q1452" s="1"/>
      <c r="R1452" s="1"/>
      <c r="S1452" s="1"/>
      <c r="T1452" s="1"/>
    </row>
    <row r="1453" spans="1:20" ht="33.75" customHeight="1">
      <c r="A1453" s="1" t="s">
        <v>4090</v>
      </c>
      <c r="B1453" s="1" t="s">
        <v>3800</v>
      </c>
      <c r="C1453" s="4">
        <v>39892.238888888889</v>
      </c>
      <c r="D1453" s="1" t="s">
        <v>1089</v>
      </c>
      <c r="E1453" s="1"/>
      <c r="F1453" s="2" t="s">
        <v>4091</v>
      </c>
      <c r="G1453" s="1">
        <f ca="1">IFERROR(__xludf.DUMMYFUNCTION("COUNTA(SPLIT(F1453,"" ""))"),79)</f>
        <v>79</v>
      </c>
      <c r="H1453" s="1">
        <v>79</v>
      </c>
      <c r="I1453" s="1"/>
      <c r="J1453" s="1"/>
      <c r="K1453" s="1"/>
      <c r="L1453" s="1"/>
      <c r="M1453" s="1"/>
      <c r="N1453" s="1"/>
      <c r="O1453" s="1"/>
      <c r="P1453" s="1"/>
      <c r="Q1453" s="1"/>
      <c r="R1453" s="1"/>
      <c r="S1453" s="1"/>
      <c r="T1453" s="1"/>
    </row>
    <row r="1454" spans="1:20" ht="33.75" customHeight="1">
      <c r="A1454" s="1" t="s">
        <v>4092</v>
      </c>
      <c r="B1454" s="1" t="s">
        <v>3800</v>
      </c>
      <c r="C1454" s="4">
        <v>39892.354166666664</v>
      </c>
      <c r="D1454" s="1" t="s">
        <v>84</v>
      </c>
      <c r="E1454" s="1"/>
      <c r="F1454" s="2" t="s">
        <v>4093</v>
      </c>
      <c r="G1454" s="1">
        <f ca="1">IFERROR(__xludf.DUMMYFUNCTION("COUNTA(SPLIT(F1454,"" ""))"),380)</f>
        <v>380</v>
      </c>
      <c r="H1454" s="1">
        <v>380</v>
      </c>
      <c r="I1454" s="1"/>
      <c r="J1454" s="1"/>
      <c r="K1454" s="1"/>
      <c r="L1454" s="1"/>
      <c r="M1454" s="1"/>
      <c r="N1454" s="1"/>
      <c r="O1454" s="1"/>
      <c r="P1454" s="1"/>
      <c r="Q1454" s="1"/>
      <c r="R1454" s="1"/>
      <c r="S1454" s="1"/>
      <c r="T1454" s="1"/>
    </row>
    <row r="1455" spans="1:20" ht="33.75" hidden="1" customHeight="1">
      <c r="A1455" s="1" t="s">
        <v>4094</v>
      </c>
      <c r="B1455" s="1" t="s">
        <v>3929</v>
      </c>
      <c r="C1455" s="4">
        <v>39892.377083333333</v>
      </c>
      <c r="D1455" s="1" t="s">
        <v>14</v>
      </c>
      <c r="E1455" s="1" t="s">
        <v>4095</v>
      </c>
      <c r="F1455" s="2" t="s">
        <v>4096</v>
      </c>
      <c r="G1455" s="1">
        <f ca="1">IFERROR(__xludf.DUMMYFUNCTION("COUNTA(SPLIT(F1455,"" ""))"),169)</f>
        <v>169</v>
      </c>
      <c r="H1455" s="1">
        <v>169</v>
      </c>
      <c r="I1455" s="1"/>
      <c r="J1455" s="1"/>
      <c r="K1455" s="1"/>
      <c r="L1455" s="1"/>
      <c r="M1455" s="1"/>
      <c r="N1455" s="1"/>
      <c r="O1455" s="1"/>
      <c r="P1455" s="1"/>
      <c r="Q1455" s="1"/>
      <c r="R1455" s="1"/>
      <c r="S1455" s="1"/>
      <c r="T1455" s="1"/>
    </row>
    <row r="1456" spans="1:20" ht="33.75" hidden="1" customHeight="1">
      <c r="A1456" s="1" t="s">
        <v>4097</v>
      </c>
      <c r="B1456" s="1" t="s">
        <v>3929</v>
      </c>
      <c r="C1456" s="4">
        <v>39892.722222222219</v>
      </c>
      <c r="D1456" s="1" t="s">
        <v>14</v>
      </c>
      <c r="E1456" s="1" t="s">
        <v>4080</v>
      </c>
      <c r="F1456" s="2" t="s">
        <v>4098</v>
      </c>
      <c r="G1456" s="1">
        <f ca="1">IFERROR(__xludf.DUMMYFUNCTION("COUNTA(SPLIT(F1456,"" ""))"),194)</f>
        <v>194</v>
      </c>
      <c r="H1456" s="1">
        <v>194</v>
      </c>
      <c r="I1456" s="1"/>
      <c r="J1456" s="1"/>
      <c r="K1456" s="1"/>
      <c r="L1456" s="1"/>
      <c r="M1456" s="1"/>
      <c r="N1456" s="1"/>
      <c r="O1456" s="1"/>
      <c r="P1456" s="1"/>
      <c r="Q1456" s="1"/>
      <c r="R1456" s="1"/>
      <c r="S1456" s="1"/>
      <c r="T1456" s="1"/>
    </row>
    <row r="1457" spans="1:20" ht="33.75" customHeight="1">
      <c r="A1457" s="1" t="s">
        <v>4099</v>
      </c>
      <c r="B1457" s="1" t="s">
        <v>3255</v>
      </c>
      <c r="C1457" s="4">
        <v>39892.76666666667</v>
      </c>
      <c r="D1457" s="1" t="s">
        <v>255</v>
      </c>
      <c r="E1457" s="1"/>
      <c r="F1457" s="2" t="s">
        <v>4101</v>
      </c>
      <c r="G1457" s="1">
        <f ca="1">IFERROR(__xludf.DUMMYFUNCTION("COUNTA(SPLIT(F1457,"" ""))"),265)</f>
        <v>265</v>
      </c>
      <c r="H1457" s="1">
        <v>265</v>
      </c>
      <c r="I1457" s="1"/>
      <c r="J1457" s="1"/>
      <c r="K1457" s="1"/>
      <c r="L1457" s="1"/>
      <c r="M1457" s="1"/>
      <c r="N1457" s="1"/>
      <c r="O1457" s="1"/>
      <c r="P1457" s="1"/>
      <c r="Q1457" s="1"/>
      <c r="R1457" s="1"/>
      <c r="S1457" s="1"/>
      <c r="T1457" s="1"/>
    </row>
    <row r="1458" spans="1:20" ht="33.75" hidden="1" customHeight="1">
      <c r="A1458" s="1" t="s">
        <v>4102</v>
      </c>
      <c r="B1458" s="1" t="s">
        <v>3929</v>
      </c>
      <c r="C1458" s="4">
        <v>39892.960416666669</v>
      </c>
      <c r="D1458" s="1" t="s">
        <v>320</v>
      </c>
      <c r="E1458" s="1" t="s">
        <v>4080</v>
      </c>
      <c r="F1458" s="2" t="s">
        <v>4103</v>
      </c>
      <c r="G1458" s="1">
        <f ca="1">IFERROR(__xludf.DUMMYFUNCTION("COUNTA(SPLIT(F1458,"" ""))"),151)</f>
        <v>151</v>
      </c>
      <c r="H1458" s="1">
        <v>151</v>
      </c>
      <c r="I1458" s="1"/>
      <c r="J1458" s="1"/>
      <c r="K1458" s="1"/>
      <c r="L1458" s="1"/>
      <c r="M1458" s="1"/>
      <c r="N1458" s="1"/>
      <c r="O1458" s="1"/>
      <c r="P1458" s="1"/>
      <c r="Q1458" s="1"/>
      <c r="R1458" s="1"/>
      <c r="S1458" s="1"/>
      <c r="T1458" s="1"/>
    </row>
    <row r="1459" spans="1:20" ht="33.75" customHeight="1">
      <c r="A1459" s="1" t="s">
        <v>4104</v>
      </c>
      <c r="B1459" s="1" t="s">
        <v>3929</v>
      </c>
      <c r="C1459" s="4">
        <v>39892.961805555555</v>
      </c>
      <c r="D1459" s="1" t="s">
        <v>320</v>
      </c>
      <c r="E1459" s="1"/>
      <c r="F1459" s="2" t="s">
        <v>4105</v>
      </c>
      <c r="G1459" s="1">
        <f ca="1">IFERROR(__xludf.DUMMYFUNCTION("COUNTA(SPLIT(F1459,"" ""))"),47)</f>
        <v>47</v>
      </c>
      <c r="H1459" s="1">
        <v>47</v>
      </c>
      <c r="I1459" s="1"/>
      <c r="J1459" s="1"/>
      <c r="K1459" s="1"/>
      <c r="L1459" s="1"/>
      <c r="M1459" s="1"/>
      <c r="N1459" s="1"/>
      <c r="O1459" s="1"/>
      <c r="P1459" s="1"/>
      <c r="Q1459" s="1"/>
      <c r="R1459" s="1"/>
      <c r="S1459" s="1"/>
      <c r="T1459" s="1"/>
    </row>
    <row r="1460" spans="1:20" ht="33.75" customHeight="1">
      <c r="A1460" s="1" t="s">
        <v>4106</v>
      </c>
      <c r="B1460" s="1" t="s">
        <v>3800</v>
      </c>
      <c r="C1460" s="4">
        <v>39893.348611111112</v>
      </c>
      <c r="D1460" s="1" t="s">
        <v>1089</v>
      </c>
      <c r="E1460" s="1"/>
      <c r="F1460" s="2" t="s">
        <v>4107</v>
      </c>
      <c r="G1460" s="1">
        <f ca="1">IFERROR(__xludf.DUMMYFUNCTION("COUNTA(SPLIT(F1460,"" ""))"),261)</f>
        <v>261</v>
      </c>
      <c r="H1460" s="1">
        <v>261</v>
      </c>
      <c r="I1460" s="1"/>
      <c r="J1460" s="1"/>
      <c r="K1460" s="1"/>
      <c r="L1460" s="1"/>
      <c r="M1460" s="1"/>
      <c r="N1460" s="1"/>
      <c r="O1460" s="1"/>
      <c r="P1460" s="1"/>
      <c r="Q1460" s="1"/>
      <c r="R1460" s="1"/>
      <c r="S1460" s="1"/>
      <c r="T1460" s="1"/>
    </row>
    <row r="1461" spans="1:20" ht="33.75" customHeight="1">
      <c r="A1461" s="1" t="s">
        <v>4108</v>
      </c>
      <c r="B1461" s="1" t="s">
        <v>3800</v>
      </c>
      <c r="C1461" s="4">
        <v>39893.488194444442</v>
      </c>
      <c r="D1461" s="1" t="s">
        <v>772</v>
      </c>
      <c r="E1461" s="1"/>
      <c r="F1461" s="2" t="s">
        <v>4109</v>
      </c>
      <c r="G1461" s="1">
        <f ca="1">IFERROR(__xludf.DUMMYFUNCTION("COUNTA(SPLIT(F1461,"" ""))"),1381)</f>
        <v>1381</v>
      </c>
      <c r="H1461" s="1">
        <v>1381</v>
      </c>
      <c r="I1461" s="1"/>
      <c r="J1461" s="1"/>
      <c r="K1461" s="1"/>
      <c r="L1461" s="1"/>
      <c r="M1461" s="1"/>
      <c r="N1461" s="1"/>
      <c r="O1461" s="1"/>
      <c r="P1461" s="1"/>
      <c r="Q1461" s="1"/>
      <c r="R1461" s="1"/>
      <c r="S1461" s="1"/>
      <c r="T1461" s="1"/>
    </row>
    <row r="1462" spans="1:20" ht="33.75" customHeight="1">
      <c r="A1462" s="1" t="s">
        <v>4110</v>
      </c>
      <c r="B1462" s="1" t="s">
        <v>3800</v>
      </c>
      <c r="C1462" s="4">
        <v>39893.491666666669</v>
      </c>
      <c r="D1462" s="1" t="s">
        <v>772</v>
      </c>
      <c r="E1462" s="1"/>
      <c r="F1462" s="2" t="s">
        <v>4111</v>
      </c>
      <c r="G1462" s="1">
        <f ca="1">IFERROR(__xludf.DUMMYFUNCTION("COUNTA(SPLIT(F1462,"" ""))"),496)</f>
        <v>496</v>
      </c>
      <c r="H1462" s="1">
        <v>496</v>
      </c>
      <c r="I1462" s="1"/>
      <c r="J1462" s="1"/>
      <c r="K1462" s="1"/>
      <c r="L1462" s="1"/>
      <c r="M1462" s="1"/>
      <c r="N1462" s="1"/>
      <c r="O1462" s="1"/>
      <c r="P1462" s="1"/>
      <c r="Q1462" s="1"/>
      <c r="R1462" s="1"/>
      <c r="S1462" s="1"/>
      <c r="T1462" s="1"/>
    </row>
    <row r="1463" spans="1:20" ht="33.75" customHeight="1">
      <c r="A1463" s="1" t="s">
        <v>4112</v>
      </c>
      <c r="B1463" s="1" t="s">
        <v>3800</v>
      </c>
      <c r="C1463" s="4">
        <v>39893.493055555555</v>
      </c>
      <c r="D1463" s="1" t="s">
        <v>772</v>
      </c>
      <c r="E1463" s="1"/>
      <c r="F1463" s="2" t="s">
        <v>4113</v>
      </c>
      <c r="G1463" s="1">
        <f ca="1">IFERROR(__xludf.DUMMYFUNCTION("COUNTA(SPLIT(F1463,"" ""))"),885)</f>
        <v>885</v>
      </c>
      <c r="H1463" s="1">
        <v>885</v>
      </c>
      <c r="I1463" s="1"/>
      <c r="J1463" s="1"/>
      <c r="K1463" s="1"/>
      <c r="L1463" s="1"/>
      <c r="M1463" s="1"/>
      <c r="N1463" s="1"/>
      <c r="O1463" s="1"/>
      <c r="P1463" s="1"/>
      <c r="Q1463" s="1"/>
      <c r="R1463" s="1"/>
      <c r="S1463" s="1"/>
      <c r="T1463" s="1"/>
    </row>
    <row r="1464" spans="1:20" ht="33.75" customHeight="1">
      <c r="A1464" s="1" t="s">
        <v>4114</v>
      </c>
      <c r="B1464" s="1" t="s">
        <v>3255</v>
      </c>
      <c r="C1464" s="4">
        <v>39894.241666666669</v>
      </c>
      <c r="D1464" s="1" t="s">
        <v>4115</v>
      </c>
      <c r="E1464" s="1"/>
      <c r="F1464" s="2" t="s">
        <v>4117</v>
      </c>
      <c r="G1464" s="1">
        <f ca="1">IFERROR(__xludf.DUMMYFUNCTION("COUNTA(SPLIT(F1464,"" ""))"),120)</f>
        <v>120</v>
      </c>
      <c r="H1464" s="1">
        <v>120</v>
      </c>
      <c r="I1464" s="1"/>
      <c r="J1464" s="1"/>
      <c r="K1464" s="1"/>
      <c r="L1464" s="1"/>
      <c r="M1464" s="1"/>
      <c r="N1464" s="1"/>
      <c r="O1464" s="1"/>
      <c r="P1464" s="1"/>
      <c r="Q1464" s="1"/>
      <c r="R1464" s="1"/>
      <c r="S1464" s="1"/>
      <c r="T1464" s="1"/>
    </row>
    <row r="1465" spans="1:20" ht="33.75" hidden="1" customHeight="1">
      <c r="A1465" s="1" t="s">
        <v>4118</v>
      </c>
      <c r="B1465" s="1" t="s">
        <v>3255</v>
      </c>
      <c r="C1465" s="4">
        <v>39894.291666666664</v>
      </c>
      <c r="D1465" s="1" t="s">
        <v>1073</v>
      </c>
      <c r="E1465" s="1" t="s">
        <v>4119</v>
      </c>
      <c r="F1465" s="2" t="s">
        <v>4120</v>
      </c>
      <c r="G1465" s="1">
        <f ca="1">IFERROR(__xludf.DUMMYFUNCTION("COUNTA(SPLIT(F1465,"" ""))"),249)</f>
        <v>249</v>
      </c>
      <c r="H1465" s="1">
        <v>249</v>
      </c>
      <c r="I1465" s="1"/>
      <c r="J1465" s="1"/>
      <c r="K1465" s="1"/>
      <c r="L1465" s="1"/>
      <c r="M1465" s="1"/>
      <c r="N1465" s="1"/>
      <c r="O1465" s="1"/>
      <c r="P1465" s="1"/>
      <c r="Q1465" s="1"/>
      <c r="R1465" s="1"/>
      <c r="S1465" s="1"/>
      <c r="T1465" s="1"/>
    </row>
    <row r="1466" spans="1:20" ht="33.75" customHeight="1">
      <c r="A1466" s="1" t="s">
        <v>4121</v>
      </c>
      <c r="B1466" s="1" t="s">
        <v>3255</v>
      </c>
      <c r="C1466" s="4">
        <v>39894.29791666667</v>
      </c>
      <c r="D1466" s="1" t="s">
        <v>1073</v>
      </c>
      <c r="E1466" s="1"/>
      <c r="F1466" s="2" t="s">
        <v>4122</v>
      </c>
      <c r="G1466" s="1">
        <f ca="1">IFERROR(__xludf.DUMMYFUNCTION("COUNTA(SPLIT(F1466,"" ""))"),137)</f>
        <v>137</v>
      </c>
      <c r="H1466" s="1">
        <v>137</v>
      </c>
      <c r="I1466" s="1"/>
      <c r="J1466" s="1"/>
      <c r="K1466" s="1"/>
      <c r="L1466" s="1"/>
      <c r="M1466" s="1"/>
      <c r="N1466" s="1"/>
      <c r="O1466" s="1"/>
      <c r="P1466" s="1"/>
      <c r="Q1466" s="1"/>
      <c r="R1466" s="1"/>
      <c r="S1466" s="1"/>
      <c r="T1466" s="1"/>
    </row>
    <row r="1467" spans="1:20" ht="33.75" customHeight="1">
      <c r="A1467" s="1" t="s">
        <v>4123</v>
      </c>
      <c r="B1467" s="1" t="s">
        <v>3255</v>
      </c>
      <c r="C1467" s="4">
        <v>39894.305555555555</v>
      </c>
      <c r="D1467" s="1" t="s">
        <v>1073</v>
      </c>
      <c r="E1467" s="1"/>
      <c r="F1467" s="2" t="s">
        <v>4124</v>
      </c>
      <c r="G1467" s="1">
        <f ca="1">IFERROR(__xludf.DUMMYFUNCTION("COUNTA(SPLIT(F1467,"" ""))"),121)</f>
        <v>121</v>
      </c>
      <c r="H1467" s="1">
        <v>121</v>
      </c>
      <c r="I1467" s="1"/>
      <c r="J1467" s="1"/>
      <c r="K1467" s="1"/>
      <c r="L1467" s="1"/>
      <c r="M1467" s="1"/>
      <c r="N1467" s="1"/>
      <c r="O1467" s="1"/>
      <c r="P1467" s="1"/>
      <c r="Q1467" s="1"/>
      <c r="R1467" s="1"/>
      <c r="S1467" s="1"/>
      <c r="T1467" s="1"/>
    </row>
    <row r="1468" spans="1:20" ht="33.75" customHeight="1">
      <c r="A1468" s="1" t="s">
        <v>4125</v>
      </c>
      <c r="B1468" s="1" t="s">
        <v>3255</v>
      </c>
      <c r="C1468" s="4">
        <v>39894.306944444441</v>
      </c>
      <c r="D1468" s="1" t="s">
        <v>1073</v>
      </c>
      <c r="E1468" s="1"/>
      <c r="F1468" s="2" t="s">
        <v>4127</v>
      </c>
      <c r="G1468" s="1">
        <f ca="1">IFERROR(__xludf.DUMMYFUNCTION("COUNTA(SPLIT(F1468,"" ""))"),72)</f>
        <v>72</v>
      </c>
      <c r="H1468" s="1">
        <v>72</v>
      </c>
      <c r="I1468" s="1"/>
      <c r="J1468" s="1"/>
      <c r="K1468" s="1"/>
      <c r="L1468" s="1"/>
      <c r="M1468" s="1"/>
      <c r="N1468" s="1"/>
      <c r="O1468" s="1"/>
      <c r="P1468" s="1"/>
      <c r="Q1468" s="1"/>
      <c r="R1468" s="1"/>
      <c r="S1468" s="1"/>
      <c r="T1468" s="1"/>
    </row>
    <row r="1469" spans="1:20" ht="33.75" hidden="1" customHeight="1">
      <c r="A1469" s="1" t="s">
        <v>4128</v>
      </c>
      <c r="B1469" s="1" t="s">
        <v>3255</v>
      </c>
      <c r="C1469" s="4">
        <v>39894.736111111109</v>
      </c>
      <c r="D1469" s="1" t="s">
        <v>526</v>
      </c>
      <c r="E1469" s="1" t="s">
        <v>4129</v>
      </c>
      <c r="F1469" s="2" t="s">
        <v>4130</v>
      </c>
      <c r="G1469" s="1">
        <f ca="1">IFERROR(__xludf.DUMMYFUNCTION("COUNTA(SPLIT(F1469,"" ""))"),221)</f>
        <v>221</v>
      </c>
      <c r="H1469" s="1">
        <v>221</v>
      </c>
      <c r="I1469" s="1"/>
      <c r="J1469" s="1"/>
      <c r="K1469" s="1"/>
      <c r="L1469" s="1"/>
      <c r="M1469" s="1"/>
      <c r="N1469" s="1"/>
      <c r="O1469" s="1"/>
      <c r="P1469" s="1"/>
      <c r="Q1469" s="1"/>
      <c r="R1469" s="1"/>
      <c r="S1469" s="1"/>
      <c r="T1469" s="1"/>
    </row>
    <row r="1470" spans="1:20" ht="33.75" hidden="1" customHeight="1">
      <c r="A1470" s="1" t="s">
        <v>4131</v>
      </c>
      <c r="B1470" s="1" t="s">
        <v>3255</v>
      </c>
      <c r="C1470" s="4">
        <v>39894.770833333336</v>
      </c>
      <c r="D1470" s="1" t="s">
        <v>84</v>
      </c>
      <c r="E1470" s="1" t="s">
        <v>4125</v>
      </c>
      <c r="F1470" s="2" t="s">
        <v>4132</v>
      </c>
      <c r="G1470" s="1">
        <f ca="1">IFERROR(__xludf.DUMMYFUNCTION("COUNTA(SPLIT(F1470,"" ""))"),38)</f>
        <v>38</v>
      </c>
      <c r="H1470" s="1">
        <v>38</v>
      </c>
      <c r="I1470" s="1"/>
      <c r="J1470" s="1"/>
      <c r="K1470" s="1"/>
      <c r="L1470" s="1"/>
      <c r="M1470" s="1"/>
      <c r="N1470" s="1"/>
      <c r="O1470" s="1"/>
      <c r="P1470" s="1"/>
      <c r="Q1470" s="1"/>
      <c r="R1470" s="1"/>
      <c r="S1470" s="1"/>
      <c r="T1470" s="1"/>
    </row>
    <row r="1471" spans="1:20" ht="33.75" hidden="1" customHeight="1">
      <c r="A1471" s="1" t="s">
        <v>4133</v>
      </c>
      <c r="B1471" s="1" t="s">
        <v>3255</v>
      </c>
      <c r="C1471" s="4">
        <v>39894.792361111111</v>
      </c>
      <c r="D1471" s="1" t="s">
        <v>1887</v>
      </c>
      <c r="E1471" s="1" t="s">
        <v>4125</v>
      </c>
      <c r="F1471" s="2" t="s">
        <v>4134</v>
      </c>
      <c r="G1471" s="1">
        <f ca="1">IFERROR(__xludf.DUMMYFUNCTION("COUNTA(SPLIT(F1471,"" ""))"),29)</f>
        <v>29</v>
      </c>
      <c r="H1471" s="1">
        <v>29</v>
      </c>
      <c r="I1471" s="1"/>
      <c r="J1471" s="1"/>
      <c r="K1471" s="1"/>
      <c r="L1471" s="1"/>
      <c r="M1471" s="1"/>
      <c r="N1471" s="1"/>
      <c r="O1471" s="1"/>
      <c r="P1471" s="1"/>
      <c r="Q1471" s="1"/>
      <c r="R1471" s="1"/>
      <c r="S1471" s="1"/>
      <c r="T1471" s="1"/>
    </row>
    <row r="1472" spans="1:20" ht="33.75" customHeight="1">
      <c r="A1472" s="1" t="s">
        <v>4135</v>
      </c>
      <c r="B1472" s="1" t="s">
        <v>3800</v>
      </c>
      <c r="C1472" s="4">
        <v>39895.227083333331</v>
      </c>
      <c r="D1472" s="1" t="s">
        <v>1887</v>
      </c>
      <c r="E1472" s="1"/>
      <c r="F1472" s="2" t="s">
        <v>4136</v>
      </c>
      <c r="G1472" s="1">
        <f ca="1">IFERROR(__xludf.DUMMYFUNCTION("COUNTA(SPLIT(F1472,"" ""))"),109)</f>
        <v>109</v>
      </c>
      <c r="H1472" s="1">
        <v>109</v>
      </c>
      <c r="I1472" s="1"/>
      <c r="J1472" s="1"/>
      <c r="K1472" s="1"/>
      <c r="L1472" s="1"/>
      <c r="M1472" s="1"/>
      <c r="N1472" s="1"/>
      <c r="O1472" s="1"/>
      <c r="P1472" s="1"/>
      <c r="Q1472" s="1"/>
      <c r="R1472" s="1"/>
      <c r="S1472" s="1"/>
      <c r="T1472" s="1"/>
    </row>
    <row r="1473" spans="1:20" ht="33.75" customHeight="1">
      <c r="A1473" s="1" t="s">
        <v>4137</v>
      </c>
      <c r="B1473" s="1" t="s">
        <v>3800</v>
      </c>
      <c r="C1473" s="4">
        <v>39895.392361111109</v>
      </c>
      <c r="D1473" s="1" t="s">
        <v>772</v>
      </c>
      <c r="E1473" s="1"/>
      <c r="F1473" s="2" t="s">
        <v>4138</v>
      </c>
      <c r="G1473" s="1">
        <f ca="1">IFERROR(__xludf.DUMMYFUNCTION("COUNTA(SPLIT(F1473,"" ""))"),50)</f>
        <v>50</v>
      </c>
      <c r="H1473" s="1">
        <v>50</v>
      </c>
      <c r="I1473" s="1"/>
      <c r="J1473" s="1"/>
      <c r="K1473" s="1"/>
      <c r="L1473" s="1"/>
      <c r="M1473" s="1"/>
      <c r="N1473" s="1"/>
      <c r="O1473" s="1"/>
      <c r="P1473" s="1"/>
      <c r="Q1473" s="1"/>
      <c r="R1473" s="1"/>
      <c r="S1473" s="1"/>
      <c r="T1473" s="1"/>
    </row>
    <row r="1474" spans="1:20" ht="33.75" customHeight="1">
      <c r="A1474" s="1" t="s">
        <v>4139</v>
      </c>
      <c r="B1474" s="1" t="s">
        <v>3800</v>
      </c>
      <c r="C1474" s="4">
        <v>39895.796527777777</v>
      </c>
      <c r="D1474" s="1" t="s">
        <v>84</v>
      </c>
      <c r="E1474" s="1"/>
      <c r="F1474" s="2" t="s">
        <v>4140</v>
      </c>
      <c r="G1474" s="1">
        <f ca="1">IFERROR(__xludf.DUMMYFUNCTION("COUNTA(SPLIT(F1474,"" ""))"),52)</f>
        <v>52</v>
      </c>
      <c r="H1474" s="1">
        <v>52</v>
      </c>
      <c r="I1474" s="1"/>
      <c r="J1474" s="1"/>
      <c r="K1474" s="1"/>
      <c r="L1474" s="1"/>
      <c r="M1474" s="1"/>
      <c r="N1474" s="1"/>
      <c r="O1474" s="1"/>
      <c r="P1474" s="1"/>
      <c r="Q1474" s="1"/>
      <c r="R1474" s="1"/>
      <c r="S1474" s="1"/>
      <c r="T1474" s="1"/>
    </row>
    <row r="1475" spans="1:20" ht="33.75" customHeight="1">
      <c r="A1475" s="1" t="s">
        <v>4141</v>
      </c>
      <c r="B1475" s="1" t="s">
        <v>3800</v>
      </c>
      <c r="C1475" s="4">
        <v>39895.963194444441</v>
      </c>
      <c r="D1475" s="1" t="s">
        <v>1089</v>
      </c>
      <c r="E1475" s="1"/>
      <c r="F1475" s="2" t="s">
        <v>4142</v>
      </c>
      <c r="G1475" s="1">
        <f ca="1">IFERROR(__xludf.DUMMYFUNCTION("COUNTA(SPLIT(F1475,"" ""))"),63)</f>
        <v>63</v>
      </c>
      <c r="H1475" s="1">
        <v>63</v>
      </c>
      <c r="I1475" s="1"/>
      <c r="J1475" s="1"/>
      <c r="K1475" s="1"/>
      <c r="L1475" s="1"/>
      <c r="M1475" s="1"/>
      <c r="N1475" s="1"/>
      <c r="O1475" s="1"/>
      <c r="P1475" s="1"/>
      <c r="Q1475" s="1"/>
      <c r="R1475" s="1"/>
      <c r="S1475" s="1"/>
      <c r="T1475" s="1"/>
    </row>
    <row r="1476" spans="1:20" ht="33.75" customHeight="1">
      <c r="A1476" s="1" t="s">
        <v>4143</v>
      </c>
      <c r="B1476" s="1" t="s">
        <v>3800</v>
      </c>
      <c r="C1476" s="4">
        <v>39896.043749999997</v>
      </c>
      <c r="D1476" s="1" t="s">
        <v>1887</v>
      </c>
      <c r="E1476" s="1"/>
      <c r="F1476" s="2" t="s">
        <v>4144</v>
      </c>
      <c r="G1476" s="1">
        <f ca="1">IFERROR(__xludf.DUMMYFUNCTION("COUNTA(SPLIT(F1476,"" ""))"),127)</f>
        <v>127</v>
      </c>
      <c r="H1476" s="1">
        <v>127</v>
      </c>
      <c r="I1476" s="1"/>
      <c r="J1476" s="1"/>
      <c r="K1476" s="1"/>
      <c r="L1476" s="1"/>
      <c r="M1476" s="1"/>
      <c r="N1476" s="1"/>
      <c r="O1476" s="1"/>
      <c r="P1476" s="1"/>
      <c r="Q1476" s="1"/>
      <c r="R1476" s="1"/>
      <c r="S1476" s="1"/>
      <c r="T1476" s="1"/>
    </row>
    <row r="1477" spans="1:20" ht="33.75" customHeight="1">
      <c r="A1477" s="1" t="s">
        <v>4145</v>
      </c>
      <c r="B1477" s="1" t="s">
        <v>3800</v>
      </c>
      <c r="C1477" s="4">
        <v>39896.226388888892</v>
      </c>
      <c r="D1477" s="1" t="s">
        <v>1089</v>
      </c>
      <c r="E1477" s="1"/>
      <c r="F1477" s="2" t="s">
        <v>4146</v>
      </c>
      <c r="G1477" s="1">
        <f ca="1">IFERROR(__xludf.DUMMYFUNCTION("COUNTA(SPLIT(F1477,"" ""))"),34)</f>
        <v>34</v>
      </c>
      <c r="H1477" s="1">
        <v>34</v>
      </c>
      <c r="I1477" s="1"/>
      <c r="J1477" s="1"/>
      <c r="K1477" s="1"/>
      <c r="L1477" s="1"/>
      <c r="M1477" s="1"/>
      <c r="N1477" s="1"/>
      <c r="O1477" s="1"/>
      <c r="P1477" s="1"/>
      <c r="Q1477" s="1"/>
      <c r="R1477" s="1"/>
      <c r="S1477" s="1"/>
      <c r="T1477" s="1"/>
    </row>
    <row r="1478" spans="1:20" ht="33.75" customHeight="1">
      <c r="A1478" s="1" t="s">
        <v>4147</v>
      </c>
      <c r="B1478" s="1" t="s">
        <v>3800</v>
      </c>
      <c r="C1478" s="4">
        <v>39896.356944444444</v>
      </c>
      <c r="D1478" s="1" t="s">
        <v>772</v>
      </c>
      <c r="E1478" s="1"/>
      <c r="F1478" s="2" t="s">
        <v>4148</v>
      </c>
      <c r="G1478" s="1">
        <f ca="1">IFERROR(__xludf.DUMMYFUNCTION("COUNTA(SPLIT(F1478,"" ""))"),77)</f>
        <v>77</v>
      </c>
      <c r="H1478" s="1">
        <v>77</v>
      </c>
      <c r="I1478" s="1"/>
      <c r="J1478" s="1"/>
      <c r="K1478" s="1"/>
      <c r="L1478" s="1"/>
      <c r="M1478" s="1"/>
      <c r="N1478" s="1"/>
      <c r="O1478" s="1"/>
      <c r="P1478" s="1"/>
      <c r="Q1478" s="1"/>
      <c r="R1478" s="1"/>
      <c r="S1478" s="1"/>
      <c r="T1478" s="1"/>
    </row>
    <row r="1479" spans="1:20" ht="33.75" customHeight="1">
      <c r="A1479" s="1" t="s">
        <v>4149</v>
      </c>
      <c r="B1479" s="1" t="s">
        <v>3800</v>
      </c>
      <c r="C1479" s="4">
        <v>39896.368750000001</v>
      </c>
      <c r="D1479" s="1" t="s">
        <v>772</v>
      </c>
      <c r="E1479" s="1"/>
      <c r="F1479" s="2" t="s">
        <v>4150</v>
      </c>
      <c r="G1479" s="1">
        <f ca="1">IFERROR(__xludf.DUMMYFUNCTION("COUNTA(SPLIT(F1479,"" ""))"),114)</f>
        <v>114</v>
      </c>
      <c r="H1479" s="1">
        <v>114</v>
      </c>
      <c r="I1479" s="1"/>
      <c r="J1479" s="1"/>
      <c r="K1479" s="1"/>
      <c r="L1479" s="1"/>
      <c r="M1479" s="1"/>
      <c r="N1479" s="1"/>
      <c r="O1479" s="1"/>
      <c r="P1479" s="1"/>
      <c r="Q1479" s="1"/>
      <c r="R1479" s="1"/>
      <c r="S1479" s="1"/>
      <c r="T1479" s="1"/>
    </row>
    <row r="1480" spans="1:20" ht="33.75" customHeight="1">
      <c r="A1480" s="1" t="s">
        <v>12</v>
      </c>
      <c r="B1480" s="1" t="s">
        <v>4151</v>
      </c>
      <c r="C1480" s="4">
        <v>39896.373032407406</v>
      </c>
      <c r="D1480" s="1" t="s">
        <v>14</v>
      </c>
      <c r="E1480" s="1"/>
      <c r="F1480" s="2" t="s">
        <v>4153</v>
      </c>
      <c r="G1480" s="1">
        <f ca="1">IFERROR(__xludf.DUMMYFUNCTION("COUNTA(SPLIT(F1480,"" ""))"),2728)</f>
        <v>2728</v>
      </c>
      <c r="H1480" s="1">
        <v>2728</v>
      </c>
      <c r="I1480" s="1"/>
      <c r="J1480" s="1"/>
      <c r="K1480" s="1"/>
      <c r="L1480" s="1"/>
      <c r="M1480" s="1"/>
      <c r="N1480" s="1"/>
      <c r="O1480" s="1"/>
      <c r="P1480" s="1"/>
      <c r="Q1480" s="1"/>
      <c r="R1480" s="1"/>
      <c r="S1480" s="1"/>
      <c r="T1480" s="1"/>
    </row>
    <row r="1481" spans="1:20" ht="33.75" customHeight="1">
      <c r="A1481" s="1" t="s">
        <v>4154</v>
      </c>
      <c r="B1481" s="1" t="s">
        <v>3800</v>
      </c>
      <c r="C1481" s="4">
        <v>39896.383333333331</v>
      </c>
      <c r="D1481" s="1" t="s">
        <v>772</v>
      </c>
      <c r="E1481" s="1"/>
      <c r="F1481" s="2" t="s">
        <v>4155</v>
      </c>
      <c r="G1481" s="1">
        <f ca="1">IFERROR(__xludf.DUMMYFUNCTION("COUNTA(SPLIT(F1481,"" ""))"),108)</f>
        <v>108</v>
      </c>
      <c r="H1481" s="1">
        <v>108</v>
      </c>
      <c r="I1481" s="1"/>
      <c r="J1481" s="1"/>
      <c r="K1481" s="1"/>
      <c r="L1481" s="1"/>
      <c r="M1481" s="1"/>
      <c r="N1481" s="1"/>
      <c r="O1481" s="1"/>
      <c r="P1481" s="1"/>
      <c r="Q1481" s="1"/>
      <c r="R1481" s="1"/>
      <c r="S1481" s="1"/>
      <c r="T1481" s="1"/>
    </row>
    <row r="1482" spans="1:20" ht="33.75" hidden="1" customHeight="1">
      <c r="A1482" s="1" t="s">
        <v>4156</v>
      </c>
      <c r="B1482" s="1" t="s">
        <v>3800</v>
      </c>
      <c r="C1482" s="4">
        <v>39896.398611111108</v>
      </c>
      <c r="D1482" s="1" t="s">
        <v>772</v>
      </c>
      <c r="E1482" s="1" t="s">
        <v>4154</v>
      </c>
      <c r="F1482" s="2" t="s">
        <v>4158</v>
      </c>
      <c r="G1482" s="1">
        <f ca="1">IFERROR(__xludf.DUMMYFUNCTION("COUNTA(SPLIT(F1482,"" ""))"),101)</f>
        <v>101</v>
      </c>
      <c r="H1482" s="1">
        <v>101</v>
      </c>
      <c r="I1482" s="1"/>
      <c r="J1482" s="1"/>
      <c r="K1482" s="1"/>
      <c r="L1482" s="1"/>
      <c r="M1482" s="1"/>
      <c r="N1482" s="1"/>
      <c r="O1482" s="1"/>
      <c r="P1482" s="1"/>
      <c r="Q1482" s="1"/>
      <c r="R1482" s="1"/>
      <c r="S1482" s="1"/>
      <c r="T1482" s="1"/>
    </row>
    <row r="1483" spans="1:20" ht="33.75" customHeight="1">
      <c r="A1483" s="1" t="s">
        <v>4159</v>
      </c>
      <c r="B1483" s="1" t="s">
        <v>3929</v>
      </c>
      <c r="C1483" s="4">
        <v>39896.431944444441</v>
      </c>
      <c r="D1483" s="1" t="s">
        <v>255</v>
      </c>
      <c r="E1483" s="1"/>
      <c r="F1483" s="2" t="s">
        <v>4161</v>
      </c>
      <c r="G1483" s="1">
        <f ca="1">IFERROR(__xludf.DUMMYFUNCTION("COUNTA(SPLIT(F1483,"" ""))"),128)</f>
        <v>128</v>
      </c>
      <c r="H1483" s="1">
        <v>128</v>
      </c>
      <c r="I1483" s="1"/>
      <c r="J1483" s="1"/>
      <c r="K1483" s="1"/>
      <c r="L1483" s="1"/>
      <c r="M1483" s="1"/>
      <c r="N1483" s="1"/>
      <c r="O1483" s="1"/>
      <c r="P1483" s="1"/>
      <c r="Q1483" s="1"/>
      <c r="R1483" s="1"/>
      <c r="S1483" s="1"/>
      <c r="T1483" s="1"/>
    </row>
    <row r="1484" spans="1:20" ht="33.75" customHeight="1">
      <c r="A1484" s="1" t="s">
        <v>4162</v>
      </c>
      <c r="B1484" s="1" t="s">
        <v>4151</v>
      </c>
      <c r="C1484" s="4">
        <v>39896.461111111108</v>
      </c>
      <c r="D1484" s="1" t="s">
        <v>255</v>
      </c>
      <c r="E1484" s="1"/>
      <c r="F1484" s="2" t="s">
        <v>4163</v>
      </c>
      <c r="G1484" s="1">
        <f ca="1">IFERROR(__xludf.DUMMYFUNCTION("COUNTA(SPLIT(F1484,"" ""))"),376)</f>
        <v>376</v>
      </c>
      <c r="H1484" s="1">
        <v>376</v>
      </c>
      <c r="I1484" s="1"/>
      <c r="J1484" s="1"/>
      <c r="K1484" s="1"/>
      <c r="L1484" s="1"/>
      <c r="M1484" s="1"/>
      <c r="N1484" s="1"/>
      <c r="O1484" s="1"/>
      <c r="P1484" s="1"/>
      <c r="Q1484" s="1"/>
      <c r="R1484" s="1"/>
      <c r="S1484" s="1"/>
      <c r="T1484" s="1"/>
    </row>
    <row r="1485" spans="1:20" ht="33.75" customHeight="1">
      <c r="A1485" s="1" t="s">
        <v>4164</v>
      </c>
      <c r="B1485" s="1" t="s">
        <v>4151</v>
      </c>
      <c r="C1485" s="4">
        <v>39896.465277777781</v>
      </c>
      <c r="D1485" s="1" t="s">
        <v>4165</v>
      </c>
      <c r="E1485" s="1"/>
      <c r="F1485" s="2" t="s">
        <v>4166</v>
      </c>
      <c r="G1485" s="1">
        <f ca="1">IFERROR(__xludf.DUMMYFUNCTION("COUNTA(SPLIT(F1485,"" ""))"),351)</f>
        <v>351</v>
      </c>
      <c r="H1485" s="1">
        <v>351</v>
      </c>
      <c r="I1485" s="1"/>
      <c r="J1485" s="1"/>
      <c r="K1485" s="1"/>
      <c r="L1485" s="1"/>
      <c r="M1485" s="1"/>
      <c r="N1485" s="1"/>
      <c r="O1485" s="1"/>
      <c r="P1485" s="1"/>
      <c r="Q1485" s="1"/>
      <c r="R1485" s="1"/>
      <c r="S1485" s="1"/>
      <c r="T1485" s="1"/>
    </row>
    <row r="1486" spans="1:20" ht="33.75" customHeight="1">
      <c r="A1486" s="1" t="s">
        <v>4167</v>
      </c>
      <c r="B1486" s="1" t="s">
        <v>4151</v>
      </c>
      <c r="C1486" s="4">
        <v>39896.489583333336</v>
      </c>
      <c r="D1486" s="1" t="s">
        <v>830</v>
      </c>
      <c r="E1486" s="1"/>
      <c r="F1486" s="2" t="s">
        <v>4168</v>
      </c>
      <c r="G1486" s="1">
        <f ca="1">IFERROR(__xludf.DUMMYFUNCTION("COUNTA(SPLIT(F1486,"" ""))"),39)</f>
        <v>39</v>
      </c>
      <c r="H1486" s="1">
        <v>39</v>
      </c>
      <c r="I1486" s="1"/>
      <c r="J1486" s="1"/>
      <c r="K1486" s="1"/>
      <c r="L1486" s="1"/>
      <c r="M1486" s="1"/>
      <c r="N1486" s="1"/>
      <c r="O1486" s="1"/>
      <c r="P1486" s="1"/>
      <c r="Q1486" s="1"/>
      <c r="R1486" s="1"/>
      <c r="S1486" s="1"/>
      <c r="T1486" s="1"/>
    </row>
    <row r="1487" spans="1:20" ht="33.75" customHeight="1">
      <c r="A1487" s="1" t="s">
        <v>4169</v>
      </c>
      <c r="B1487" s="1" t="s">
        <v>4151</v>
      </c>
      <c r="C1487" s="4">
        <v>39896.492361111108</v>
      </c>
      <c r="D1487" s="1" t="s">
        <v>4170</v>
      </c>
      <c r="E1487" s="1"/>
      <c r="F1487" s="2" t="s">
        <v>4171</v>
      </c>
      <c r="G1487" s="1">
        <f ca="1">IFERROR(__xludf.DUMMYFUNCTION("COUNTA(SPLIT(F1487,"" ""))"),465)</f>
        <v>465</v>
      </c>
      <c r="H1487" s="1">
        <v>465</v>
      </c>
      <c r="I1487" s="1"/>
      <c r="J1487" s="1"/>
      <c r="K1487" s="1"/>
      <c r="L1487" s="1"/>
      <c r="M1487" s="1"/>
      <c r="N1487" s="1"/>
      <c r="O1487" s="1"/>
      <c r="P1487" s="1"/>
      <c r="Q1487" s="1"/>
      <c r="R1487" s="1"/>
      <c r="S1487" s="1"/>
      <c r="T1487" s="1"/>
    </row>
    <row r="1488" spans="1:20" ht="33.75" customHeight="1">
      <c r="A1488" s="1" t="s">
        <v>4172</v>
      </c>
      <c r="B1488" s="1" t="s">
        <v>4151</v>
      </c>
      <c r="C1488" s="4">
        <v>39896.497916666667</v>
      </c>
      <c r="D1488" s="1" t="s">
        <v>4173</v>
      </c>
      <c r="E1488" s="1"/>
      <c r="F1488" s="2" t="s">
        <v>4174</v>
      </c>
      <c r="G1488" s="1">
        <f ca="1">IFERROR(__xludf.DUMMYFUNCTION("COUNTA(SPLIT(F1488,"" ""))"),279)</f>
        <v>279</v>
      </c>
      <c r="H1488" s="1">
        <v>279</v>
      </c>
      <c r="I1488" s="1"/>
      <c r="J1488" s="1"/>
      <c r="K1488" s="1"/>
      <c r="L1488" s="1"/>
      <c r="M1488" s="1"/>
      <c r="N1488" s="1"/>
      <c r="O1488" s="1"/>
      <c r="P1488" s="1"/>
      <c r="Q1488" s="1"/>
      <c r="R1488" s="1"/>
      <c r="S1488" s="1"/>
      <c r="T1488" s="1"/>
    </row>
    <row r="1489" spans="1:20" ht="33.75" customHeight="1">
      <c r="A1489" s="1" t="s">
        <v>4175</v>
      </c>
      <c r="B1489" s="1" t="s">
        <v>4151</v>
      </c>
      <c r="C1489" s="4">
        <v>39896.56527777778</v>
      </c>
      <c r="D1489" s="1" t="s">
        <v>4176</v>
      </c>
      <c r="E1489" s="1"/>
      <c r="F1489" s="2" t="s">
        <v>4177</v>
      </c>
      <c r="G1489" s="1">
        <f ca="1">IFERROR(__xludf.DUMMYFUNCTION("COUNTA(SPLIT(F1489,"" ""))"),675)</f>
        <v>675</v>
      </c>
      <c r="H1489" s="1">
        <v>675</v>
      </c>
      <c r="I1489" s="1"/>
      <c r="J1489" s="1"/>
      <c r="K1489" s="1"/>
      <c r="L1489" s="1"/>
      <c r="M1489" s="1"/>
      <c r="N1489" s="1"/>
      <c r="O1489" s="1"/>
      <c r="P1489" s="1"/>
      <c r="Q1489" s="1"/>
      <c r="R1489" s="1"/>
      <c r="S1489" s="1"/>
      <c r="T1489" s="1"/>
    </row>
    <row r="1490" spans="1:20" ht="33.75" customHeight="1">
      <c r="A1490" s="1" t="s">
        <v>4178</v>
      </c>
      <c r="B1490" s="1" t="s">
        <v>3800</v>
      </c>
      <c r="C1490" s="4">
        <v>39896.589583333334</v>
      </c>
      <c r="D1490" s="1" t="s">
        <v>54</v>
      </c>
      <c r="E1490" s="1"/>
      <c r="F1490" s="2" t="s">
        <v>4180</v>
      </c>
      <c r="G1490" s="1">
        <f ca="1">IFERROR(__xludf.DUMMYFUNCTION("COUNTA(SPLIT(F1490,"" ""))"),56)</f>
        <v>56</v>
      </c>
      <c r="H1490" s="1">
        <v>56</v>
      </c>
      <c r="I1490" s="1"/>
      <c r="J1490" s="1"/>
      <c r="K1490" s="1"/>
      <c r="L1490" s="1"/>
      <c r="M1490" s="1"/>
      <c r="N1490" s="1"/>
      <c r="O1490" s="1"/>
      <c r="P1490" s="1"/>
      <c r="Q1490" s="1"/>
      <c r="R1490" s="1"/>
      <c r="S1490" s="1"/>
      <c r="T1490" s="1"/>
    </row>
    <row r="1491" spans="1:20" ht="33.75" customHeight="1">
      <c r="A1491" s="1" t="s">
        <v>4181</v>
      </c>
      <c r="B1491" s="1" t="s">
        <v>4151</v>
      </c>
      <c r="C1491" s="4">
        <v>39896.613888888889</v>
      </c>
      <c r="D1491" s="1" t="s">
        <v>4182</v>
      </c>
      <c r="E1491" s="1"/>
      <c r="F1491" s="2" t="s">
        <v>4184</v>
      </c>
      <c r="G1491" s="1">
        <f ca="1">IFERROR(__xludf.DUMMYFUNCTION("COUNTA(SPLIT(F1491,"" ""))"),134)</f>
        <v>134</v>
      </c>
      <c r="H1491" s="1">
        <v>134</v>
      </c>
      <c r="I1491" s="1"/>
      <c r="J1491" s="1"/>
      <c r="K1491" s="1"/>
      <c r="L1491" s="1"/>
      <c r="M1491" s="1"/>
      <c r="N1491" s="1"/>
      <c r="O1491" s="1"/>
      <c r="P1491" s="1"/>
      <c r="Q1491" s="1"/>
      <c r="R1491" s="1"/>
      <c r="S1491" s="1"/>
      <c r="T1491" s="1"/>
    </row>
    <row r="1492" spans="1:20" ht="33.75" customHeight="1">
      <c r="A1492" s="1" t="s">
        <v>4185</v>
      </c>
      <c r="B1492" s="1" t="s">
        <v>4151</v>
      </c>
      <c r="C1492" s="4">
        <v>39896.618055555555</v>
      </c>
      <c r="D1492" s="1" t="s">
        <v>4186</v>
      </c>
      <c r="E1492" s="1"/>
      <c r="F1492" s="2" t="s">
        <v>4188</v>
      </c>
      <c r="G1492" s="1">
        <f ca="1">IFERROR(__xludf.DUMMYFUNCTION("COUNTA(SPLIT(F1492,"" ""))"),191)</f>
        <v>191</v>
      </c>
      <c r="H1492" s="1">
        <v>191</v>
      </c>
      <c r="I1492" s="1"/>
      <c r="J1492" s="1"/>
      <c r="K1492" s="1"/>
      <c r="L1492" s="1"/>
      <c r="M1492" s="1"/>
      <c r="N1492" s="1"/>
      <c r="O1492" s="1"/>
      <c r="P1492" s="1"/>
      <c r="Q1492" s="1"/>
      <c r="R1492" s="1"/>
      <c r="S1492" s="1"/>
      <c r="T1492" s="1"/>
    </row>
    <row r="1493" spans="1:20" ht="33.75" customHeight="1">
      <c r="A1493" s="1" t="s">
        <v>4189</v>
      </c>
      <c r="B1493" s="1" t="s">
        <v>4151</v>
      </c>
      <c r="C1493" s="4">
        <v>39896.625</v>
      </c>
      <c r="D1493" s="1" t="s">
        <v>4190</v>
      </c>
      <c r="E1493" s="1"/>
      <c r="F1493" s="2" t="s">
        <v>4192</v>
      </c>
      <c r="G1493" s="1">
        <f ca="1">IFERROR(__xludf.DUMMYFUNCTION("COUNTA(SPLIT(F1493,"" ""))"),409)</f>
        <v>409</v>
      </c>
      <c r="H1493" s="1">
        <v>409</v>
      </c>
      <c r="I1493" s="1"/>
      <c r="J1493" s="1"/>
      <c r="K1493" s="1"/>
      <c r="L1493" s="1"/>
      <c r="M1493" s="1"/>
      <c r="N1493" s="1"/>
      <c r="O1493" s="1"/>
      <c r="P1493" s="1"/>
      <c r="Q1493" s="1"/>
      <c r="R1493" s="1"/>
      <c r="S1493" s="1"/>
      <c r="T1493" s="1"/>
    </row>
    <row r="1494" spans="1:20" ht="33.75" customHeight="1">
      <c r="A1494" s="1" t="s">
        <v>4193</v>
      </c>
      <c r="B1494" s="1" t="s">
        <v>4151</v>
      </c>
      <c r="C1494" s="4">
        <v>39896.638194444444</v>
      </c>
      <c r="D1494" s="1" t="s">
        <v>14</v>
      </c>
      <c r="E1494" s="1"/>
      <c r="F1494" s="2" t="s">
        <v>4195</v>
      </c>
      <c r="G1494" s="1">
        <f ca="1">IFERROR(__xludf.DUMMYFUNCTION("COUNTA(SPLIT(F1494,"" ""))"),476)</f>
        <v>476</v>
      </c>
      <c r="H1494" s="1">
        <v>476</v>
      </c>
      <c r="I1494" s="1"/>
      <c r="J1494" s="1"/>
      <c r="K1494" s="1"/>
      <c r="L1494" s="1"/>
      <c r="M1494" s="1"/>
      <c r="N1494" s="1"/>
      <c r="O1494" s="1"/>
      <c r="P1494" s="1"/>
      <c r="Q1494" s="1"/>
      <c r="R1494" s="1"/>
      <c r="S1494" s="1"/>
      <c r="T1494" s="1"/>
    </row>
    <row r="1495" spans="1:20" ht="33.75" customHeight="1">
      <c r="A1495" s="1" t="s">
        <v>4196</v>
      </c>
      <c r="B1495" s="1" t="s">
        <v>3800</v>
      </c>
      <c r="C1495" s="4">
        <v>39896.65</v>
      </c>
      <c r="D1495" s="1" t="s">
        <v>760</v>
      </c>
      <c r="E1495" s="1"/>
      <c r="F1495" s="2" t="s">
        <v>4197</v>
      </c>
      <c r="G1495" s="1">
        <f ca="1">IFERROR(__xludf.DUMMYFUNCTION("COUNTA(SPLIT(F1495,"" ""))"),29)</f>
        <v>29</v>
      </c>
      <c r="H1495" s="1">
        <v>29</v>
      </c>
      <c r="I1495" s="1"/>
      <c r="J1495" s="1"/>
      <c r="K1495" s="1"/>
      <c r="L1495" s="1"/>
      <c r="M1495" s="1"/>
      <c r="N1495" s="1"/>
      <c r="O1495" s="1"/>
      <c r="P1495" s="1"/>
      <c r="Q1495" s="1"/>
      <c r="R1495" s="1"/>
      <c r="S1495" s="1"/>
      <c r="T1495" s="1"/>
    </row>
    <row r="1496" spans="1:20" ht="33.75" customHeight="1">
      <c r="A1496" s="1" t="s">
        <v>4198</v>
      </c>
      <c r="B1496" s="1" t="s">
        <v>3800</v>
      </c>
      <c r="C1496" s="4">
        <v>39896.652083333334</v>
      </c>
      <c r="D1496" s="1" t="s">
        <v>760</v>
      </c>
      <c r="E1496" s="1"/>
      <c r="F1496" s="2" t="s">
        <v>4199</v>
      </c>
      <c r="G1496" s="1">
        <f ca="1">IFERROR(__xludf.DUMMYFUNCTION("COUNTA(SPLIT(F1496,"" ""))"),49)</f>
        <v>49</v>
      </c>
      <c r="H1496" s="1">
        <v>49</v>
      </c>
      <c r="I1496" s="1"/>
      <c r="J1496" s="1"/>
      <c r="K1496" s="1"/>
      <c r="L1496" s="1"/>
      <c r="M1496" s="1"/>
      <c r="N1496" s="1"/>
      <c r="O1496" s="1"/>
      <c r="P1496" s="1"/>
      <c r="Q1496" s="1"/>
      <c r="R1496" s="1"/>
      <c r="S1496" s="1"/>
      <c r="T1496" s="1"/>
    </row>
    <row r="1497" spans="1:20" ht="33.75" customHeight="1">
      <c r="A1497" s="1" t="s">
        <v>4200</v>
      </c>
      <c r="B1497" s="1" t="s">
        <v>3800</v>
      </c>
      <c r="C1497" s="4">
        <v>39896.682638888888</v>
      </c>
      <c r="D1497" s="1" t="s">
        <v>3610</v>
      </c>
      <c r="E1497" s="1"/>
      <c r="F1497" s="2" t="s">
        <v>4201</v>
      </c>
      <c r="G1497" s="1">
        <f ca="1">IFERROR(__xludf.DUMMYFUNCTION("COUNTA(SPLIT(F1497,"" ""))"),140)</f>
        <v>140</v>
      </c>
      <c r="H1497" s="1">
        <v>140</v>
      </c>
      <c r="I1497" s="1"/>
      <c r="J1497" s="1"/>
      <c r="K1497" s="1"/>
      <c r="L1497" s="1"/>
      <c r="M1497" s="1"/>
      <c r="N1497" s="1"/>
      <c r="O1497" s="1"/>
      <c r="P1497" s="1"/>
      <c r="Q1497" s="1"/>
      <c r="R1497" s="1"/>
      <c r="S1497" s="1"/>
      <c r="T1497" s="1"/>
    </row>
    <row r="1498" spans="1:20" ht="33.75" hidden="1" customHeight="1">
      <c r="A1498" s="1" t="s">
        <v>4202</v>
      </c>
      <c r="B1498" s="1" t="s">
        <v>3800</v>
      </c>
      <c r="C1498" s="4">
        <v>39896.684027777781</v>
      </c>
      <c r="D1498" s="1" t="s">
        <v>772</v>
      </c>
      <c r="E1498" s="1" t="s">
        <v>4200</v>
      </c>
      <c r="F1498" s="2" t="s">
        <v>4203</v>
      </c>
      <c r="G1498" s="1">
        <f ca="1">IFERROR(__xludf.DUMMYFUNCTION("COUNTA(SPLIT(F1498,"" ""))"),19)</f>
        <v>19</v>
      </c>
      <c r="H1498" s="1">
        <v>19</v>
      </c>
      <c r="I1498" s="1"/>
      <c r="J1498" s="1"/>
      <c r="K1498" s="1"/>
      <c r="L1498" s="1"/>
      <c r="M1498" s="1"/>
      <c r="N1498" s="1"/>
      <c r="O1498" s="1"/>
      <c r="P1498" s="1"/>
      <c r="Q1498" s="1"/>
      <c r="R1498" s="1"/>
      <c r="S1498" s="1"/>
      <c r="T1498" s="1"/>
    </row>
    <row r="1499" spans="1:20" ht="33.75" customHeight="1">
      <c r="A1499" s="1" t="s">
        <v>4204</v>
      </c>
      <c r="B1499" s="1" t="s">
        <v>4151</v>
      </c>
      <c r="C1499" s="4">
        <v>39896.698611111111</v>
      </c>
      <c r="D1499" s="1" t="s">
        <v>255</v>
      </c>
      <c r="E1499" s="1"/>
      <c r="F1499" s="2" t="s">
        <v>4206</v>
      </c>
      <c r="G1499" s="1">
        <f ca="1">IFERROR(__xludf.DUMMYFUNCTION("COUNTA(SPLIT(F1499,"" ""))"),338)</f>
        <v>338</v>
      </c>
      <c r="H1499" s="1">
        <v>338</v>
      </c>
      <c r="I1499" s="1"/>
      <c r="J1499" s="1"/>
      <c r="K1499" s="1"/>
      <c r="L1499" s="1"/>
      <c r="M1499" s="1"/>
      <c r="N1499" s="1"/>
      <c r="O1499" s="1"/>
      <c r="P1499" s="1"/>
      <c r="Q1499" s="1"/>
      <c r="R1499" s="1"/>
      <c r="S1499" s="1"/>
      <c r="T1499" s="1"/>
    </row>
    <row r="1500" spans="1:20" ht="33.75" customHeight="1">
      <c r="A1500" s="1" t="s">
        <v>4207</v>
      </c>
      <c r="B1500" s="1" t="s">
        <v>4151</v>
      </c>
      <c r="C1500" s="4">
        <v>39896.730555555558</v>
      </c>
      <c r="D1500" s="1" t="s">
        <v>4208</v>
      </c>
      <c r="E1500" s="1"/>
      <c r="F1500" s="2" t="s">
        <v>4210</v>
      </c>
      <c r="G1500" s="1">
        <f ca="1">IFERROR(__xludf.DUMMYFUNCTION("COUNTA(SPLIT(F1500,"" ""))"),89)</f>
        <v>89</v>
      </c>
      <c r="H1500" s="1">
        <v>89</v>
      </c>
      <c r="I1500" s="1"/>
      <c r="J1500" s="1"/>
      <c r="K1500" s="1"/>
      <c r="L1500" s="1"/>
      <c r="M1500" s="1"/>
      <c r="N1500" s="1"/>
      <c r="O1500" s="1"/>
      <c r="P1500" s="1"/>
      <c r="Q1500" s="1"/>
      <c r="R1500" s="1"/>
      <c r="S1500" s="1"/>
      <c r="T1500" s="1"/>
    </row>
    <row r="1501" spans="1:20" ht="33.75" hidden="1" customHeight="1">
      <c r="A1501" s="1" t="s">
        <v>4211</v>
      </c>
      <c r="B1501" s="1" t="s">
        <v>4151</v>
      </c>
      <c r="C1501" s="4">
        <v>39896.732638888891</v>
      </c>
      <c r="D1501" s="1" t="s">
        <v>14</v>
      </c>
      <c r="E1501" s="1" t="s">
        <v>4204</v>
      </c>
      <c r="F1501" s="2" t="s">
        <v>4213</v>
      </c>
      <c r="G1501" s="1">
        <f ca="1">IFERROR(__xludf.DUMMYFUNCTION("COUNTA(SPLIT(F1501,"" ""))"),176)</f>
        <v>176</v>
      </c>
      <c r="H1501" s="1">
        <v>176</v>
      </c>
      <c r="I1501" s="1"/>
      <c r="J1501" s="1"/>
      <c r="K1501" s="1"/>
      <c r="L1501" s="1"/>
      <c r="M1501" s="1"/>
      <c r="N1501" s="1"/>
      <c r="O1501" s="1"/>
      <c r="P1501" s="1"/>
      <c r="Q1501" s="1"/>
      <c r="R1501" s="1"/>
      <c r="S1501" s="1"/>
      <c r="T1501" s="1"/>
    </row>
    <row r="1502" spans="1:20" ht="33.75" customHeight="1">
      <c r="A1502" s="1" t="s">
        <v>4214</v>
      </c>
      <c r="B1502" s="1" t="s">
        <v>3929</v>
      </c>
      <c r="C1502" s="4">
        <v>39896.748611111114</v>
      </c>
      <c r="D1502" s="1" t="s">
        <v>772</v>
      </c>
      <c r="E1502" s="1"/>
      <c r="F1502" s="2" t="s">
        <v>4215</v>
      </c>
      <c r="G1502" s="1">
        <f ca="1">IFERROR(__xludf.DUMMYFUNCTION("COUNTA(SPLIT(F1502,"" ""))"),39)</f>
        <v>39</v>
      </c>
      <c r="H1502" s="1">
        <v>39</v>
      </c>
      <c r="I1502" s="1"/>
      <c r="J1502" s="1"/>
      <c r="K1502" s="1"/>
      <c r="L1502" s="1"/>
      <c r="M1502" s="1"/>
      <c r="N1502" s="1"/>
      <c r="O1502" s="1"/>
      <c r="P1502" s="1"/>
      <c r="Q1502" s="1"/>
      <c r="R1502" s="1"/>
      <c r="S1502" s="1"/>
      <c r="T1502" s="1"/>
    </row>
    <row r="1503" spans="1:20" ht="33.75" hidden="1" customHeight="1">
      <c r="A1503" s="1" t="s">
        <v>4216</v>
      </c>
      <c r="B1503" s="1" t="s">
        <v>4151</v>
      </c>
      <c r="C1503" s="4">
        <v>39896.754166666666</v>
      </c>
      <c r="D1503" s="1" t="s">
        <v>255</v>
      </c>
      <c r="E1503" s="1" t="s">
        <v>4211</v>
      </c>
      <c r="F1503" s="2" t="s">
        <v>4219</v>
      </c>
      <c r="G1503" s="1">
        <f ca="1">IFERROR(__xludf.DUMMYFUNCTION("COUNTA(SPLIT(F1503,"" ""))"),203)</f>
        <v>203</v>
      </c>
      <c r="H1503" s="1">
        <v>203</v>
      </c>
      <c r="I1503" s="1"/>
      <c r="J1503" s="1"/>
      <c r="K1503" s="1"/>
      <c r="L1503" s="1"/>
      <c r="M1503" s="1"/>
      <c r="N1503" s="1"/>
      <c r="O1503" s="1"/>
      <c r="P1503" s="1"/>
      <c r="Q1503" s="1"/>
      <c r="R1503" s="1"/>
      <c r="S1503" s="1"/>
      <c r="T1503" s="1"/>
    </row>
    <row r="1504" spans="1:20" ht="33.75" customHeight="1">
      <c r="A1504" s="1" t="s">
        <v>4220</v>
      </c>
      <c r="B1504" s="1" t="s">
        <v>3800</v>
      </c>
      <c r="C1504" s="4">
        <v>39896.807638888888</v>
      </c>
      <c r="D1504" s="1" t="s">
        <v>772</v>
      </c>
      <c r="E1504" s="1"/>
      <c r="F1504" s="2" t="s">
        <v>4221</v>
      </c>
      <c r="G1504" s="1">
        <f ca="1">IFERROR(__xludf.DUMMYFUNCTION("COUNTA(SPLIT(F1504,"" ""))"),103)</f>
        <v>103</v>
      </c>
      <c r="H1504" s="1">
        <v>103</v>
      </c>
      <c r="I1504" s="1"/>
      <c r="J1504" s="1"/>
      <c r="K1504" s="1"/>
      <c r="L1504" s="1"/>
      <c r="M1504" s="1"/>
      <c r="N1504" s="1"/>
      <c r="O1504" s="1"/>
      <c r="P1504" s="1"/>
      <c r="Q1504" s="1"/>
      <c r="R1504" s="1"/>
      <c r="S1504" s="1"/>
      <c r="T1504" s="1"/>
    </row>
    <row r="1505" spans="1:20" ht="33.75" hidden="1" customHeight="1">
      <c r="A1505" s="1" t="s">
        <v>4222</v>
      </c>
      <c r="B1505" s="1" t="s">
        <v>4151</v>
      </c>
      <c r="C1505" s="4">
        <v>39896.816666666666</v>
      </c>
      <c r="D1505" s="1" t="s">
        <v>772</v>
      </c>
      <c r="E1505" s="1" t="s">
        <v>4193</v>
      </c>
      <c r="F1505" s="2" t="s">
        <v>4224</v>
      </c>
      <c r="G1505" s="1">
        <f ca="1">IFERROR(__xludf.DUMMYFUNCTION("COUNTA(SPLIT(F1505,"" ""))"),81)</f>
        <v>81</v>
      </c>
      <c r="H1505" s="1">
        <v>81</v>
      </c>
      <c r="I1505" s="1"/>
      <c r="J1505" s="1"/>
      <c r="K1505" s="1"/>
      <c r="L1505" s="1"/>
      <c r="M1505" s="1"/>
      <c r="N1505" s="1"/>
      <c r="O1505" s="1"/>
      <c r="P1505" s="1"/>
      <c r="Q1505" s="1"/>
      <c r="R1505" s="1"/>
      <c r="S1505" s="1"/>
      <c r="T1505" s="1"/>
    </row>
    <row r="1506" spans="1:20" ht="33.75" customHeight="1">
      <c r="A1506" s="1" t="s">
        <v>4225</v>
      </c>
      <c r="B1506" s="1" t="s">
        <v>3800</v>
      </c>
      <c r="C1506" s="4">
        <v>39896.818055555559</v>
      </c>
      <c r="D1506" s="1" t="s">
        <v>2893</v>
      </c>
      <c r="E1506" s="1"/>
      <c r="F1506" s="2" t="s">
        <v>4227</v>
      </c>
      <c r="G1506" s="1">
        <f ca="1">IFERROR(__xludf.DUMMYFUNCTION("COUNTA(SPLIT(F1506,"" ""))"),22)</f>
        <v>22</v>
      </c>
      <c r="H1506" s="1">
        <v>22</v>
      </c>
      <c r="I1506" s="1"/>
      <c r="J1506" s="1"/>
      <c r="K1506" s="1"/>
      <c r="L1506" s="1"/>
      <c r="M1506" s="1"/>
      <c r="N1506" s="1"/>
      <c r="O1506" s="1"/>
      <c r="P1506" s="1"/>
      <c r="Q1506" s="1"/>
      <c r="R1506" s="1"/>
      <c r="S1506" s="1"/>
      <c r="T1506" s="1"/>
    </row>
    <row r="1507" spans="1:20" ht="33.75" hidden="1" customHeight="1">
      <c r="A1507" s="1" t="s">
        <v>4228</v>
      </c>
      <c r="B1507" s="1" t="s">
        <v>3800</v>
      </c>
      <c r="C1507" s="4">
        <v>39896.824305555558</v>
      </c>
      <c r="D1507" s="1" t="s">
        <v>772</v>
      </c>
      <c r="E1507" s="1" t="s">
        <v>4200</v>
      </c>
      <c r="F1507" s="2" t="s">
        <v>4229</v>
      </c>
      <c r="G1507" s="1">
        <f ca="1">IFERROR(__xludf.DUMMYFUNCTION("COUNTA(SPLIT(F1507,"" ""))"),201)</f>
        <v>201</v>
      </c>
      <c r="H1507" s="1">
        <v>201</v>
      </c>
      <c r="I1507" s="1"/>
      <c r="J1507" s="1"/>
      <c r="K1507" s="1"/>
      <c r="L1507" s="1"/>
      <c r="M1507" s="1"/>
      <c r="N1507" s="1"/>
      <c r="O1507" s="1"/>
      <c r="P1507" s="1"/>
      <c r="Q1507" s="1"/>
      <c r="R1507" s="1"/>
      <c r="S1507" s="1"/>
      <c r="T1507" s="1"/>
    </row>
    <row r="1508" spans="1:20" ht="33.75" hidden="1" customHeight="1">
      <c r="A1508" s="1" t="s">
        <v>4230</v>
      </c>
      <c r="B1508" s="1" t="s">
        <v>4151</v>
      </c>
      <c r="C1508" s="4">
        <v>39896.862500000003</v>
      </c>
      <c r="D1508" s="1" t="s">
        <v>4231</v>
      </c>
      <c r="E1508" s="1" t="s">
        <v>4193</v>
      </c>
      <c r="F1508" s="2" t="s">
        <v>4233</v>
      </c>
      <c r="G1508" s="1">
        <f ca="1">IFERROR(__xludf.DUMMYFUNCTION("COUNTA(SPLIT(F1508,"" ""))"),427)</f>
        <v>427</v>
      </c>
      <c r="H1508" s="1">
        <v>427</v>
      </c>
      <c r="I1508" s="1"/>
      <c r="J1508" s="1"/>
      <c r="K1508" s="1"/>
      <c r="L1508" s="1"/>
      <c r="M1508" s="1"/>
      <c r="N1508" s="1"/>
      <c r="O1508" s="1"/>
      <c r="P1508" s="1"/>
      <c r="Q1508" s="1"/>
      <c r="R1508" s="1"/>
      <c r="S1508" s="1"/>
      <c r="T1508" s="1"/>
    </row>
    <row r="1509" spans="1:20" ht="33.75" customHeight="1">
      <c r="A1509" s="1" t="s">
        <v>4234</v>
      </c>
      <c r="B1509" s="1" t="s">
        <v>4151</v>
      </c>
      <c r="C1509" s="4">
        <v>39896.924305555556</v>
      </c>
      <c r="D1509" s="1" t="s">
        <v>4235</v>
      </c>
      <c r="E1509" s="1"/>
      <c r="F1509" s="2" t="s">
        <v>4237</v>
      </c>
      <c r="G1509" s="1">
        <f ca="1">IFERROR(__xludf.DUMMYFUNCTION("COUNTA(SPLIT(F1509,"" ""))"),264)</f>
        <v>264</v>
      </c>
      <c r="H1509" s="1">
        <v>264</v>
      </c>
      <c r="I1509" s="1"/>
      <c r="J1509" s="1"/>
      <c r="K1509" s="1"/>
      <c r="L1509" s="1"/>
      <c r="M1509" s="1"/>
      <c r="N1509" s="1"/>
      <c r="O1509" s="1"/>
      <c r="P1509" s="1"/>
      <c r="Q1509" s="1"/>
      <c r="R1509" s="1"/>
      <c r="S1509" s="1"/>
      <c r="T1509" s="1"/>
    </row>
    <row r="1510" spans="1:20" ht="33.75" customHeight="1">
      <c r="A1510" s="1" t="s">
        <v>4238</v>
      </c>
      <c r="B1510" s="1" t="s">
        <v>4151</v>
      </c>
      <c r="C1510" s="4">
        <v>39896.9375</v>
      </c>
      <c r="D1510" s="1" t="s">
        <v>4239</v>
      </c>
      <c r="E1510" s="1"/>
      <c r="F1510" s="2" t="s">
        <v>4241</v>
      </c>
      <c r="G1510" s="1">
        <f ca="1">IFERROR(__xludf.DUMMYFUNCTION("COUNTA(SPLIT(F1510,"" ""))"),28)</f>
        <v>28</v>
      </c>
      <c r="H1510" s="1">
        <v>28</v>
      </c>
      <c r="I1510" s="1"/>
      <c r="J1510" s="1"/>
      <c r="K1510" s="1"/>
      <c r="L1510" s="1"/>
      <c r="M1510" s="1"/>
      <c r="N1510" s="1"/>
      <c r="O1510" s="1"/>
      <c r="P1510" s="1"/>
      <c r="Q1510" s="1"/>
      <c r="R1510" s="1"/>
      <c r="S1510" s="1"/>
      <c r="T1510" s="1"/>
    </row>
    <row r="1511" spans="1:20" ht="33.75" hidden="1" customHeight="1">
      <c r="A1511" s="1" t="s">
        <v>4242</v>
      </c>
      <c r="B1511" s="1" t="s">
        <v>3929</v>
      </c>
      <c r="C1511" s="4">
        <v>39896.961805555555</v>
      </c>
      <c r="D1511" s="1" t="s">
        <v>255</v>
      </c>
      <c r="E1511" s="1" t="s">
        <v>4214</v>
      </c>
      <c r="F1511" s="2" t="s">
        <v>4243</v>
      </c>
      <c r="G1511" s="1">
        <f ca="1">IFERROR(__xludf.DUMMYFUNCTION("COUNTA(SPLIT(F1511,"" ""))"),27)</f>
        <v>27</v>
      </c>
      <c r="H1511" s="1">
        <v>27</v>
      </c>
      <c r="I1511" s="1"/>
      <c r="J1511" s="1"/>
      <c r="K1511" s="1"/>
      <c r="L1511" s="1"/>
      <c r="M1511" s="1"/>
      <c r="N1511" s="1"/>
      <c r="O1511" s="1"/>
      <c r="P1511" s="1"/>
      <c r="Q1511" s="1"/>
      <c r="R1511" s="1"/>
      <c r="S1511" s="1"/>
      <c r="T1511" s="1"/>
    </row>
    <row r="1512" spans="1:20" ht="33.75" customHeight="1">
      <c r="A1512" s="1" t="s">
        <v>4244</v>
      </c>
      <c r="B1512" s="1" t="s">
        <v>3800</v>
      </c>
      <c r="C1512" s="4">
        <v>39896.993055555555</v>
      </c>
      <c r="D1512" s="1" t="s">
        <v>1887</v>
      </c>
      <c r="E1512" s="1"/>
      <c r="F1512" s="2" t="s">
        <v>4245</v>
      </c>
      <c r="G1512" s="1">
        <f ca="1">IFERROR(__xludf.DUMMYFUNCTION("COUNTA(SPLIT(F1512,"" ""))"),42)</f>
        <v>42</v>
      </c>
      <c r="H1512" s="1">
        <v>42</v>
      </c>
      <c r="I1512" s="1"/>
      <c r="J1512" s="1"/>
      <c r="K1512" s="1"/>
      <c r="L1512" s="1"/>
      <c r="M1512" s="1"/>
      <c r="N1512" s="1"/>
      <c r="O1512" s="1"/>
      <c r="P1512" s="1"/>
      <c r="Q1512" s="1"/>
      <c r="R1512" s="1"/>
      <c r="S1512" s="1"/>
      <c r="T1512" s="1"/>
    </row>
    <row r="1513" spans="1:20" ht="33.75" customHeight="1">
      <c r="A1513" s="1" t="s">
        <v>4246</v>
      </c>
      <c r="B1513" s="1" t="s">
        <v>3255</v>
      </c>
      <c r="C1513" s="4">
        <v>39897.140277777777</v>
      </c>
      <c r="D1513" s="1" t="s">
        <v>4247</v>
      </c>
      <c r="E1513" s="1"/>
      <c r="F1513" s="2" t="s">
        <v>4249</v>
      </c>
      <c r="G1513" s="1">
        <f ca="1">IFERROR(__xludf.DUMMYFUNCTION("COUNTA(SPLIT(F1513,"" ""))"),139)</f>
        <v>139</v>
      </c>
      <c r="H1513" s="1">
        <v>139</v>
      </c>
      <c r="I1513" s="1"/>
      <c r="J1513" s="1"/>
      <c r="K1513" s="1"/>
      <c r="L1513" s="1"/>
      <c r="M1513" s="1"/>
      <c r="N1513" s="1"/>
      <c r="O1513" s="1"/>
      <c r="P1513" s="1"/>
      <c r="Q1513" s="1"/>
      <c r="R1513" s="1"/>
      <c r="S1513" s="1"/>
      <c r="T1513" s="1"/>
    </row>
    <row r="1514" spans="1:20" ht="33.75" customHeight="1">
      <c r="A1514" s="1" t="s">
        <v>4250</v>
      </c>
      <c r="B1514" s="1" t="s">
        <v>4151</v>
      </c>
      <c r="C1514" s="4">
        <v>39897.214583333334</v>
      </c>
      <c r="D1514" s="1" t="s">
        <v>393</v>
      </c>
      <c r="E1514" s="1"/>
      <c r="F1514" s="2" t="s">
        <v>4252</v>
      </c>
      <c r="G1514" s="1">
        <f ca="1">IFERROR(__xludf.DUMMYFUNCTION("COUNTA(SPLIT(F1514,"" ""))"),283)</f>
        <v>283</v>
      </c>
      <c r="H1514" s="1">
        <v>283</v>
      </c>
      <c r="I1514" s="1"/>
      <c r="J1514" s="1"/>
      <c r="K1514" s="1"/>
      <c r="L1514" s="1"/>
      <c r="M1514" s="1"/>
      <c r="N1514" s="1"/>
      <c r="O1514" s="1"/>
      <c r="P1514" s="1"/>
      <c r="Q1514" s="1"/>
      <c r="R1514" s="1"/>
      <c r="S1514" s="1"/>
      <c r="T1514" s="1"/>
    </row>
    <row r="1515" spans="1:20" ht="33.75" customHeight="1">
      <c r="A1515" s="1" t="s">
        <v>4253</v>
      </c>
      <c r="B1515" s="1" t="s">
        <v>3800</v>
      </c>
      <c r="C1515" s="4">
        <v>39897.29583333333</v>
      </c>
      <c r="D1515" s="1" t="s">
        <v>84</v>
      </c>
      <c r="E1515" s="1"/>
      <c r="F1515" s="2" t="s">
        <v>4254</v>
      </c>
      <c r="G1515" s="1">
        <f ca="1">IFERROR(__xludf.DUMMYFUNCTION("COUNTA(SPLIT(F1515,"" ""))"),13)</f>
        <v>13</v>
      </c>
      <c r="H1515" s="1">
        <v>13</v>
      </c>
      <c r="I1515" s="1"/>
      <c r="J1515" s="1"/>
      <c r="K1515" s="1"/>
      <c r="L1515" s="1"/>
      <c r="M1515" s="1"/>
      <c r="N1515" s="1"/>
      <c r="O1515" s="1"/>
      <c r="P1515" s="1"/>
      <c r="Q1515" s="1"/>
      <c r="R1515" s="1"/>
      <c r="S1515" s="1"/>
      <c r="T1515" s="1"/>
    </row>
    <row r="1516" spans="1:20" ht="33.75" customHeight="1">
      <c r="A1516" s="1" t="s">
        <v>4255</v>
      </c>
      <c r="B1516" s="1" t="s">
        <v>3800</v>
      </c>
      <c r="C1516" s="4">
        <v>39897.497916666667</v>
      </c>
      <c r="D1516" s="1" t="s">
        <v>1887</v>
      </c>
      <c r="E1516" s="1"/>
      <c r="F1516" s="2" t="s">
        <v>4257</v>
      </c>
      <c r="G1516" s="1">
        <f ca="1">IFERROR(__xludf.DUMMYFUNCTION("COUNTA(SPLIT(F1516,"" ""))"),28)</f>
        <v>28</v>
      </c>
      <c r="H1516" s="1">
        <v>28</v>
      </c>
      <c r="I1516" s="1"/>
      <c r="J1516" s="1"/>
      <c r="K1516" s="1"/>
      <c r="L1516" s="1"/>
      <c r="M1516" s="1"/>
      <c r="N1516" s="1"/>
      <c r="O1516" s="1"/>
      <c r="P1516" s="1"/>
      <c r="Q1516" s="1"/>
      <c r="R1516" s="1"/>
      <c r="S1516" s="1"/>
      <c r="T1516" s="1"/>
    </row>
    <row r="1517" spans="1:20" ht="33.75" hidden="1" customHeight="1">
      <c r="A1517" s="1" t="s">
        <v>4258</v>
      </c>
      <c r="B1517" s="1" t="s">
        <v>4151</v>
      </c>
      <c r="C1517" s="4">
        <v>39897.551388888889</v>
      </c>
      <c r="D1517" s="1" t="s">
        <v>14</v>
      </c>
      <c r="E1517" s="1" t="s">
        <v>4250</v>
      </c>
      <c r="F1517" s="2" t="s">
        <v>4260</v>
      </c>
      <c r="G1517" s="1">
        <f ca="1">IFERROR(__xludf.DUMMYFUNCTION("COUNTA(SPLIT(F1517,"" ""))"),431)</f>
        <v>431</v>
      </c>
      <c r="H1517" s="1">
        <v>431</v>
      </c>
      <c r="I1517" s="1"/>
      <c r="J1517" s="1"/>
      <c r="K1517" s="1"/>
      <c r="L1517" s="1"/>
      <c r="M1517" s="1"/>
      <c r="N1517" s="1"/>
      <c r="O1517" s="1"/>
      <c r="P1517" s="1"/>
      <c r="Q1517" s="1"/>
      <c r="R1517" s="1"/>
      <c r="S1517" s="1"/>
      <c r="T1517" s="1"/>
    </row>
    <row r="1518" spans="1:20" ht="33.75" hidden="1" customHeight="1">
      <c r="A1518" s="1" t="s">
        <v>4261</v>
      </c>
      <c r="B1518" s="1" t="s">
        <v>4151</v>
      </c>
      <c r="C1518" s="4">
        <v>39897.649305555555</v>
      </c>
      <c r="D1518" s="1" t="s">
        <v>84</v>
      </c>
      <c r="E1518" s="1" t="s">
        <v>4250</v>
      </c>
      <c r="F1518" s="2" t="s">
        <v>4263</v>
      </c>
      <c r="G1518" s="1">
        <f ca="1">IFERROR(__xludf.DUMMYFUNCTION("COUNTA(SPLIT(F1518,"" ""))"),187)</f>
        <v>187</v>
      </c>
      <c r="H1518" s="1">
        <v>187</v>
      </c>
      <c r="I1518" s="1"/>
      <c r="J1518" s="1"/>
      <c r="K1518" s="1"/>
      <c r="L1518" s="1"/>
      <c r="M1518" s="1"/>
      <c r="N1518" s="1"/>
      <c r="O1518" s="1"/>
      <c r="P1518" s="1"/>
      <c r="Q1518" s="1"/>
      <c r="R1518" s="1"/>
      <c r="S1518" s="1"/>
      <c r="T1518" s="1"/>
    </row>
    <row r="1519" spans="1:20" ht="33.75" customHeight="1">
      <c r="A1519" s="1" t="s">
        <v>4264</v>
      </c>
      <c r="B1519" s="1" t="s">
        <v>4151</v>
      </c>
      <c r="C1519" s="4">
        <v>39897.725694444445</v>
      </c>
      <c r="D1519" s="1" t="s">
        <v>4265</v>
      </c>
      <c r="E1519" s="1"/>
      <c r="F1519" s="2" t="s">
        <v>4268</v>
      </c>
      <c r="G1519" s="1">
        <f ca="1">IFERROR(__xludf.DUMMYFUNCTION("COUNTA(SPLIT(F1519,"" ""))"),93)</f>
        <v>93</v>
      </c>
      <c r="H1519" s="1">
        <v>93</v>
      </c>
      <c r="I1519" s="1"/>
      <c r="J1519" s="1"/>
      <c r="K1519" s="1"/>
      <c r="L1519" s="1"/>
      <c r="M1519" s="1"/>
      <c r="N1519" s="1"/>
      <c r="O1519" s="1"/>
      <c r="P1519" s="1"/>
      <c r="Q1519" s="1"/>
      <c r="R1519" s="1"/>
      <c r="S1519" s="1"/>
      <c r="T1519" s="1"/>
    </row>
    <row r="1520" spans="1:20" ht="33.75" customHeight="1">
      <c r="A1520" s="1" t="s">
        <v>4269</v>
      </c>
      <c r="B1520" s="1" t="s">
        <v>3929</v>
      </c>
      <c r="C1520" s="4">
        <v>39897.833333333336</v>
      </c>
      <c r="D1520" s="1" t="s">
        <v>772</v>
      </c>
      <c r="E1520" s="1"/>
      <c r="F1520" s="2" t="s">
        <v>4271</v>
      </c>
      <c r="G1520" s="1">
        <f ca="1">IFERROR(__xludf.DUMMYFUNCTION("COUNTA(SPLIT(F1520,"" ""))"),190)</f>
        <v>190</v>
      </c>
      <c r="H1520" s="1">
        <v>190</v>
      </c>
      <c r="I1520" s="1"/>
      <c r="J1520" s="1"/>
      <c r="K1520" s="1"/>
      <c r="L1520" s="1"/>
      <c r="M1520" s="1"/>
      <c r="N1520" s="1"/>
      <c r="O1520" s="1"/>
      <c r="P1520" s="1"/>
      <c r="Q1520" s="1"/>
      <c r="R1520" s="1"/>
      <c r="S1520" s="1"/>
      <c r="T1520" s="1"/>
    </row>
    <row r="1521" spans="1:20" ht="33.75" customHeight="1">
      <c r="A1521" s="1" t="s">
        <v>4272</v>
      </c>
      <c r="B1521" s="1" t="s">
        <v>1519</v>
      </c>
      <c r="C1521" s="4">
        <v>39856.865277777775</v>
      </c>
      <c r="D1521" s="1" t="s">
        <v>1528</v>
      </c>
      <c r="E1521" s="1"/>
      <c r="F1521" s="2" t="s">
        <v>4275</v>
      </c>
      <c r="G1521" s="1">
        <f ca="1">IFERROR(__xludf.DUMMYFUNCTION("COUNTA(SPLIT(F1521,"" ""))"),284)</f>
        <v>284</v>
      </c>
      <c r="H1521" s="1">
        <v>284</v>
      </c>
      <c r="I1521" s="1"/>
      <c r="J1521" s="1"/>
      <c r="K1521" s="1"/>
      <c r="L1521" s="1"/>
      <c r="M1521" s="1"/>
      <c r="N1521" s="1"/>
      <c r="O1521" s="1"/>
      <c r="P1521" s="1"/>
      <c r="Q1521" s="1"/>
      <c r="R1521" s="1"/>
      <c r="S1521" s="1"/>
      <c r="T1521" s="1"/>
    </row>
    <row r="1522" spans="1:20" ht="33.75" customHeight="1">
      <c r="A1522" s="1" t="s">
        <v>4276</v>
      </c>
      <c r="B1522" s="1" t="s">
        <v>4151</v>
      </c>
      <c r="C1522" s="4">
        <v>39898.131249999999</v>
      </c>
      <c r="D1522" s="1" t="s">
        <v>110</v>
      </c>
      <c r="E1522" s="1"/>
      <c r="F1522" s="2" t="s">
        <v>4278</v>
      </c>
      <c r="G1522" s="1">
        <f ca="1">IFERROR(__xludf.DUMMYFUNCTION("COUNTA(SPLIT(F1522,"" ""))"),127)</f>
        <v>127</v>
      </c>
      <c r="H1522" s="1">
        <v>127</v>
      </c>
      <c r="I1522" s="1"/>
      <c r="J1522" s="1"/>
      <c r="K1522" s="1"/>
      <c r="L1522" s="1"/>
      <c r="M1522" s="1"/>
      <c r="N1522" s="1"/>
      <c r="O1522" s="1"/>
      <c r="P1522" s="1"/>
      <c r="Q1522" s="1"/>
      <c r="R1522" s="1"/>
      <c r="S1522" s="1"/>
      <c r="T1522" s="1"/>
    </row>
    <row r="1523" spans="1:20" ht="33.75" customHeight="1">
      <c r="A1523" s="1" t="s">
        <v>4279</v>
      </c>
      <c r="B1523" s="1" t="s">
        <v>4151</v>
      </c>
      <c r="C1523" s="4">
        <v>39898.260416666664</v>
      </c>
      <c r="D1523" s="1" t="s">
        <v>255</v>
      </c>
      <c r="E1523" s="1"/>
      <c r="F1523" s="2" t="s">
        <v>4281</v>
      </c>
      <c r="G1523" s="1">
        <f ca="1">IFERROR(__xludf.DUMMYFUNCTION("COUNTA(SPLIT(F1523,"" ""))"),256)</f>
        <v>256</v>
      </c>
      <c r="H1523" s="1">
        <v>256</v>
      </c>
      <c r="I1523" s="1"/>
      <c r="J1523" s="1"/>
      <c r="K1523" s="1"/>
      <c r="L1523" s="1"/>
      <c r="M1523" s="1"/>
      <c r="N1523" s="1"/>
      <c r="O1523" s="1"/>
      <c r="P1523" s="1"/>
      <c r="Q1523" s="1"/>
      <c r="R1523" s="1"/>
      <c r="S1523" s="1"/>
      <c r="T1523" s="1"/>
    </row>
    <row r="1524" spans="1:20" ht="33.75" hidden="1" customHeight="1">
      <c r="A1524" s="1" t="s">
        <v>4282</v>
      </c>
      <c r="B1524" s="1" t="s">
        <v>3800</v>
      </c>
      <c r="C1524" s="4">
        <v>39898.538888888892</v>
      </c>
      <c r="D1524" s="1" t="s">
        <v>772</v>
      </c>
      <c r="E1524" s="1" t="s">
        <v>4283</v>
      </c>
      <c r="F1524" s="2" t="s">
        <v>4284</v>
      </c>
      <c r="G1524" s="1">
        <f ca="1">IFERROR(__xludf.DUMMYFUNCTION("COUNTA(SPLIT(F1524,"" ""))"),78)</f>
        <v>78</v>
      </c>
      <c r="H1524" s="1">
        <v>78</v>
      </c>
      <c r="I1524" s="1"/>
      <c r="J1524" s="1"/>
      <c r="K1524" s="1"/>
      <c r="L1524" s="1"/>
      <c r="M1524" s="1"/>
      <c r="N1524" s="1"/>
      <c r="O1524" s="1"/>
      <c r="P1524" s="1"/>
      <c r="Q1524" s="1"/>
      <c r="R1524" s="1"/>
      <c r="S1524" s="1"/>
      <c r="T1524" s="1"/>
    </row>
    <row r="1525" spans="1:20" ht="33.75" customHeight="1">
      <c r="A1525" s="1" t="s">
        <v>4285</v>
      </c>
      <c r="B1525" s="1" t="s">
        <v>3800</v>
      </c>
      <c r="C1525" s="4">
        <v>39898.54791666667</v>
      </c>
      <c r="D1525" s="1" t="s">
        <v>1887</v>
      </c>
      <c r="E1525" s="1"/>
      <c r="F1525" s="2" t="s">
        <v>4287</v>
      </c>
      <c r="G1525" s="1">
        <f ca="1">IFERROR(__xludf.DUMMYFUNCTION("COUNTA(SPLIT(F1525,"" ""))"),67)</f>
        <v>67</v>
      </c>
      <c r="H1525" s="1">
        <v>67</v>
      </c>
      <c r="I1525" s="1"/>
      <c r="J1525" s="1"/>
      <c r="K1525" s="1"/>
      <c r="L1525" s="1"/>
      <c r="M1525" s="1"/>
      <c r="N1525" s="1"/>
      <c r="O1525" s="1"/>
      <c r="P1525" s="1"/>
      <c r="Q1525" s="1"/>
      <c r="R1525" s="1"/>
      <c r="S1525" s="1"/>
      <c r="T1525" s="1"/>
    </row>
    <row r="1526" spans="1:20" ht="33.75" customHeight="1">
      <c r="A1526" s="1" t="s">
        <v>4288</v>
      </c>
      <c r="B1526" s="1" t="s">
        <v>3800</v>
      </c>
      <c r="C1526" s="4">
        <v>39898.551388888889</v>
      </c>
      <c r="D1526" s="1" t="s">
        <v>1887</v>
      </c>
      <c r="E1526" s="1"/>
      <c r="F1526" s="2" t="s">
        <v>4289</v>
      </c>
      <c r="G1526" s="1">
        <f ca="1">IFERROR(__xludf.DUMMYFUNCTION("COUNTA(SPLIT(F1526,"" ""))"),21)</f>
        <v>21</v>
      </c>
      <c r="H1526" s="1">
        <v>21</v>
      </c>
      <c r="I1526" s="1"/>
      <c r="J1526" s="1"/>
      <c r="K1526" s="1"/>
      <c r="L1526" s="1"/>
      <c r="M1526" s="1"/>
      <c r="N1526" s="1"/>
      <c r="O1526" s="1"/>
      <c r="P1526" s="1"/>
      <c r="Q1526" s="1"/>
      <c r="R1526" s="1"/>
      <c r="S1526" s="1"/>
      <c r="T1526" s="1"/>
    </row>
    <row r="1527" spans="1:20" ht="33.75" customHeight="1">
      <c r="A1527" s="1" t="s">
        <v>4290</v>
      </c>
      <c r="B1527" s="1" t="s">
        <v>3800</v>
      </c>
      <c r="C1527" s="4">
        <v>39898.695833333331</v>
      </c>
      <c r="D1527" s="1" t="s">
        <v>84</v>
      </c>
      <c r="E1527" s="1"/>
      <c r="F1527" s="2" t="s">
        <v>4291</v>
      </c>
      <c r="G1527" s="1">
        <f ca="1">IFERROR(__xludf.DUMMYFUNCTION("COUNTA(SPLIT(F1527,"" ""))"),96)</f>
        <v>96</v>
      </c>
      <c r="H1527" s="1">
        <v>96</v>
      </c>
      <c r="I1527" s="1"/>
      <c r="J1527" s="1"/>
      <c r="K1527" s="1"/>
      <c r="L1527" s="1"/>
      <c r="M1527" s="1"/>
      <c r="N1527" s="1"/>
      <c r="O1527" s="1"/>
      <c r="P1527" s="1"/>
      <c r="Q1527" s="1"/>
      <c r="R1527" s="1"/>
      <c r="S1527" s="1"/>
      <c r="T1527" s="1"/>
    </row>
    <row r="1528" spans="1:20" ht="33.75" customHeight="1">
      <c r="A1528" s="1" t="s">
        <v>4292</v>
      </c>
      <c r="B1528" s="1" t="s">
        <v>3800</v>
      </c>
      <c r="C1528" s="4">
        <v>39898.697222222225</v>
      </c>
      <c r="D1528" s="1" t="s">
        <v>84</v>
      </c>
      <c r="E1528" s="1"/>
      <c r="F1528" s="2" t="s">
        <v>4293</v>
      </c>
      <c r="G1528" s="1">
        <f ca="1">IFERROR(__xludf.DUMMYFUNCTION("COUNTA(SPLIT(F1528,"" ""))"),22)</f>
        <v>22</v>
      </c>
      <c r="H1528" s="1">
        <v>22</v>
      </c>
      <c r="I1528" s="1"/>
      <c r="J1528" s="1"/>
      <c r="K1528" s="1"/>
      <c r="L1528" s="1"/>
      <c r="M1528" s="1"/>
      <c r="N1528" s="1"/>
      <c r="O1528" s="1"/>
      <c r="P1528" s="1"/>
      <c r="Q1528" s="1"/>
      <c r="R1528" s="1"/>
      <c r="S1528" s="1"/>
      <c r="T1528" s="1"/>
    </row>
    <row r="1529" spans="1:20" ht="33.75" customHeight="1">
      <c r="A1529" s="1" t="s">
        <v>4294</v>
      </c>
      <c r="B1529" s="1" t="s">
        <v>3800</v>
      </c>
      <c r="C1529" s="4">
        <v>39898.700694444444</v>
      </c>
      <c r="D1529" s="1" t="s">
        <v>84</v>
      </c>
      <c r="E1529" s="1"/>
      <c r="F1529" s="2" t="s">
        <v>4295</v>
      </c>
      <c r="G1529" s="1">
        <f ca="1">IFERROR(__xludf.DUMMYFUNCTION("COUNTA(SPLIT(F1529,"" ""))"),102)</f>
        <v>102</v>
      </c>
      <c r="H1529" s="1">
        <v>102</v>
      </c>
      <c r="I1529" s="1"/>
      <c r="J1529" s="1"/>
      <c r="K1529" s="1"/>
      <c r="L1529" s="1"/>
      <c r="M1529" s="1"/>
      <c r="N1529" s="1"/>
      <c r="O1529" s="1"/>
      <c r="P1529" s="1"/>
      <c r="Q1529" s="1"/>
      <c r="R1529" s="1"/>
      <c r="S1529" s="1"/>
      <c r="T1529" s="1"/>
    </row>
    <row r="1530" spans="1:20" ht="33.75" customHeight="1">
      <c r="A1530" s="1" t="s">
        <v>4296</v>
      </c>
      <c r="B1530" s="1" t="s">
        <v>4151</v>
      </c>
      <c r="C1530" s="4">
        <v>39898.803472222222</v>
      </c>
      <c r="D1530" s="1" t="s">
        <v>4297</v>
      </c>
      <c r="E1530" s="1"/>
      <c r="F1530" s="2" t="s">
        <v>4299</v>
      </c>
      <c r="G1530" s="1">
        <f ca="1">IFERROR(__xludf.DUMMYFUNCTION("COUNTA(SPLIT(F1530,"" ""))"),137)</f>
        <v>137</v>
      </c>
      <c r="H1530" s="1">
        <v>137</v>
      </c>
      <c r="I1530" s="1"/>
      <c r="J1530" s="1"/>
      <c r="K1530" s="1"/>
      <c r="L1530" s="1"/>
      <c r="M1530" s="1"/>
      <c r="N1530" s="1"/>
      <c r="O1530" s="1"/>
      <c r="P1530" s="1"/>
      <c r="Q1530" s="1"/>
      <c r="R1530" s="1"/>
      <c r="S1530" s="1"/>
      <c r="T1530" s="1"/>
    </row>
    <row r="1531" spans="1:20" ht="33.75" customHeight="1">
      <c r="A1531" s="1" t="s">
        <v>4300</v>
      </c>
      <c r="B1531" s="1" t="s">
        <v>3800</v>
      </c>
      <c r="C1531" s="4">
        <v>39898.821527777778</v>
      </c>
      <c r="D1531" s="1" t="s">
        <v>84</v>
      </c>
      <c r="E1531" s="1"/>
      <c r="F1531" s="2" t="s">
        <v>4301</v>
      </c>
      <c r="G1531" s="1">
        <f ca="1">IFERROR(__xludf.DUMMYFUNCTION("COUNTA(SPLIT(F1531,"" ""))"),108)</f>
        <v>108</v>
      </c>
      <c r="H1531" s="1">
        <v>108</v>
      </c>
      <c r="I1531" s="1"/>
      <c r="J1531" s="1"/>
      <c r="K1531" s="1"/>
      <c r="L1531" s="1"/>
      <c r="M1531" s="1"/>
      <c r="N1531" s="1"/>
      <c r="O1531" s="1"/>
      <c r="P1531" s="1"/>
      <c r="Q1531" s="1"/>
      <c r="R1531" s="1"/>
      <c r="S1531" s="1"/>
      <c r="T1531" s="1"/>
    </row>
    <row r="1532" spans="1:20" ht="33.75" customHeight="1">
      <c r="A1532" s="1" t="s">
        <v>4302</v>
      </c>
      <c r="B1532" s="1" t="s">
        <v>3800</v>
      </c>
      <c r="C1532" s="4">
        <v>39898.841666666667</v>
      </c>
      <c r="D1532" s="1" t="s">
        <v>1089</v>
      </c>
      <c r="E1532" s="1"/>
      <c r="F1532" s="2" t="s">
        <v>4303</v>
      </c>
      <c r="G1532" s="1">
        <f ca="1">IFERROR(__xludf.DUMMYFUNCTION("COUNTA(SPLIT(F1532,"" ""))"),54)</f>
        <v>54</v>
      </c>
      <c r="H1532" s="1">
        <v>54</v>
      </c>
      <c r="I1532" s="1"/>
      <c r="J1532" s="1"/>
      <c r="K1532" s="1"/>
      <c r="L1532" s="1"/>
      <c r="M1532" s="1"/>
      <c r="N1532" s="1"/>
      <c r="O1532" s="1"/>
      <c r="P1532" s="1"/>
      <c r="Q1532" s="1"/>
      <c r="R1532" s="1"/>
      <c r="S1532" s="1"/>
      <c r="T1532" s="1"/>
    </row>
    <row r="1533" spans="1:20" ht="33.75" customHeight="1">
      <c r="A1533" s="1" t="s">
        <v>4304</v>
      </c>
      <c r="B1533" s="1" t="s">
        <v>3800</v>
      </c>
      <c r="C1533" s="4">
        <v>39898.878472222219</v>
      </c>
      <c r="D1533" s="1" t="s">
        <v>84</v>
      </c>
      <c r="E1533" s="1"/>
      <c r="F1533" s="2" t="s">
        <v>4305</v>
      </c>
      <c r="G1533" s="1">
        <f ca="1">IFERROR(__xludf.DUMMYFUNCTION("COUNTA(SPLIT(F1533,"" ""))"),38)</f>
        <v>38</v>
      </c>
      <c r="H1533" s="1">
        <v>38</v>
      </c>
      <c r="I1533" s="1"/>
      <c r="J1533" s="1"/>
      <c r="K1533" s="1"/>
      <c r="L1533" s="1"/>
      <c r="M1533" s="1"/>
      <c r="N1533" s="1"/>
      <c r="O1533" s="1"/>
      <c r="P1533" s="1"/>
      <c r="Q1533" s="1"/>
      <c r="R1533" s="1"/>
      <c r="S1533" s="1"/>
      <c r="T1533" s="1"/>
    </row>
    <row r="1534" spans="1:20" ht="33.75" customHeight="1">
      <c r="A1534" s="1" t="s">
        <v>4306</v>
      </c>
      <c r="B1534" s="1" t="s">
        <v>3800</v>
      </c>
      <c r="C1534" s="4">
        <v>39898.957638888889</v>
      </c>
      <c r="D1534" s="1" t="s">
        <v>84</v>
      </c>
      <c r="E1534" s="1"/>
      <c r="F1534" s="2" t="s">
        <v>4307</v>
      </c>
      <c r="G1534" s="1">
        <f ca="1">IFERROR(__xludf.DUMMYFUNCTION("COUNTA(SPLIT(F1534,"" ""))"),52)</f>
        <v>52</v>
      </c>
      <c r="H1534" s="1">
        <v>52</v>
      </c>
      <c r="I1534" s="1"/>
      <c r="J1534" s="1"/>
      <c r="K1534" s="1"/>
      <c r="L1534" s="1"/>
      <c r="M1534" s="1"/>
      <c r="N1534" s="1"/>
      <c r="O1534" s="1"/>
      <c r="P1534" s="1"/>
      <c r="Q1534" s="1"/>
      <c r="R1534" s="1"/>
      <c r="S1534" s="1"/>
      <c r="T1534" s="1"/>
    </row>
    <row r="1535" spans="1:20" ht="33.75" customHeight="1">
      <c r="A1535" s="1" t="s">
        <v>4308</v>
      </c>
      <c r="B1535" s="1" t="s">
        <v>3800</v>
      </c>
      <c r="C1535" s="4">
        <v>39898.964583333334</v>
      </c>
      <c r="D1535" s="1" t="s">
        <v>1887</v>
      </c>
      <c r="E1535" s="1"/>
      <c r="F1535" s="2" t="s">
        <v>4309</v>
      </c>
      <c r="G1535" s="1">
        <f ca="1">IFERROR(__xludf.DUMMYFUNCTION("COUNTA(SPLIT(F1535,"" ""))"),29)</f>
        <v>29</v>
      </c>
      <c r="H1535" s="1">
        <v>29</v>
      </c>
      <c r="I1535" s="1"/>
      <c r="J1535" s="1"/>
      <c r="K1535" s="1"/>
      <c r="L1535" s="1"/>
      <c r="M1535" s="1"/>
      <c r="N1535" s="1"/>
      <c r="O1535" s="1"/>
      <c r="P1535" s="1"/>
      <c r="Q1535" s="1"/>
      <c r="R1535" s="1"/>
      <c r="S1535" s="1"/>
      <c r="T1535" s="1"/>
    </row>
    <row r="1536" spans="1:20" ht="33.75" customHeight="1">
      <c r="A1536" s="1" t="s">
        <v>4310</v>
      </c>
      <c r="B1536" s="1" t="s">
        <v>3800</v>
      </c>
      <c r="C1536" s="4">
        <v>39898.96597222222</v>
      </c>
      <c r="D1536" s="1" t="s">
        <v>1887</v>
      </c>
      <c r="E1536" s="1"/>
      <c r="F1536" s="2" t="s">
        <v>4313</v>
      </c>
      <c r="G1536" s="1">
        <f ca="1">IFERROR(__xludf.DUMMYFUNCTION("COUNTA(SPLIT(F1536,"" ""))"),11)</f>
        <v>11</v>
      </c>
      <c r="H1536" s="1">
        <v>11</v>
      </c>
      <c r="I1536" s="1"/>
      <c r="J1536" s="1"/>
      <c r="K1536" s="1"/>
      <c r="L1536" s="1"/>
      <c r="M1536" s="1"/>
      <c r="N1536" s="1"/>
      <c r="O1536" s="1"/>
      <c r="P1536" s="1"/>
      <c r="Q1536" s="1"/>
      <c r="R1536" s="1"/>
      <c r="S1536" s="1"/>
      <c r="T1536" s="1"/>
    </row>
    <row r="1537" spans="1:20" ht="33.75" customHeight="1">
      <c r="A1537" s="1" t="s">
        <v>4314</v>
      </c>
      <c r="B1537" s="1" t="s">
        <v>4151</v>
      </c>
      <c r="C1537" s="4">
        <v>39899.057638888888</v>
      </c>
      <c r="D1537" s="1" t="s">
        <v>435</v>
      </c>
      <c r="E1537" s="1"/>
      <c r="F1537" s="2" t="s">
        <v>4316</v>
      </c>
      <c r="G1537" s="1">
        <f ca="1">IFERROR(__xludf.DUMMYFUNCTION("COUNTA(SPLIT(F1537,"" ""))"),202)</f>
        <v>202</v>
      </c>
      <c r="H1537" s="1">
        <v>202</v>
      </c>
      <c r="I1537" s="1"/>
      <c r="J1537" s="1"/>
      <c r="K1537" s="1"/>
      <c r="L1537" s="1"/>
      <c r="M1537" s="1"/>
      <c r="N1537" s="1"/>
      <c r="O1537" s="1"/>
      <c r="P1537" s="1"/>
      <c r="Q1537" s="1"/>
      <c r="R1537" s="1"/>
      <c r="S1537" s="1"/>
      <c r="T1537" s="1"/>
    </row>
    <row r="1538" spans="1:20" ht="33.75" hidden="1" customHeight="1">
      <c r="A1538" s="1" t="s">
        <v>4317</v>
      </c>
      <c r="B1538" s="1" t="s">
        <v>4151</v>
      </c>
      <c r="C1538" s="4">
        <v>39899.276388888888</v>
      </c>
      <c r="D1538" s="1" t="s">
        <v>688</v>
      </c>
      <c r="E1538" s="1" t="s">
        <v>4318</v>
      </c>
      <c r="F1538" s="2" t="s">
        <v>4320</v>
      </c>
      <c r="G1538" s="1">
        <f ca="1">IFERROR(__xludf.DUMMYFUNCTION("COUNTA(SPLIT(F1538,"" ""))"),17)</f>
        <v>17</v>
      </c>
      <c r="H1538" s="1">
        <v>17</v>
      </c>
      <c r="I1538" s="1"/>
      <c r="J1538" s="1"/>
      <c r="K1538" s="1"/>
      <c r="L1538" s="1"/>
      <c r="M1538" s="1"/>
      <c r="N1538" s="1"/>
      <c r="O1538" s="1"/>
      <c r="P1538" s="1"/>
      <c r="Q1538" s="1"/>
      <c r="R1538" s="1"/>
      <c r="S1538" s="1"/>
      <c r="T1538" s="1"/>
    </row>
    <row r="1539" spans="1:20" ht="33.75" customHeight="1">
      <c r="A1539" s="1" t="s">
        <v>4321</v>
      </c>
      <c r="B1539" s="1" t="s">
        <v>3800</v>
      </c>
      <c r="C1539" s="4">
        <v>39899.493055555555</v>
      </c>
      <c r="D1539" s="1" t="s">
        <v>84</v>
      </c>
      <c r="E1539" s="1"/>
      <c r="F1539" s="2" t="s">
        <v>4322</v>
      </c>
      <c r="G1539" s="1">
        <f ca="1">IFERROR(__xludf.DUMMYFUNCTION("COUNTA(SPLIT(F1539,"" ""))"),68)</f>
        <v>68</v>
      </c>
      <c r="H1539" s="1">
        <v>68</v>
      </c>
      <c r="I1539" s="1"/>
      <c r="J1539" s="1"/>
      <c r="K1539" s="1"/>
      <c r="L1539" s="1"/>
      <c r="M1539" s="1"/>
      <c r="N1539" s="1"/>
      <c r="O1539" s="1"/>
      <c r="P1539" s="1"/>
      <c r="Q1539" s="1"/>
      <c r="R1539" s="1"/>
      <c r="S1539" s="1"/>
      <c r="T1539" s="1"/>
    </row>
    <row r="1540" spans="1:20" ht="33.75" customHeight="1">
      <c r="A1540" s="1" t="s">
        <v>4323</v>
      </c>
      <c r="B1540" s="1" t="s">
        <v>3800</v>
      </c>
      <c r="C1540" s="4">
        <v>39899.518750000003</v>
      </c>
      <c r="D1540" s="1" t="s">
        <v>772</v>
      </c>
      <c r="E1540" s="1"/>
      <c r="F1540" s="2" t="s">
        <v>4324</v>
      </c>
      <c r="G1540" s="1">
        <f ca="1">IFERROR(__xludf.DUMMYFUNCTION("COUNTA(SPLIT(F1540,"" ""))"),356)</f>
        <v>356</v>
      </c>
      <c r="H1540" s="1">
        <v>356</v>
      </c>
      <c r="I1540" s="1"/>
      <c r="J1540" s="1"/>
      <c r="K1540" s="1"/>
      <c r="L1540" s="1"/>
      <c r="M1540" s="1"/>
      <c r="N1540" s="1"/>
      <c r="O1540" s="1"/>
      <c r="P1540" s="1"/>
      <c r="Q1540" s="1"/>
      <c r="R1540" s="1"/>
      <c r="S1540" s="1"/>
      <c r="T1540" s="1"/>
    </row>
    <row r="1541" spans="1:20" ht="33.75" customHeight="1">
      <c r="A1541" s="1" t="s">
        <v>4325</v>
      </c>
      <c r="B1541" s="1" t="s">
        <v>3800</v>
      </c>
      <c r="C1541" s="4">
        <v>39899.522222222222</v>
      </c>
      <c r="D1541" s="1" t="s">
        <v>772</v>
      </c>
      <c r="E1541" s="1"/>
      <c r="F1541" s="2" t="s">
        <v>4327</v>
      </c>
      <c r="G1541" s="1">
        <f ca="1">IFERROR(__xludf.DUMMYFUNCTION("COUNTA(SPLIT(F1541,"" ""))"),42)</f>
        <v>42</v>
      </c>
      <c r="H1541" s="1">
        <v>42</v>
      </c>
      <c r="I1541" s="1"/>
      <c r="J1541" s="1"/>
      <c r="K1541" s="1"/>
      <c r="L1541" s="1"/>
      <c r="M1541" s="1"/>
      <c r="N1541" s="1"/>
      <c r="O1541" s="1"/>
      <c r="P1541" s="1"/>
      <c r="Q1541" s="1"/>
      <c r="R1541" s="1"/>
      <c r="S1541" s="1"/>
      <c r="T1541" s="1"/>
    </row>
    <row r="1542" spans="1:20" ht="33.75" hidden="1" customHeight="1">
      <c r="A1542" s="1" t="s">
        <v>4328</v>
      </c>
      <c r="B1542" s="1" t="s">
        <v>4151</v>
      </c>
      <c r="C1542" s="4">
        <v>39899.665277777778</v>
      </c>
      <c r="D1542" s="1" t="s">
        <v>435</v>
      </c>
      <c r="E1542" s="1" t="s">
        <v>4329</v>
      </c>
      <c r="F1542" s="2" t="s">
        <v>4331</v>
      </c>
      <c r="G1542" s="1">
        <f ca="1">IFERROR(__xludf.DUMMYFUNCTION("COUNTA(SPLIT(F1542,"" ""))"),56)</f>
        <v>56</v>
      </c>
      <c r="H1542" s="1">
        <v>56</v>
      </c>
      <c r="I1542" s="1"/>
      <c r="J1542" s="1"/>
      <c r="K1542" s="1"/>
      <c r="L1542" s="1"/>
      <c r="M1542" s="1"/>
      <c r="N1542" s="1"/>
      <c r="O1542" s="1"/>
      <c r="P1542" s="1"/>
      <c r="Q1542" s="1"/>
      <c r="R1542" s="1"/>
      <c r="S1542" s="1"/>
      <c r="T1542" s="1"/>
    </row>
    <row r="1543" spans="1:20" ht="33.75" hidden="1" customHeight="1">
      <c r="A1543" s="1" t="s">
        <v>4332</v>
      </c>
      <c r="B1543" s="1" t="s">
        <v>4151</v>
      </c>
      <c r="C1543" s="4">
        <v>39899.691666666666</v>
      </c>
      <c r="D1543" s="1" t="s">
        <v>14</v>
      </c>
      <c r="E1543" s="1" t="s">
        <v>4328</v>
      </c>
      <c r="F1543" s="2" t="s">
        <v>4334</v>
      </c>
      <c r="G1543" s="1">
        <f ca="1">IFERROR(__xludf.DUMMYFUNCTION("COUNTA(SPLIT(F1543,"" ""))"),128)</f>
        <v>128</v>
      </c>
      <c r="H1543" s="1">
        <v>128</v>
      </c>
      <c r="I1543" s="1"/>
      <c r="J1543" s="1"/>
      <c r="K1543" s="1"/>
      <c r="L1543" s="1"/>
      <c r="M1543" s="1"/>
      <c r="N1543" s="1"/>
      <c r="O1543" s="1"/>
      <c r="P1543" s="1"/>
      <c r="Q1543" s="1"/>
      <c r="R1543" s="1"/>
      <c r="S1543" s="1"/>
      <c r="T1543" s="1"/>
    </row>
    <row r="1544" spans="1:20" ht="33.75" hidden="1" customHeight="1">
      <c r="A1544" s="1" t="s">
        <v>4335</v>
      </c>
      <c r="B1544" s="1" t="s">
        <v>4151</v>
      </c>
      <c r="C1544" s="4">
        <v>39899.77847222222</v>
      </c>
      <c r="D1544" s="1" t="s">
        <v>255</v>
      </c>
      <c r="E1544" s="1" t="s">
        <v>4332</v>
      </c>
      <c r="F1544" s="2" t="s">
        <v>4337</v>
      </c>
      <c r="G1544" s="1">
        <f ca="1">IFERROR(__xludf.DUMMYFUNCTION("COUNTA(SPLIT(F1544,"" ""))"),99)</f>
        <v>99</v>
      </c>
      <c r="H1544" s="1">
        <v>99</v>
      </c>
      <c r="I1544" s="1"/>
      <c r="J1544" s="1"/>
      <c r="K1544" s="1"/>
      <c r="L1544" s="1"/>
      <c r="M1544" s="1"/>
      <c r="N1544" s="1"/>
      <c r="O1544" s="1"/>
      <c r="P1544" s="1"/>
      <c r="Q1544" s="1"/>
      <c r="R1544" s="1"/>
      <c r="S1544" s="1"/>
      <c r="T1544" s="1"/>
    </row>
    <row r="1545" spans="1:20" ht="33.75" hidden="1" customHeight="1">
      <c r="A1545" s="1" t="s">
        <v>4338</v>
      </c>
      <c r="B1545" s="1" t="s">
        <v>4151</v>
      </c>
      <c r="C1545" s="4">
        <v>39899.79583333333</v>
      </c>
      <c r="D1545" s="1" t="s">
        <v>4297</v>
      </c>
      <c r="E1545" s="1" t="s">
        <v>4328</v>
      </c>
      <c r="F1545" s="2" t="s">
        <v>4340</v>
      </c>
      <c r="G1545" s="1">
        <f ca="1">IFERROR(__xludf.DUMMYFUNCTION("COUNTA(SPLIT(F1545,"" ""))"),326)</f>
        <v>326</v>
      </c>
      <c r="H1545" s="1">
        <v>326</v>
      </c>
      <c r="I1545" s="1"/>
      <c r="J1545" s="1"/>
      <c r="K1545" s="1"/>
      <c r="L1545" s="1"/>
      <c r="M1545" s="1"/>
      <c r="N1545" s="1"/>
      <c r="O1545" s="1"/>
      <c r="P1545" s="1"/>
      <c r="Q1545" s="1"/>
      <c r="R1545" s="1"/>
      <c r="S1545" s="1"/>
      <c r="T1545" s="1"/>
    </row>
    <row r="1546" spans="1:20" ht="33.75" customHeight="1">
      <c r="A1546" s="1" t="s">
        <v>4341</v>
      </c>
      <c r="B1546" s="1" t="s">
        <v>3929</v>
      </c>
      <c r="C1546" s="4">
        <v>39899.810416666667</v>
      </c>
      <c r="D1546" s="1" t="s">
        <v>14</v>
      </c>
      <c r="E1546" s="1"/>
      <c r="F1546" s="2" t="s">
        <v>4342</v>
      </c>
      <c r="G1546" s="1">
        <f ca="1">IFERROR(__xludf.DUMMYFUNCTION("COUNTA(SPLIT(F1546,"" ""))"),119)</f>
        <v>119</v>
      </c>
      <c r="H1546" s="1">
        <v>119</v>
      </c>
      <c r="I1546" s="1"/>
      <c r="J1546" s="1"/>
      <c r="K1546" s="1"/>
      <c r="L1546" s="1"/>
      <c r="M1546" s="1"/>
      <c r="N1546" s="1"/>
      <c r="O1546" s="1"/>
      <c r="P1546" s="1"/>
      <c r="Q1546" s="1"/>
      <c r="R1546" s="1"/>
      <c r="S1546" s="1"/>
      <c r="T1546" s="1"/>
    </row>
    <row r="1547" spans="1:20" ht="33.75" customHeight="1">
      <c r="A1547" s="1" t="s">
        <v>4343</v>
      </c>
      <c r="B1547" s="1" t="s">
        <v>3929</v>
      </c>
      <c r="C1547" s="4">
        <v>39899.811805555553</v>
      </c>
      <c r="D1547" s="1" t="s">
        <v>14</v>
      </c>
      <c r="E1547" s="1"/>
      <c r="F1547" s="2" t="s">
        <v>4345</v>
      </c>
      <c r="G1547" s="1">
        <f ca="1">IFERROR(__xludf.DUMMYFUNCTION("COUNTA(SPLIT(F1547,"" ""))"),482)</f>
        <v>482</v>
      </c>
      <c r="H1547" s="1">
        <v>482</v>
      </c>
      <c r="I1547" s="1"/>
      <c r="J1547" s="1"/>
      <c r="K1547" s="1"/>
      <c r="L1547" s="1"/>
      <c r="M1547" s="1"/>
      <c r="N1547" s="1"/>
      <c r="O1547" s="1"/>
      <c r="P1547" s="1"/>
      <c r="Q1547" s="1"/>
      <c r="R1547" s="1"/>
      <c r="S1547" s="1"/>
      <c r="T1547" s="1"/>
    </row>
    <row r="1548" spans="1:20" ht="33.75" hidden="1" customHeight="1">
      <c r="A1548" s="1" t="s">
        <v>4346</v>
      </c>
      <c r="B1548" s="1" t="s">
        <v>3929</v>
      </c>
      <c r="C1548" s="4">
        <v>39900.013888888891</v>
      </c>
      <c r="D1548" s="1" t="s">
        <v>320</v>
      </c>
      <c r="E1548" s="1" t="s">
        <v>4343</v>
      </c>
      <c r="F1548" s="2" t="s">
        <v>4348</v>
      </c>
      <c r="G1548" s="1">
        <f ca="1">IFERROR(__xludf.DUMMYFUNCTION("COUNTA(SPLIT(F1548,"" ""))"),130)</f>
        <v>130</v>
      </c>
      <c r="H1548" s="1">
        <v>130</v>
      </c>
      <c r="I1548" s="1"/>
      <c r="J1548" s="1"/>
      <c r="K1548" s="1"/>
      <c r="L1548" s="1"/>
      <c r="M1548" s="1"/>
      <c r="N1548" s="1"/>
      <c r="O1548" s="1"/>
      <c r="P1548" s="1"/>
      <c r="Q1548" s="1"/>
      <c r="R1548" s="1"/>
      <c r="S1548" s="1"/>
      <c r="T1548" s="1"/>
    </row>
    <row r="1549" spans="1:20" ht="33.75" customHeight="1">
      <c r="A1549" s="1" t="s">
        <v>4349</v>
      </c>
      <c r="B1549" s="1" t="s">
        <v>3800</v>
      </c>
      <c r="C1549" s="4">
        <v>39900.065972222219</v>
      </c>
      <c r="D1549" s="1" t="s">
        <v>1887</v>
      </c>
      <c r="E1549" s="1"/>
      <c r="F1549" s="2" t="s">
        <v>4350</v>
      </c>
      <c r="G1549" s="1">
        <f ca="1">IFERROR(__xludf.DUMMYFUNCTION("COUNTA(SPLIT(F1549,"" ""))"),91)</f>
        <v>91</v>
      </c>
      <c r="H1549" s="1">
        <v>91</v>
      </c>
      <c r="I1549" s="1"/>
      <c r="J1549" s="1"/>
      <c r="K1549" s="1"/>
      <c r="L1549" s="1"/>
      <c r="M1549" s="1"/>
      <c r="N1549" s="1"/>
      <c r="O1549" s="1"/>
      <c r="P1549" s="1"/>
      <c r="Q1549" s="1"/>
      <c r="R1549" s="1"/>
      <c r="S1549" s="1"/>
      <c r="T1549" s="1"/>
    </row>
    <row r="1550" spans="1:20" ht="33.75" customHeight="1">
      <c r="A1550" s="1" t="s">
        <v>4351</v>
      </c>
      <c r="B1550" s="1" t="s">
        <v>4151</v>
      </c>
      <c r="C1550" s="4">
        <v>39900.122916666667</v>
      </c>
      <c r="D1550" s="1" t="s">
        <v>435</v>
      </c>
      <c r="E1550" s="1"/>
      <c r="F1550" s="2" t="s">
        <v>4353</v>
      </c>
      <c r="G1550" s="1">
        <f ca="1">IFERROR(__xludf.DUMMYFUNCTION("COUNTA(SPLIT(F1550,"" ""))"),490)</f>
        <v>490</v>
      </c>
      <c r="H1550" s="1">
        <v>490</v>
      </c>
      <c r="I1550" s="1"/>
      <c r="J1550" s="1"/>
      <c r="K1550" s="1"/>
      <c r="L1550" s="1"/>
      <c r="M1550" s="1"/>
      <c r="N1550" s="1"/>
      <c r="O1550" s="1"/>
      <c r="P1550" s="1"/>
      <c r="Q1550" s="1"/>
      <c r="R1550" s="1"/>
      <c r="S1550" s="1"/>
      <c r="T1550" s="1"/>
    </row>
    <row r="1551" spans="1:20" ht="33.75" customHeight="1">
      <c r="A1551" s="1" t="s">
        <v>4354</v>
      </c>
      <c r="B1551" s="1" t="s">
        <v>3800</v>
      </c>
      <c r="C1551" s="4">
        <v>39900.23333333333</v>
      </c>
      <c r="D1551" s="1" t="s">
        <v>84</v>
      </c>
      <c r="E1551" s="1"/>
      <c r="F1551" s="2" t="s">
        <v>4355</v>
      </c>
      <c r="G1551" s="1">
        <f ca="1">IFERROR(__xludf.DUMMYFUNCTION("COUNTA(SPLIT(F1551,"" ""))"),39)</f>
        <v>39</v>
      </c>
      <c r="H1551" s="1">
        <v>39</v>
      </c>
      <c r="I1551" s="1"/>
      <c r="J1551" s="1"/>
      <c r="K1551" s="1"/>
      <c r="L1551" s="1"/>
      <c r="M1551" s="1"/>
      <c r="N1551" s="1"/>
      <c r="O1551" s="1"/>
      <c r="P1551" s="1"/>
      <c r="Q1551" s="1"/>
      <c r="R1551" s="1"/>
      <c r="S1551" s="1"/>
      <c r="T1551" s="1"/>
    </row>
    <row r="1552" spans="1:20" ht="33.75" customHeight="1">
      <c r="A1552" s="1" t="s">
        <v>4356</v>
      </c>
      <c r="B1552" s="1" t="s">
        <v>3800</v>
      </c>
      <c r="C1552" s="4">
        <v>39900.422222222223</v>
      </c>
      <c r="D1552" s="1" t="s">
        <v>1089</v>
      </c>
      <c r="E1552" s="1"/>
      <c r="F1552" s="2" t="s">
        <v>4357</v>
      </c>
      <c r="G1552" s="1">
        <f ca="1">IFERROR(__xludf.DUMMYFUNCTION("COUNTA(SPLIT(F1552,"" ""))"),42)</f>
        <v>42</v>
      </c>
      <c r="H1552" s="1">
        <v>42</v>
      </c>
      <c r="I1552" s="1"/>
      <c r="J1552" s="1"/>
      <c r="K1552" s="1"/>
      <c r="L1552" s="1"/>
      <c r="M1552" s="1"/>
      <c r="N1552" s="1"/>
      <c r="O1552" s="1"/>
      <c r="P1552" s="1"/>
      <c r="Q1552" s="1"/>
      <c r="R1552" s="1"/>
      <c r="S1552" s="1"/>
      <c r="T1552" s="1"/>
    </row>
    <row r="1553" spans="1:20" ht="33.75" customHeight="1">
      <c r="A1553" s="1" t="s">
        <v>4358</v>
      </c>
      <c r="B1553" s="1" t="s">
        <v>3800</v>
      </c>
      <c r="C1553" s="4">
        <v>39900.45416666667</v>
      </c>
      <c r="D1553" s="1" t="s">
        <v>1887</v>
      </c>
      <c r="E1553" s="1"/>
      <c r="F1553" s="2" t="s">
        <v>4359</v>
      </c>
      <c r="G1553" s="1">
        <f ca="1">IFERROR(__xludf.DUMMYFUNCTION("COUNTA(SPLIT(F1553,"" ""))"),56)</f>
        <v>56</v>
      </c>
      <c r="H1553" s="1">
        <v>56</v>
      </c>
      <c r="I1553" s="1"/>
      <c r="J1553" s="1"/>
      <c r="K1553" s="1"/>
      <c r="L1553" s="1"/>
      <c r="M1553" s="1"/>
      <c r="N1553" s="1"/>
      <c r="O1553" s="1"/>
      <c r="P1553" s="1"/>
      <c r="Q1553" s="1"/>
      <c r="R1553" s="1"/>
      <c r="S1553" s="1"/>
      <c r="T1553" s="1"/>
    </row>
    <row r="1554" spans="1:20" ht="33.75" customHeight="1">
      <c r="A1554" s="1" t="s">
        <v>4360</v>
      </c>
      <c r="B1554" s="1" t="s">
        <v>3800</v>
      </c>
      <c r="C1554" s="4">
        <v>39900.538888888892</v>
      </c>
      <c r="D1554" s="1" t="s">
        <v>772</v>
      </c>
      <c r="E1554" s="1"/>
      <c r="F1554" s="2" t="s">
        <v>4361</v>
      </c>
      <c r="G1554" s="1">
        <f ca="1">IFERROR(__xludf.DUMMYFUNCTION("COUNTA(SPLIT(F1554,"" ""))"),102)</f>
        <v>102</v>
      </c>
      <c r="H1554" s="1">
        <v>102</v>
      </c>
      <c r="I1554" s="1"/>
      <c r="J1554" s="1"/>
      <c r="K1554" s="1"/>
      <c r="L1554" s="1"/>
      <c r="M1554" s="1"/>
      <c r="N1554" s="1"/>
      <c r="O1554" s="1"/>
      <c r="P1554" s="1"/>
      <c r="Q1554" s="1"/>
      <c r="R1554" s="1"/>
      <c r="S1554" s="1"/>
      <c r="T1554" s="1"/>
    </row>
    <row r="1555" spans="1:20" ht="33.75" customHeight="1">
      <c r="A1555" s="1" t="s">
        <v>4362</v>
      </c>
      <c r="B1555" s="1" t="s">
        <v>4151</v>
      </c>
      <c r="C1555" s="4">
        <v>39900.777777777781</v>
      </c>
      <c r="D1555" s="1" t="s">
        <v>1887</v>
      </c>
      <c r="E1555" s="1"/>
      <c r="F1555" s="2" t="s">
        <v>4364</v>
      </c>
      <c r="G1555" s="1">
        <f ca="1">IFERROR(__xludf.DUMMYFUNCTION("COUNTA(SPLIT(F1555,"" ""))"),86)</f>
        <v>86</v>
      </c>
      <c r="H1555" s="1">
        <v>86</v>
      </c>
      <c r="I1555" s="1"/>
      <c r="J1555" s="1"/>
      <c r="K1555" s="1"/>
      <c r="L1555" s="1"/>
      <c r="M1555" s="1"/>
      <c r="N1555" s="1"/>
      <c r="O1555" s="1"/>
      <c r="P1555" s="1"/>
      <c r="Q1555" s="1"/>
      <c r="R1555" s="1"/>
      <c r="S1555" s="1"/>
      <c r="T1555" s="1"/>
    </row>
    <row r="1556" spans="1:20" ht="33.75" hidden="1" customHeight="1">
      <c r="A1556" s="1" t="s">
        <v>4365</v>
      </c>
      <c r="B1556" s="1" t="s">
        <v>4151</v>
      </c>
      <c r="C1556" s="4">
        <v>39900.843055555553</v>
      </c>
      <c r="D1556" s="1" t="s">
        <v>14</v>
      </c>
      <c r="E1556" s="1" t="s">
        <v>4366</v>
      </c>
      <c r="F1556" s="2" t="s">
        <v>4368</v>
      </c>
      <c r="G1556" s="1">
        <f ca="1">IFERROR(__xludf.DUMMYFUNCTION("COUNTA(SPLIT(F1556,"" ""))"),386)</f>
        <v>386</v>
      </c>
      <c r="H1556" s="1">
        <v>386</v>
      </c>
      <c r="I1556" s="1"/>
      <c r="J1556" s="1"/>
      <c r="K1556" s="1"/>
      <c r="L1556" s="1"/>
      <c r="M1556" s="1"/>
      <c r="N1556" s="1"/>
      <c r="O1556" s="1"/>
      <c r="P1556" s="1"/>
      <c r="Q1556" s="1"/>
      <c r="R1556" s="1"/>
      <c r="S1556" s="1"/>
      <c r="T1556" s="1"/>
    </row>
    <row r="1557" spans="1:20" ht="33.75" customHeight="1">
      <c r="A1557" s="1" t="s">
        <v>4369</v>
      </c>
      <c r="B1557" s="1" t="s">
        <v>4151</v>
      </c>
      <c r="C1557" s="4">
        <v>39900.865277777775</v>
      </c>
      <c r="D1557" s="1" t="s">
        <v>435</v>
      </c>
      <c r="E1557" s="1"/>
      <c r="F1557" s="2" t="s">
        <v>4371</v>
      </c>
      <c r="G1557" s="1">
        <f ca="1">IFERROR(__xludf.DUMMYFUNCTION("COUNTA(SPLIT(F1557,"" ""))"),265)</f>
        <v>265</v>
      </c>
      <c r="H1557" s="1">
        <v>265</v>
      </c>
      <c r="I1557" s="1"/>
      <c r="J1557" s="1"/>
      <c r="K1557" s="1"/>
      <c r="L1557" s="1"/>
      <c r="M1557" s="1"/>
      <c r="N1557" s="1"/>
      <c r="O1557" s="1"/>
      <c r="P1557" s="1"/>
      <c r="Q1557" s="1"/>
      <c r="R1557" s="1"/>
      <c r="S1557" s="1"/>
      <c r="T1557" s="1"/>
    </row>
    <row r="1558" spans="1:20" ht="33.75" customHeight="1">
      <c r="A1558" s="1" t="s">
        <v>4372</v>
      </c>
      <c r="B1558" s="1" t="s">
        <v>3929</v>
      </c>
      <c r="C1558" s="4">
        <v>39901.026388888888</v>
      </c>
      <c r="D1558" s="1" t="s">
        <v>772</v>
      </c>
      <c r="E1558" s="1"/>
      <c r="F1558" s="2" t="s">
        <v>4373</v>
      </c>
      <c r="G1558" s="1">
        <f ca="1">IFERROR(__xludf.DUMMYFUNCTION("COUNTA(SPLIT(F1558,"" ""))"),124)</f>
        <v>124</v>
      </c>
      <c r="H1558" s="1">
        <v>124</v>
      </c>
      <c r="I1558" s="1"/>
      <c r="J1558" s="1"/>
      <c r="K1558" s="1"/>
      <c r="L1558" s="1"/>
      <c r="M1558" s="1"/>
      <c r="N1558" s="1"/>
      <c r="O1558" s="1"/>
      <c r="P1558" s="1"/>
      <c r="Q1558" s="1"/>
      <c r="R1558" s="1"/>
      <c r="S1558" s="1"/>
      <c r="T1558" s="1"/>
    </row>
    <row r="1559" spans="1:20" ht="33.75" customHeight="1">
      <c r="A1559" s="1" t="s">
        <v>4374</v>
      </c>
      <c r="B1559" s="1" t="s">
        <v>4151</v>
      </c>
      <c r="C1559" s="4">
        <v>39901.029166666667</v>
      </c>
      <c r="D1559" s="1" t="s">
        <v>84</v>
      </c>
      <c r="E1559" s="1"/>
      <c r="F1559" s="2" t="s">
        <v>4376</v>
      </c>
      <c r="G1559" s="1">
        <f ca="1">IFERROR(__xludf.DUMMYFUNCTION("COUNTA(SPLIT(F1559,"" ""))"),166)</f>
        <v>166</v>
      </c>
      <c r="H1559" s="1">
        <v>166</v>
      </c>
      <c r="I1559" s="1"/>
      <c r="J1559" s="1"/>
      <c r="K1559" s="1"/>
      <c r="L1559" s="1"/>
      <c r="M1559" s="1"/>
      <c r="N1559" s="1"/>
      <c r="O1559" s="1"/>
      <c r="P1559" s="1"/>
      <c r="Q1559" s="1"/>
      <c r="R1559" s="1"/>
      <c r="S1559" s="1"/>
      <c r="T1559" s="1"/>
    </row>
    <row r="1560" spans="1:20" ht="33.75" customHeight="1">
      <c r="A1560" s="1" t="s">
        <v>4377</v>
      </c>
      <c r="B1560" s="1" t="s">
        <v>3800</v>
      </c>
      <c r="C1560" s="4">
        <v>39901.453472222223</v>
      </c>
      <c r="D1560" s="1" t="s">
        <v>772</v>
      </c>
      <c r="E1560" s="1"/>
      <c r="F1560" s="2" t="s">
        <v>4378</v>
      </c>
      <c r="G1560" s="1">
        <f ca="1">IFERROR(__xludf.DUMMYFUNCTION("COUNTA(SPLIT(F1560,"" ""))"),220)</f>
        <v>220</v>
      </c>
      <c r="H1560" s="1">
        <v>220</v>
      </c>
      <c r="I1560" s="1"/>
      <c r="J1560" s="1"/>
      <c r="K1560" s="1"/>
      <c r="L1560" s="1"/>
      <c r="M1560" s="1"/>
      <c r="N1560" s="1"/>
      <c r="O1560" s="1"/>
      <c r="P1560" s="1"/>
      <c r="Q1560" s="1"/>
      <c r="R1560" s="1"/>
      <c r="S1560" s="1"/>
      <c r="T1560" s="1"/>
    </row>
    <row r="1561" spans="1:20" ht="33.75" customHeight="1">
      <c r="A1561" s="1" t="s">
        <v>4379</v>
      </c>
      <c r="B1561" s="1" t="s">
        <v>3800</v>
      </c>
      <c r="C1561" s="4">
        <v>39901.598611111112</v>
      </c>
      <c r="D1561" s="1" t="s">
        <v>54</v>
      </c>
      <c r="E1561" s="1"/>
      <c r="F1561" s="2" t="s">
        <v>4381</v>
      </c>
      <c r="G1561" s="1">
        <f ca="1">IFERROR(__xludf.DUMMYFUNCTION("COUNTA(SPLIT(F1561,"" ""))"),205)</f>
        <v>205</v>
      </c>
      <c r="H1561" s="1">
        <v>205</v>
      </c>
      <c r="I1561" s="1"/>
      <c r="J1561" s="1"/>
      <c r="K1561" s="1"/>
      <c r="L1561" s="1"/>
      <c r="M1561" s="1"/>
      <c r="N1561" s="1"/>
      <c r="O1561" s="1"/>
      <c r="P1561" s="1"/>
      <c r="Q1561" s="1"/>
      <c r="R1561" s="1"/>
      <c r="S1561" s="1"/>
      <c r="T1561" s="1"/>
    </row>
    <row r="1562" spans="1:20" ht="33.75" customHeight="1">
      <c r="A1562" s="1" t="s">
        <v>4382</v>
      </c>
      <c r="B1562" s="1" t="s">
        <v>3800</v>
      </c>
      <c r="C1562" s="4">
        <v>39901.604166666664</v>
      </c>
      <c r="D1562" s="1" t="s">
        <v>54</v>
      </c>
      <c r="E1562" s="1"/>
      <c r="F1562" s="2" t="s">
        <v>4383</v>
      </c>
      <c r="G1562" s="1">
        <f ca="1">IFERROR(__xludf.DUMMYFUNCTION("COUNTA(SPLIT(F1562,"" ""))"),110)</f>
        <v>110</v>
      </c>
      <c r="H1562" s="1">
        <v>110</v>
      </c>
      <c r="I1562" s="1"/>
      <c r="J1562" s="1"/>
      <c r="K1562" s="1"/>
      <c r="L1562" s="1"/>
      <c r="M1562" s="1"/>
      <c r="N1562" s="1"/>
      <c r="O1562" s="1"/>
      <c r="P1562" s="1"/>
      <c r="Q1562" s="1"/>
      <c r="R1562" s="1"/>
      <c r="S1562" s="1"/>
      <c r="T1562" s="1"/>
    </row>
    <row r="1563" spans="1:20" ht="33.75" customHeight="1">
      <c r="A1563" s="1" t="s">
        <v>4384</v>
      </c>
      <c r="B1563" s="1" t="s">
        <v>3800</v>
      </c>
      <c r="C1563" s="4">
        <v>39901.661805555559</v>
      </c>
      <c r="D1563" s="1" t="s">
        <v>84</v>
      </c>
      <c r="E1563" s="1"/>
      <c r="F1563" s="2" t="s">
        <v>4386</v>
      </c>
      <c r="G1563" s="1">
        <f ca="1">IFERROR(__xludf.DUMMYFUNCTION("COUNTA(SPLIT(F1563,"" ""))"),70)</f>
        <v>70</v>
      </c>
      <c r="H1563" s="1">
        <v>70</v>
      </c>
      <c r="I1563" s="1"/>
      <c r="J1563" s="1"/>
      <c r="K1563" s="1"/>
      <c r="L1563" s="1"/>
      <c r="M1563" s="1"/>
      <c r="N1563" s="1"/>
      <c r="O1563" s="1"/>
      <c r="P1563" s="1"/>
      <c r="Q1563" s="1"/>
      <c r="R1563" s="1"/>
      <c r="S1563" s="1"/>
      <c r="T1563" s="1"/>
    </row>
    <row r="1564" spans="1:20" ht="33.75" customHeight="1">
      <c r="A1564" s="1" t="s">
        <v>4387</v>
      </c>
      <c r="B1564" s="1" t="s">
        <v>3800</v>
      </c>
      <c r="C1564" s="4">
        <v>39901.678472222222</v>
      </c>
      <c r="D1564" s="1" t="s">
        <v>772</v>
      </c>
      <c r="E1564" s="1"/>
      <c r="F1564" s="2" t="s">
        <v>4388</v>
      </c>
      <c r="G1564" s="1">
        <f ca="1">IFERROR(__xludf.DUMMYFUNCTION("COUNTA(SPLIT(F1564,"" ""))"),10)</f>
        <v>10</v>
      </c>
      <c r="H1564" s="1">
        <v>10</v>
      </c>
      <c r="I1564" s="1"/>
      <c r="J1564" s="1"/>
      <c r="K1564" s="1"/>
      <c r="L1564" s="1"/>
      <c r="M1564" s="1"/>
      <c r="N1564" s="1"/>
      <c r="O1564" s="1"/>
      <c r="P1564" s="1"/>
      <c r="Q1564" s="1"/>
      <c r="R1564" s="1"/>
      <c r="S1564" s="1"/>
      <c r="T1564" s="1"/>
    </row>
    <row r="1565" spans="1:20" ht="33.75" customHeight="1">
      <c r="A1565" s="1" t="s">
        <v>4389</v>
      </c>
      <c r="B1565" s="1" t="s">
        <v>3800</v>
      </c>
      <c r="C1565" s="4">
        <v>39901.686805555553</v>
      </c>
      <c r="D1565" s="1" t="s">
        <v>84</v>
      </c>
      <c r="E1565" s="1"/>
      <c r="F1565" s="2" t="s">
        <v>4391</v>
      </c>
      <c r="G1565" s="1">
        <f ca="1">IFERROR(__xludf.DUMMYFUNCTION("COUNTA(SPLIT(F1565,"" ""))"),112)</f>
        <v>112</v>
      </c>
      <c r="H1565" s="1">
        <v>112</v>
      </c>
      <c r="I1565" s="1"/>
      <c r="J1565" s="1"/>
      <c r="K1565" s="1"/>
      <c r="L1565" s="1"/>
      <c r="M1565" s="1"/>
      <c r="N1565" s="1"/>
      <c r="O1565" s="1"/>
      <c r="P1565" s="1"/>
      <c r="Q1565" s="1"/>
      <c r="R1565" s="1"/>
      <c r="S1565" s="1"/>
      <c r="T1565" s="1"/>
    </row>
    <row r="1566" spans="1:20" ht="33.75" customHeight="1">
      <c r="A1566" s="1" t="s">
        <v>4392</v>
      </c>
      <c r="B1566" s="1" t="s">
        <v>3800</v>
      </c>
      <c r="C1566" s="4">
        <v>39901.706944444442</v>
      </c>
      <c r="D1566" s="1" t="s">
        <v>772</v>
      </c>
      <c r="E1566" s="1"/>
      <c r="F1566" s="2" t="s">
        <v>4393</v>
      </c>
      <c r="G1566" s="1">
        <f ca="1">IFERROR(__xludf.DUMMYFUNCTION("COUNTA(SPLIT(F1566,"" ""))"),76)</f>
        <v>76</v>
      </c>
      <c r="H1566" s="1">
        <v>76</v>
      </c>
      <c r="I1566" s="1"/>
      <c r="J1566" s="1"/>
      <c r="K1566" s="1"/>
      <c r="L1566" s="1"/>
      <c r="M1566" s="1"/>
      <c r="N1566" s="1"/>
      <c r="O1566" s="1"/>
      <c r="P1566" s="1"/>
      <c r="Q1566" s="1"/>
      <c r="R1566" s="1"/>
      <c r="S1566" s="1"/>
      <c r="T1566" s="1"/>
    </row>
    <row r="1567" spans="1:20" ht="33.75" customHeight="1">
      <c r="A1567" s="1" t="s">
        <v>4394</v>
      </c>
      <c r="B1567" s="1" t="s">
        <v>3800</v>
      </c>
      <c r="C1567" s="4">
        <v>39901.750694444447</v>
      </c>
      <c r="D1567" s="1" t="s">
        <v>84</v>
      </c>
      <c r="E1567" s="1"/>
      <c r="F1567" s="2" t="s">
        <v>4395</v>
      </c>
      <c r="G1567" s="1">
        <f ca="1">IFERROR(__xludf.DUMMYFUNCTION("COUNTA(SPLIT(F1567,"" ""))"),23)</f>
        <v>23</v>
      </c>
      <c r="H1567" s="1">
        <v>23</v>
      </c>
      <c r="I1567" s="1"/>
      <c r="J1567" s="1"/>
      <c r="K1567" s="1"/>
      <c r="L1567" s="1"/>
      <c r="M1567" s="1"/>
      <c r="N1567" s="1"/>
      <c r="O1567" s="1"/>
      <c r="P1567" s="1"/>
      <c r="Q1567" s="1"/>
      <c r="R1567" s="1"/>
      <c r="S1567" s="1"/>
      <c r="T1567" s="1"/>
    </row>
    <row r="1568" spans="1:20" ht="33.75" customHeight="1">
      <c r="A1568" s="1" t="s">
        <v>4396</v>
      </c>
      <c r="B1568" s="1" t="s">
        <v>3800</v>
      </c>
      <c r="C1568" s="4">
        <v>39901.782638888886</v>
      </c>
      <c r="D1568" s="1" t="s">
        <v>772</v>
      </c>
      <c r="E1568" s="1"/>
      <c r="F1568" s="2" t="s">
        <v>4397</v>
      </c>
      <c r="G1568" s="1">
        <f ca="1">IFERROR(__xludf.DUMMYFUNCTION("COUNTA(SPLIT(F1568,"" ""))"),22)</f>
        <v>22</v>
      </c>
      <c r="H1568" s="1">
        <v>22</v>
      </c>
      <c r="I1568" s="1"/>
      <c r="J1568" s="1"/>
      <c r="K1568" s="1"/>
      <c r="L1568" s="1"/>
      <c r="M1568" s="1"/>
      <c r="N1568" s="1"/>
      <c r="O1568" s="1"/>
      <c r="P1568" s="1"/>
      <c r="Q1568" s="1"/>
      <c r="R1568" s="1"/>
      <c r="S1568" s="1"/>
      <c r="T1568" s="1"/>
    </row>
    <row r="1569" spans="1:20" ht="33.75" customHeight="1">
      <c r="A1569" s="1" t="s">
        <v>4398</v>
      </c>
      <c r="B1569" s="1" t="s">
        <v>3800</v>
      </c>
      <c r="C1569" s="4">
        <v>39901.825694444444</v>
      </c>
      <c r="D1569" s="1" t="s">
        <v>772</v>
      </c>
      <c r="E1569" s="1"/>
      <c r="F1569" s="2" t="s">
        <v>4399</v>
      </c>
      <c r="G1569" s="1">
        <f ca="1">IFERROR(__xludf.DUMMYFUNCTION("COUNTA(SPLIT(F1569,"" ""))"),55)</f>
        <v>55</v>
      </c>
      <c r="H1569" s="1">
        <v>55</v>
      </c>
      <c r="I1569" s="1"/>
      <c r="J1569" s="1"/>
      <c r="K1569" s="1"/>
      <c r="L1569" s="1"/>
      <c r="M1569" s="1"/>
      <c r="N1569" s="1"/>
      <c r="O1569" s="1"/>
      <c r="P1569" s="1"/>
      <c r="Q1569" s="1"/>
      <c r="R1569" s="1"/>
      <c r="S1569" s="1"/>
      <c r="T1569" s="1"/>
    </row>
    <row r="1570" spans="1:20" ht="33.75" hidden="1" customHeight="1">
      <c r="A1570" s="1" t="s">
        <v>4400</v>
      </c>
      <c r="B1570" s="1" t="s">
        <v>3800</v>
      </c>
      <c r="C1570" s="4">
        <v>39901.829861111109</v>
      </c>
      <c r="D1570" s="1" t="s">
        <v>772</v>
      </c>
      <c r="E1570" s="1">
        <v>1149</v>
      </c>
      <c r="F1570" s="2" t="s">
        <v>4401</v>
      </c>
      <c r="G1570" s="1">
        <f ca="1">IFERROR(__xludf.DUMMYFUNCTION("COUNTA(SPLIT(F1570,"" ""))"),99)</f>
        <v>99</v>
      </c>
      <c r="H1570" s="1">
        <v>99</v>
      </c>
      <c r="I1570" s="1"/>
      <c r="J1570" s="1"/>
      <c r="K1570" s="1"/>
      <c r="L1570" s="1"/>
      <c r="M1570" s="1"/>
      <c r="N1570" s="1"/>
      <c r="O1570" s="1"/>
      <c r="P1570" s="1"/>
      <c r="Q1570" s="1"/>
      <c r="R1570" s="1"/>
      <c r="S1570" s="1"/>
      <c r="T1570" s="1"/>
    </row>
    <row r="1571" spans="1:20" ht="33.75" customHeight="1">
      <c r="A1571" s="1" t="s">
        <v>4402</v>
      </c>
      <c r="B1571" s="1" t="s">
        <v>3800</v>
      </c>
      <c r="C1571" s="4">
        <v>39901.84375</v>
      </c>
      <c r="D1571" s="1" t="s">
        <v>772</v>
      </c>
      <c r="E1571" s="1"/>
      <c r="F1571" s="2" t="s">
        <v>4403</v>
      </c>
      <c r="G1571" s="1">
        <f ca="1">IFERROR(__xludf.DUMMYFUNCTION("COUNTA(SPLIT(F1571,"" ""))"),99)</f>
        <v>99</v>
      </c>
      <c r="H1571" s="1">
        <v>99</v>
      </c>
      <c r="I1571" s="1"/>
      <c r="J1571" s="1"/>
      <c r="K1571" s="1"/>
      <c r="L1571" s="1"/>
      <c r="M1571" s="1"/>
      <c r="N1571" s="1"/>
      <c r="O1571" s="1"/>
      <c r="P1571" s="1"/>
      <c r="Q1571" s="1"/>
      <c r="R1571" s="1"/>
      <c r="S1571" s="1"/>
      <c r="T1571" s="1"/>
    </row>
    <row r="1572" spans="1:20" ht="33.75" customHeight="1">
      <c r="A1572" s="1" t="s">
        <v>4404</v>
      </c>
      <c r="B1572" s="1" t="s">
        <v>3800</v>
      </c>
      <c r="C1572" s="4">
        <v>39901.847916666666</v>
      </c>
      <c r="D1572" s="1" t="s">
        <v>772</v>
      </c>
      <c r="E1572" s="1"/>
      <c r="F1572" s="2" t="s">
        <v>4405</v>
      </c>
      <c r="G1572" s="1">
        <f ca="1">IFERROR(__xludf.DUMMYFUNCTION("COUNTA(SPLIT(F1572,"" ""))"),94)</f>
        <v>94</v>
      </c>
      <c r="H1572" s="1">
        <v>94</v>
      </c>
      <c r="I1572" s="1"/>
      <c r="J1572" s="1"/>
      <c r="K1572" s="1"/>
      <c r="L1572" s="1"/>
      <c r="M1572" s="1"/>
      <c r="N1572" s="1"/>
      <c r="O1572" s="1"/>
      <c r="P1572" s="1"/>
      <c r="Q1572" s="1"/>
      <c r="R1572" s="1"/>
      <c r="S1572" s="1"/>
      <c r="T1572" s="1"/>
    </row>
    <row r="1573" spans="1:20" ht="33.75" customHeight="1">
      <c r="A1573" s="1" t="s">
        <v>4406</v>
      </c>
      <c r="B1573" s="1" t="s">
        <v>3800</v>
      </c>
      <c r="C1573" s="4">
        <v>39901.922222222223</v>
      </c>
      <c r="D1573" s="1" t="s">
        <v>772</v>
      </c>
      <c r="E1573" s="1"/>
      <c r="F1573" s="2" t="s">
        <v>4407</v>
      </c>
      <c r="G1573" s="1">
        <f ca="1">IFERROR(__xludf.DUMMYFUNCTION("COUNTA(SPLIT(F1573,"" ""))"),53)</f>
        <v>53</v>
      </c>
      <c r="H1573" s="1">
        <v>53</v>
      </c>
      <c r="I1573" s="1"/>
      <c r="J1573" s="1"/>
      <c r="K1573" s="1"/>
      <c r="L1573" s="1"/>
      <c r="M1573" s="1"/>
      <c r="N1573" s="1"/>
      <c r="O1573" s="1"/>
      <c r="P1573" s="1"/>
      <c r="Q1573" s="1"/>
      <c r="R1573" s="1"/>
      <c r="S1573" s="1"/>
      <c r="T1573" s="1"/>
    </row>
    <row r="1574" spans="1:20" ht="33.75" customHeight="1">
      <c r="A1574" s="1" t="s">
        <v>4408</v>
      </c>
      <c r="B1574" s="1" t="s">
        <v>3800</v>
      </c>
      <c r="C1574" s="4">
        <v>39901.923611111109</v>
      </c>
      <c r="D1574" s="1" t="s">
        <v>772</v>
      </c>
      <c r="E1574" s="1"/>
      <c r="F1574" s="2" t="s">
        <v>4409</v>
      </c>
      <c r="G1574" s="1">
        <f ca="1">IFERROR(__xludf.DUMMYFUNCTION("COUNTA(SPLIT(F1574,"" ""))"),14)</f>
        <v>14</v>
      </c>
      <c r="H1574" s="1">
        <v>14</v>
      </c>
      <c r="I1574" s="1"/>
      <c r="J1574" s="1"/>
      <c r="K1574" s="1"/>
      <c r="L1574" s="1"/>
      <c r="M1574" s="1"/>
      <c r="N1574" s="1"/>
      <c r="O1574" s="1"/>
      <c r="P1574" s="1"/>
      <c r="Q1574" s="1"/>
      <c r="R1574" s="1"/>
      <c r="S1574" s="1"/>
      <c r="T1574" s="1"/>
    </row>
    <row r="1575" spans="1:20" ht="33.75" customHeight="1">
      <c r="A1575" s="1" t="s">
        <v>4410</v>
      </c>
      <c r="B1575" s="1" t="s">
        <v>3800</v>
      </c>
      <c r="C1575" s="4">
        <v>39901.943749999999</v>
      </c>
      <c r="D1575" s="1" t="s">
        <v>1887</v>
      </c>
      <c r="E1575" s="1"/>
      <c r="F1575" s="2" t="s">
        <v>4412</v>
      </c>
      <c r="G1575" s="1">
        <f ca="1">IFERROR(__xludf.DUMMYFUNCTION("COUNTA(SPLIT(F1575,"" ""))"),60)</f>
        <v>60</v>
      </c>
      <c r="H1575" s="1">
        <v>60</v>
      </c>
      <c r="I1575" s="1"/>
      <c r="J1575" s="1"/>
      <c r="K1575" s="1"/>
      <c r="L1575" s="1"/>
      <c r="M1575" s="1"/>
      <c r="N1575" s="1"/>
      <c r="O1575" s="1"/>
      <c r="P1575" s="1"/>
      <c r="Q1575" s="1"/>
      <c r="R1575" s="1"/>
      <c r="S1575" s="1"/>
      <c r="T1575" s="1"/>
    </row>
    <row r="1576" spans="1:20" ht="33.75" customHeight="1">
      <c r="A1576" s="1" t="s">
        <v>4413</v>
      </c>
      <c r="B1576" s="1" t="s">
        <v>3800</v>
      </c>
      <c r="C1576" s="4">
        <v>39902.043749999997</v>
      </c>
      <c r="D1576" s="1" t="s">
        <v>1887</v>
      </c>
      <c r="E1576" s="1"/>
      <c r="F1576" s="2" t="s">
        <v>4414</v>
      </c>
      <c r="G1576" s="1">
        <f ca="1">IFERROR(__xludf.DUMMYFUNCTION("COUNTA(SPLIT(F1576,"" ""))"),50)</f>
        <v>50</v>
      </c>
      <c r="H1576" s="1">
        <v>50</v>
      </c>
      <c r="I1576" s="1"/>
      <c r="J1576" s="1"/>
      <c r="K1576" s="1"/>
      <c r="L1576" s="1"/>
      <c r="M1576" s="1"/>
      <c r="N1576" s="1"/>
      <c r="O1576" s="1"/>
      <c r="P1576" s="1"/>
      <c r="Q1576" s="1"/>
      <c r="R1576" s="1"/>
      <c r="S1576" s="1"/>
      <c r="T1576" s="1"/>
    </row>
    <row r="1577" spans="1:20" ht="33.75" hidden="1" customHeight="1">
      <c r="A1577" s="1" t="s">
        <v>4415</v>
      </c>
      <c r="B1577" s="1" t="s">
        <v>3800</v>
      </c>
      <c r="C1577" s="4">
        <v>39902.167361111111</v>
      </c>
      <c r="D1577" s="1" t="s">
        <v>4416</v>
      </c>
      <c r="E1577" s="1" t="s">
        <v>4413</v>
      </c>
      <c r="F1577" s="2" t="s">
        <v>4417</v>
      </c>
      <c r="G1577" s="1">
        <f ca="1">IFERROR(__xludf.DUMMYFUNCTION("COUNTA(SPLIT(F1577,"" ""))"),76)</f>
        <v>76</v>
      </c>
      <c r="H1577" s="1">
        <v>76</v>
      </c>
      <c r="I1577" s="1"/>
      <c r="J1577" s="1"/>
      <c r="K1577" s="1"/>
      <c r="L1577" s="1"/>
      <c r="M1577" s="1"/>
      <c r="N1577" s="1"/>
      <c r="O1577" s="1"/>
      <c r="P1577" s="1"/>
      <c r="Q1577" s="1"/>
      <c r="R1577" s="1"/>
      <c r="S1577" s="1"/>
      <c r="T1577" s="1"/>
    </row>
    <row r="1578" spans="1:20" ht="33.75" customHeight="1">
      <c r="A1578" s="1" t="s">
        <v>4418</v>
      </c>
      <c r="B1578" s="1" t="s">
        <v>3800</v>
      </c>
      <c r="C1578" s="4">
        <v>39902.182638888888</v>
      </c>
      <c r="D1578" s="1" t="s">
        <v>54</v>
      </c>
      <c r="E1578" s="1"/>
      <c r="F1578" s="2" t="s">
        <v>4419</v>
      </c>
      <c r="G1578" s="1">
        <f ca="1">IFERROR(__xludf.DUMMYFUNCTION("COUNTA(SPLIT(F1578,"" ""))"),125)</f>
        <v>125</v>
      </c>
      <c r="H1578" s="1">
        <v>125</v>
      </c>
      <c r="I1578" s="1"/>
      <c r="J1578" s="1"/>
      <c r="K1578" s="1"/>
      <c r="L1578" s="1"/>
      <c r="M1578" s="1"/>
      <c r="N1578" s="1"/>
      <c r="O1578" s="1"/>
      <c r="P1578" s="1"/>
      <c r="Q1578" s="1"/>
      <c r="R1578" s="1"/>
      <c r="S1578" s="1"/>
      <c r="T1578" s="1"/>
    </row>
    <row r="1579" spans="1:20" ht="33.75" customHeight="1">
      <c r="A1579" s="1" t="s">
        <v>4420</v>
      </c>
      <c r="B1579" s="1" t="s">
        <v>3800</v>
      </c>
      <c r="C1579" s="4">
        <v>39902.24722222222</v>
      </c>
      <c r="D1579" s="1" t="s">
        <v>1089</v>
      </c>
      <c r="E1579" s="1"/>
      <c r="F1579" s="2" t="s">
        <v>4421</v>
      </c>
      <c r="G1579" s="1">
        <f ca="1">IFERROR(__xludf.DUMMYFUNCTION("COUNTA(SPLIT(F1579,"" ""))"),111)</f>
        <v>111</v>
      </c>
      <c r="H1579" s="1">
        <v>111</v>
      </c>
      <c r="I1579" s="1"/>
      <c r="J1579" s="1"/>
      <c r="K1579" s="1"/>
      <c r="L1579" s="1"/>
      <c r="M1579" s="1"/>
      <c r="N1579" s="1"/>
      <c r="O1579" s="1"/>
      <c r="P1579" s="1"/>
      <c r="Q1579" s="1"/>
      <c r="R1579" s="1"/>
      <c r="S1579" s="1"/>
      <c r="T1579" s="1"/>
    </row>
    <row r="1580" spans="1:20" ht="33.75" customHeight="1">
      <c r="A1580" s="1" t="s">
        <v>4422</v>
      </c>
      <c r="B1580" s="1" t="s">
        <v>3800</v>
      </c>
      <c r="C1580" s="4">
        <v>39902.309027777781</v>
      </c>
      <c r="D1580" s="1" t="s">
        <v>1089</v>
      </c>
      <c r="E1580" s="1"/>
      <c r="F1580" s="2" t="s">
        <v>4423</v>
      </c>
      <c r="G1580" s="1">
        <f ca="1">IFERROR(__xludf.DUMMYFUNCTION("COUNTA(SPLIT(F1580,"" ""))"),74)</f>
        <v>74</v>
      </c>
      <c r="H1580" s="1">
        <v>74</v>
      </c>
      <c r="I1580" s="1"/>
      <c r="J1580" s="1"/>
      <c r="K1580" s="1"/>
      <c r="L1580" s="1"/>
      <c r="M1580" s="1"/>
      <c r="N1580" s="1"/>
      <c r="O1580" s="1"/>
      <c r="P1580" s="1"/>
      <c r="Q1580" s="1"/>
      <c r="R1580" s="1"/>
      <c r="S1580" s="1"/>
      <c r="T1580" s="1"/>
    </row>
    <row r="1581" spans="1:20" ht="33.75" customHeight="1">
      <c r="A1581" s="1" t="s">
        <v>4424</v>
      </c>
      <c r="B1581" s="1" t="s">
        <v>3800</v>
      </c>
      <c r="C1581" s="4">
        <v>39902.450694444444</v>
      </c>
      <c r="D1581" s="1" t="s">
        <v>772</v>
      </c>
      <c r="E1581" s="1"/>
      <c r="F1581" s="2" t="s">
        <v>4426</v>
      </c>
      <c r="G1581" s="1">
        <f ca="1">IFERROR(__xludf.DUMMYFUNCTION("COUNTA(SPLIT(F1581,"" ""))"),116)</f>
        <v>116</v>
      </c>
      <c r="H1581" s="1">
        <v>116</v>
      </c>
      <c r="I1581" s="1"/>
      <c r="J1581" s="1"/>
      <c r="K1581" s="1"/>
      <c r="L1581" s="1"/>
      <c r="M1581" s="1"/>
      <c r="N1581" s="1"/>
      <c r="O1581" s="1"/>
      <c r="P1581" s="1"/>
      <c r="Q1581" s="1"/>
      <c r="R1581" s="1"/>
      <c r="S1581" s="1"/>
      <c r="T1581" s="1"/>
    </row>
    <row r="1582" spans="1:20" ht="33.75" customHeight="1">
      <c r="A1582" s="1" t="s">
        <v>4427</v>
      </c>
      <c r="B1582" s="1" t="s">
        <v>3800</v>
      </c>
      <c r="C1582" s="4">
        <v>39902.454861111109</v>
      </c>
      <c r="D1582" s="1" t="s">
        <v>772</v>
      </c>
      <c r="E1582" s="1"/>
      <c r="F1582" s="2" t="s">
        <v>4428</v>
      </c>
      <c r="G1582" s="1">
        <f ca="1">IFERROR(__xludf.DUMMYFUNCTION("COUNTA(SPLIT(F1582,"" ""))"),148)</f>
        <v>148</v>
      </c>
      <c r="H1582" s="1">
        <v>148</v>
      </c>
      <c r="I1582" s="1"/>
      <c r="J1582" s="1"/>
      <c r="K1582" s="1"/>
      <c r="L1582" s="1"/>
      <c r="M1582" s="1"/>
      <c r="N1582" s="1"/>
      <c r="O1582" s="1"/>
      <c r="P1582" s="1"/>
      <c r="Q1582" s="1"/>
      <c r="R1582" s="1"/>
      <c r="S1582" s="1"/>
      <c r="T1582" s="1"/>
    </row>
    <row r="1583" spans="1:20" ht="33.75" customHeight="1">
      <c r="A1583" s="1" t="s">
        <v>4429</v>
      </c>
      <c r="B1583" s="1" t="s">
        <v>3800</v>
      </c>
      <c r="C1583" s="4">
        <v>39902.457638888889</v>
      </c>
      <c r="D1583" s="1" t="s">
        <v>772</v>
      </c>
      <c r="E1583" s="1"/>
      <c r="F1583" s="2" t="s">
        <v>4431</v>
      </c>
      <c r="G1583" s="1">
        <f ca="1">IFERROR(__xludf.DUMMYFUNCTION("COUNTA(SPLIT(F1583,"" ""))"),152)</f>
        <v>152</v>
      </c>
      <c r="H1583" s="1">
        <v>152</v>
      </c>
      <c r="I1583" s="1"/>
      <c r="J1583" s="1"/>
      <c r="K1583" s="1"/>
      <c r="L1583" s="1"/>
      <c r="M1583" s="1"/>
      <c r="N1583" s="1"/>
      <c r="O1583" s="1"/>
      <c r="P1583" s="1"/>
      <c r="Q1583" s="1"/>
      <c r="R1583" s="1"/>
      <c r="S1583" s="1"/>
      <c r="T1583" s="1"/>
    </row>
    <row r="1584" spans="1:20" ht="33.75" customHeight="1">
      <c r="A1584" s="1" t="s">
        <v>4432</v>
      </c>
      <c r="B1584" s="1" t="s">
        <v>3800</v>
      </c>
      <c r="C1584" s="4">
        <v>39902.461111111108</v>
      </c>
      <c r="D1584" s="1" t="s">
        <v>772</v>
      </c>
      <c r="E1584" s="1"/>
      <c r="F1584" s="2" t="s">
        <v>4433</v>
      </c>
      <c r="G1584" s="1">
        <f ca="1">IFERROR(__xludf.DUMMYFUNCTION("COUNTA(SPLIT(F1584,"" ""))"),129)</f>
        <v>129</v>
      </c>
      <c r="H1584" s="1">
        <v>129</v>
      </c>
      <c r="I1584" s="1"/>
      <c r="J1584" s="1"/>
      <c r="K1584" s="1"/>
      <c r="L1584" s="1"/>
      <c r="M1584" s="1"/>
      <c r="N1584" s="1"/>
      <c r="O1584" s="1"/>
      <c r="P1584" s="1"/>
      <c r="Q1584" s="1"/>
      <c r="R1584" s="1"/>
      <c r="S1584" s="1"/>
      <c r="T1584" s="1"/>
    </row>
    <row r="1585" spans="1:20" ht="33.75" customHeight="1">
      <c r="A1585" s="1" t="s">
        <v>4434</v>
      </c>
      <c r="B1585" s="1" t="s">
        <v>3800</v>
      </c>
      <c r="C1585" s="4">
        <v>39902.465277777781</v>
      </c>
      <c r="D1585" s="1" t="s">
        <v>772</v>
      </c>
      <c r="E1585" s="1"/>
      <c r="F1585" s="2" t="s">
        <v>4435</v>
      </c>
      <c r="G1585" s="1">
        <f ca="1">IFERROR(__xludf.DUMMYFUNCTION("COUNTA(SPLIT(F1585,"" ""))"),125)</f>
        <v>125</v>
      </c>
      <c r="H1585" s="1">
        <v>125</v>
      </c>
      <c r="I1585" s="1"/>
      <c r="J1585" s="1"/>
      <c r="K1585" s="1"/>
      <c r="L1585" s="1"/>
      <c r="M1585" s="1"/>
      <c r="N1585" s="1"/>
      <c r="O1585" s="1"/>
      <c r="P1585" s="1"/>
      <c r="Q1585" s="1"/>
      <c r="R1585" s="1"/>
      <c r="S1585" s="1"/>
      <c r="T1585" s="1"/>
    </row>
    <row r="1586" spans="1:20" ht="33.75" customHeight="1">
      <c r="A1586" s="1" t="s">
        <v>4436</v>
      </c>
      <c r="B1586" s="1" t="s">
        <v>3800</v>
      </c>
      <c r="C1586" s="4">
        <v>39902.470833333333</v>
      </c>
      <c r="D1586" s="1" t="s">
        <v>1887</v>
      </c>
      <c r="E1586" s="1"/>
      <c r="F1586" s="2" t="s">
        <v>4437</v>
      </c>
      <c r="G1586" s="1">
        <f ca="1">IFERROR(__xludf.DUMMYFUNCTION("COUNTA(SPLIT(F1586,"" ""))"),54)</f>
        <v>54</v>
      </c>
      <c r="H1586" s="1">
        <v>54</v>
      </c>
      <c r="I1586" s="1"/>
      <c r="J1586" s="1"/>
      <c r="K1586" s="1"/>
      <c r="L1586" s="1"/>
      <c r="M1586" s="1"/>
      <c r="N1586" s="1"/>
      <c r="O1586" s="1"/>
      <c r="P1586" s="1"/>
      <c r="Q1586" s="1"/>
      <c r="R1586" s="1"/>
      <c r="S1586" s="1"/>
      <c r="T1586" s="1"/>
    </row>
    <row r="1587" spans="1:20" ht="33.75" customHeight="1">
      <c r="A1587" s="1" t="s">
        <v>4438</v>
      </c>
      <c r="B1587" s="1" t="s">
        <v>3800</v>
      </c>
      <c r="C1587" s="4">
        <v>39902.476388888892</v>
      </c>
      <c r="D1587" s="1" t="s">
        <v>772</v>
      </c>
      <c r="E1587" s="1"/>
      <c r="F1587" s="2" t="s">
        <v>4439</v>
      </c>
      <c r="G1587" s="1">
        <f ca="1">IFERROR(__xludf.DUMMYFUNCTION("COUNTA(SPLIT(F1587,"" ""))"),167)</f>
        <v>167</v>
      </c>
      <c r="H1587" s="1">
        <v>167</v>
      </c>
      <c r="I1587" s="1"/>
      <c r="J1587" s="1"/>
      <c r="K1587" s="1"/>
      <c r="L1587" s="1"/>
      <c r="M1587" s="1"/>
      <c r="N1587" s="1"/>
      <c r="O1587" s="1"/>
      <c r="P1587" s="1"/>
      <c r="Q1587" s="1"/>
      <c r="R1587" s="1"/>
      <c r="S1587" s="1"/>
      <c r="T1587" s="1"/>
    </row>
    <row r="1588" spans="1:20" ht="33.75" customHeight="1">
      <c r="A1588" s="1" t="s">
        <v>4440</v>
      </c>
      <c r="B1588" s="1" t="s">
        <v>3800</v>
      </c>
      <c r="C1588" s="4">
        <v>39902.515277777777</v>
      </c>
      <c r="D1588" s="1" t="s">
        <v>772</v>
      </c>
      <c r="E1588" s="1"/>
      <c r="F1588" s="2" t="s">
        <v>4442</v>
      </c>
      <c r="G1588" s="1">
        <f ca="1">IFERROR(__xludf.DUMMYFUNCTION("COUNTA(SPLIT(F1588,"" ""))"),116)</f>
        <v>116</v>
      </c>
      <c r="H1588" s="1">
        <v>116</v>
      </c>
      <c r="I1588" s="1"/>
      <c r="J1588" s="1"/>
      <c r="K1588" s="1"/>
      <c r="L1588" s="1"/>
      <c r="M1588" s="1"/>
      <c r="N1588" s="1"/>
      <c r="O1588" s="1"/>
      <c r="P1588" s="1"/>
      <c r="Q1588" s="1"/>
      <c r="R1588" s="1"/>
      <c r="S1588" s="1"/>
      <c r="T1588" s="1"/>
    </row>
    <row r="1589" spans="1:20" ht="33.75" hidden="1" customHeight="1">
      <c r="A1589" s="1" t="s">
        <v>4443</v>
      </c>
      <c r="B1589" s="1" t="s">
        <v>3800</v>
      </c>
      <c r="C1589" s="4">
        <v>39902.520138888889</v>
      </c>
      <c r="D1589" s="1" t="s">
        <v>772</v>
      </c>
      <c r="E1589" s="1" t="s">
        <v>4440</v>
      </c>
      <c r="F1589" s="2" t="s">
        <v>4444</v>
      </c>
      <c r="G1589" s="1">
        <f ca="1">IFERROR(__xludf.DUMMYFUNCTION("COUNTA(SPLIT(F1589,"" ""))"),57)</f>
        <v>57</v>
      </c>
      <c r="H1589" s="1">
        <v>57</v>
      </c>
      <c r="I1589" s="1"/>
      <c r="J1589" s="1"/>
      <c r="K1589" s="1"/>
      <c r="L1589" s="1"/>
      <c r="M1589" s="1"/>
      <c r="N1589" s="1"/>
      <c r="O1589" s="1"/>
      <c r="P1589" s="1"/>
      <c r="Q1589" s="1"/>
      <c r="R1589" s="1"/>
      <c r="S1589" s="1"/>
      <c r="T1589" s="1"/>
    </row>
    <row r="1590" spans="1:20" ht="33.75" customHeight="1">
      <c r="A1590" s="1" t="s">
        <v>4445</v>
      </c>
      <c r="B1590" s="1" t="s">
        <v>3800</v>
      </c>
      <c r="C1590" s="4">
        <v>39902.526388888888</v>
      </c>
      <c r="D1590" s="1" t="s">
        <v>1887</v>
      </c>
      <c r="E1590" s="1"/>
      <c r="F1590" s="2" t="s">
        <v>4446</v>
      </c>
      <c r="G1590" s="1">
        <f ca="1">IFERROR(__xludf.DUMMYFUNCTION("COUNTA(SPLIT(F1590,"" ""))"),59)</f>
        <v>59</v>
      </c>
      <c r="H1590" s="1">
        <v>59</v>
      </c>
      <c r="I1590" s="1"/>
      <c r="J1590" s="1"/>
      <c r="K1590" s="1"/>
      <c r="L1590" s="1"/>
      <c r="M1590" s="1"/>
      <c r="N1590" s="1"/>
      <c r="O1590" s="1"/>
      <c r="P1590" s="1"/>
      <c r="Q1590" s="1"/>
      <c r="R1590" s="1"/>
      <c r="S1590" s="1"/>
      <c r="T1590" s="1"/>
    </row>
    <row r="1591" spans="1:20" ht="33.75" customHeight="1">
      <c r="A1591" s="1" t="s">
        <v>4447</v>
      </c>
      <c r="B1591" s="1" t="s">
        <v>3929</v>
      </c>
      <c r="C1591" s="4">
        <v>39902.52847222222</v>
      </c>
      <c r="D1591" s="1" t="s">
        <v>314</v>
      </c>
      <c r="E1591" s="1"/>
      <c r="F1591" s="2" t="s">
        <v>4448</v>
      </c>
      <c r="G1591" s="1">
        <f ca="1">IFERROR(__xludf.DUMMYFUNCTION("COUNTA(SPLIT(F1591,"" ""))"),206)</f>
        <v>206</v>
      </c>
      <c r="H1591" s="1">
        <v>206</v>
      </c>
      <c r="I1591" s="1"/>
      <c r="J1591" s="1"/>
      <c r="K1591" s="1"/>
      <c r="L1591" s="1"/>
      <c r="M1591" s="1"/>
      <c r="N1591" s="1"/>
      <c r="O1591" s="1"/>
      <c r="P1591" s="1"/>
      <c r="Q1591" s="1"/>
      <c r="R1591" s="1"/>
      <c r="S1591" s="1"/>
      <c r="T1591" s="1"/>
    </row>
    <row r="1592" spans="1:20" ht="33.75" customHeight="1">
      <c r="A1592" s="1" t="s">
        <v>4449</v>
      </c>
      <c r="B1592" s="1" t="s">
        <v>3800</v>
      </c>
      <c r="C1592" s="4">
        <v>39902.548611111109</v>
      </c>
      <c r="D1592" s="1" t="s">
        <v>772</v>
      </c>
      <c r="E1592" s="1"/>
      <c r="F1592" s="2" t="s">
        <v>4450</v>
      </c>
      <c r="G1592" s="1">
        <f ca="1">IFERROR(__xludf.DUMMYFUNCTION("COUNTA(SPLIT(F1592,"" ""))"),64)</f>
        <v>64</v>
      </c>
      <c r="H1592" s="1">
        <v>64</v>
      </c>
      <c r="I1592" s="1"/>
      <c r="J1592" s="1"/>
      <c r="K1592" s="1"/>
      <c r="L1592" s="1"/>
      <c r="M1592" s="1"/>
      <c r="N1592" s="1"/>
      <c r="O1592" s="1"/>
      <c r="P1592" s="1"/>
      <c r="Q1592" s="1"/>
      <c r="R1592" s="1"/>
      <c r="S1592" s="1"/>
      <c r="T1592" s="1"/>
    </row>
    <row r="1593" spans="1:20" ht="33.75" customHeight="1">
      <c r="A1593" s="1" t="s">
        <v>4451</v>
      </c>
      <c r="B1593" s="1" t="s">
        <v>3800</v>
      </c>
      <c r="C1593" s="4">
        <v>39902.550000000003</v>
      </c>
      <c r="D1593" s="1" t="s">
        <v>772</v>
      </c>
      <c r="E1593" s="1"/>
      <c r="F1593" s="2" t="s">
        <v>4452</v>
      </c>
      <c r="G1593" s="1">
        <f ca="1">IFERROR(__xludf.DUMMYFUNCTION("COUNTA(SPLIT(F1593,"" ""))"),62)</f>
        <v>62</v>
      </c>
      <c r="H1593" s="1">
        <v>62</v>
      </c>
      <c r="I1593" s="1"/>
      <c r="J1593" s="1"/>
      <c r="K1593" s="1"/>
      <c r="L1593" s="1"/>
      <c r="M1593" s="1"/>
      <c r="N1593" s="1"/>
      <c r="O1593" s="1"/>
      <c r="P1593" s="1"/>
      <c r="Q1593" s="1"/>
      <c r="R1593" s="1"/>
      <c r="S1593" s="1"/>
      <c r="T1593" s="1"/>
    </row>
    <row r="1594" spans="1:20" ht="33.75" customHeight="1">
      <c r="A1594" s="1" t="s">
        <v>4453</v>
      </c>
      <c r="B1594" s="1" t="s">
        <v>3800</v>
      </c>
      <c r="C1594" s="4">
        <v>39902.5625</v>
      </c>
      <c r="D1594" s="1" t="s">
        <v>772</v>
      </c>
      <c r="E1594" s="1"/>
      <c r="F1594" s="2" t="s">
        <v>4455</v>
      </c>
      <c r="G1594" s="1">
        <f ca="1">IFERROR(__xludf.DUMMYFUNCTION("COUNTA(SPLIT(F1594,"" ""))"),92)</f>
        <v>92</v>
      </c>
      <c r="H1594" s="1">
        <v>92</v>
      </c>
      <c r="I1594" s="1"/>
      <c r="J1594" s="1"/>
      <c r="K1594" s="1"/>
      <c r="L1594" s="1"/>
      <c r="M1594" s="1"/>
      <c r="N1594" s="1"/>
      <c r="O1594" s="1"/>
      <c r="P1594" s="1"/>
      <c r="Q1594" s="1"/>
      <c r="R1594" s="1"/>
      <c r="S1594" s="1"/>
      <c r="T1594" s="1"/>
    </row>
    <row r="1595" spans="1:20" ht="33.75" customHeight="1">
      <c r="A1595" s="1" t="s">
        <v>4456</v>
      </c>
      <c r="B1595" s="1" t="s">
        <v>3800</v>
      </c>
      <c r="C1595" s="4">
        <v>39902.640972222223</v>
      </c>
      <c r="D1595" s="1" t="s">
        <v>54</v>
      </c>
      <c r="E1595" s="1"/>
      <c r="F1595" s="2" t="s">
        <v>4458</v>
      </c>
      <c r="G1595" s="1">
        <f ca="1">IFERROR(__xludf.DUMMYFUNCTION("COUNTA(SPLIT(F1595,"" ""))"),21)</f>
        <v>21</v>
      </c>
      <c r="H1595" s="1">
        <v>21</v>
      </c>
      <c r="I1595" s="1"/>
      <c r="J1595" s="1"/>
      <c r="K1595" s="1"/>
      <c r="L1595" s="1"/>
      <c r="M1595" s="1"/>
      <c r="N1595" s="1"/>
      <c r="O1595" s="1"/>
      <c r="P1595" s="1"/>
      <c r="Q1595" s="1"/>
      <c r="R1595" s="1"/>
      <c r="S1595" s="1"/>
      <c r="T1595" s="1"/>
    </row>
    <row r="1596" spans="1:20" ht="33.75" customHeight="1">
      <c r="A1596" s="1" t="s">
        <v>4459</v>
      </c>
      <c r="B1596" s="1" t="s">
        <v>4460</v>
      </c>
      <c r="C1596" s="4">
        <v>39902.65</v>
      </c>
      <c r="D1596" s="1" t="s">
        <v>772</v>
      </c>
      <c r="E1596" s="1"/>
      <c r="F1596" s="2" t="s">
        <v>4462</v>
      </c>
      <c r="G1596" s="1">
        <f ca="1">IFERROR(__xludf.DUMMYFUNCTION("COUNTA(SPLIT(F1596,"" ""))"),31)</f>
        <v>31</v>
      </c>
      <c r="H1596" s="1">
        <v>31</v>
      </c>
      <c r="I1596" s="1"/>
      <c r="J1596" s="1"/>
      <c r="K1596" s="1"/>
      <c r="L1596" s="1"/>
      <c r="M1596" s="1"/>
      <c r="N1596" s="1"/>
      <c r="O1596" s="1"/>
      <c r="P1596" s="1"/>
      <c r="Q1596" s="1"/>
      <c r="R1596" s="1"/>
      <c r="S1596" s="1"/>
      <c r="T1596" s="1"/>
    </row>
    <row r="1597" spans="1:20" ht="33.75" customHeight="1">
      <c r="A1597" s="1" t="s">
        <v>4463</v>
      </c>
      <c r="B1597" s="1" t="s">
        <v>3929</v>
      </c>
      <c r="C1597" s="4">
        <v>39902.654861111114</v>
      </c>
      <c r="D1597" s="1" t="s">
        <v>196</v>
      </c>
      <c r="E1597" s="1"/>
      <c r="F1597" s="2" t="s">
        <v>4465</v>
      </c>
      <c r="G1597" s="1">
        <f ca="1">IFERROR(__xludf.DUMMYFUNCTION("COUNTA(SPLIT(F1597,"" ""))"),117)</f>
        <v>117</v>
      </c>
      <c r="H1597" s="1">
        <v>117</v>
      </c>
      <c r="I1597" s="1"/>
      <c r="J1597" s="1"/>
      <c r="K1597" s="1"/>
      <c r="L1597" s="1"/>
      <c r="M1597" s="1"/>
      <c r="N1597" s="1"/>
      <c r="O1597" s="1"/>
      <c r="P1597" s="1"/>
      <c r="Q1597" s="1"/>
      <c r="R1597" s="1"/>
      <c r="S1597" s="1"/>
      <c r="T1597" s="1"/>
    </row>
    <row r="1598" spans="1:20" ht="33.75" customHeight="1">
      <c r="A1598" s="1" t="s">
        <v>4466</v>
      </c>
      <c r="B1598" s="1" t="s">
        <v>3929</v>
      </c>
      <c r="C1598" s="4">
        <v>39902.844444444447</v>
      </c>
      <c r="D1598" s="1" t="s">
        <v>255</v>
      </c>
      <c r="E1598" s="1"/>
      <c r="F1598" s="2" t="s">
        <v>4467</v>
      </c>
      <c r="G1598" s="1">
        <f ca="1">IFERROR(__xludf.DUMMYFUNCTION("COUNTA(SPLIT(F1598,"" ""))"),135)</f>
        <v>135</v>
      </c>
      <c r="H1598" s="1">
        <v>135</v>
      </c>
      <c r="I1598" s="1"/>
      <c r="J1598" s="1"/>
      <c r="K1598" s="1"/>
      <c r="L1598" s="1"/>
      <c r="M1598" s="1"/>
      <c r="N1598" s="1"/>
      <c r="O1598" s="1"/>
      <c r="P1598" s="1"/>
      <c r="Q1598" s="1"/>
      <c r="R1598" s="1"/>
      <c r="S1598" s="1"/>
      <c r="T1598" s="1"/>
    </row>
    <row r="1599" spans="1:20" ht="33.75" customHeight="1">
      <c r="A1599" s="1" t="s">
        <v>4468</v>
      </c>
      <c r="B1599" s="1" t="s">
        <v>4460</v>
      </c>
      <c r="C1599" s="4">
        <v>39902.847222222219</v>
      </c>
      <c r="D1599" s="1" t="s">
        <v>1089</v>
      </c>
      <c r="E1599" s="1"/>
      <c r="F1599" s="2" t="s">
        <v>4469</v>
      </c>
      <c r="G1599" s="1">
        <f ca="1">IFERROR(__xludf.DUMMYFUNCTION("COUNTA(SPLIT(F1599,"" ""))"),36)</f>
        <v>36</v>
      </c>
      <c r="H1599" s="1">
        <v>36</v>
      </c>
      <c r="I1599" s="1"/>
      <c r="J1599" s="1"/>
      <c r="K1599" s="1"/>
      <c r="L1599" s="1"/>
      <c r="M1599" s="1"/>
      <c r="N1599" s="1"/>
      <c r="O1599" s="1"/>
      <c r="P1599" s="1"/>
      <c r="Q1599" s="1"/>
      <c r="R1599" s="1"/>
      <c r="S1599" s="1"/>
      <c r="T1599" s="1"/>
    </row>
    <row r="1600" spans="1:20" ht="33.75" hidden="1" customHeight="1">
      <c r="A1600" s="1" t="s">
        <v>4470</v>
      </c>
      <c r="B1600" s="1" t="s">
        <v>4460</v>
      </c>
      <c r="C1600" s="4">
        <v>39902.875</v>
      </c>
      <c r="D1600" s="1" t="s">
        <v>1089</v>
      </c>
      <c r="E1600" s="1" t="s">
        <v>4468</v>
      </c>
      <c r="F1600" s="2" t="s">
        <v>4471</v>
      </c>
      <c r="G1600" s="1">
        <f ca="1">IFERROR(__xludf.DUMMYFUNCTION("COUNTA(SPLIT(F1600,"" ""))"),9)</f>
        <v>9</v>
      </c>
      <c r="H1600" s="1">
        <v>9</v>
      </c>
      <c r="I1600" s="1"/>
      <c r="J1600" s="1"/>
      <c r="K1600" s="1"/>
      <c r="L1600" s="1"/>
      <c r="M1600" s="1"/>
      <c r="N1600" s="1"/>
      <c r="O1600" s="1"/>
      <c r="P1600" s="1"/>
      <c r="Q1600" s="1"/>
      <c r="R1600" s="1"/>
      <c r="S1600" s="1"/>
      <c r="T1600" s="1"/>
    </row>
    <row r="1601" spans="1:20" ht="33.75" customHeight="1">
      <c r="A1601" s="1" t="s">
        <v>4472</v>
      </c>
      <c r="B1601" s="1" t="s">
        <v>4460</v>
      </c>
      <c r="C1601" s="4">
        <v>39902.883333333331</v>
      </c>
      <c r="D1601" s="1" t="s">
        <v>772</v>
      </c>
      <c r="E1601" s="1"/>
      <c r="F1601" s="2" t="s">
        <v>4474</v>
      </c>
      <c r="G1601" s="1">
        <f ca="1">IFERROR(__xludf.DUMMYFUNCTION("COUNTA(SPLIT(F1601,"" ""))"),259)</f>
        <v>259</v>
      </c>
      <c r="H1601" s="1">
        <v>259</v>
      </c>
      <c r="I1601" s="1"/>
      <c r="J1601" s="1"/>
      <c r="K1601" s="1"/>
      <c r="L1601" s="1"/>
      <c r="M1601" s="1"/>
      <c r="N1601" s="1"/>
      <c r="O1601" s="1"/>
      <c r="P1601" s="1"/>
      <c r="Q1601" s="1"/>
      <c r="R1601" s="1"/>
      <c r="S1601" s="1"/>
      <c r="T1601" s="1"/>
    </row>
    <row r="1602" spans="1:20" ht="33.75" customHeight="1">
      <c r="A1602" s="1" t="s">
        <v>12</v>
      </c>
      <c r="B1602" s="1" t="s">
        <v>4460</v>
      </c>
      <c r="C1602" s="4">
        <v>39902.89298611111</v>
      </c>
      <c r="D1602" s="1" t="s">
        <v>175</v>
      </c>
      <c r="E1602" s="1"/>
      <c r="F1602" s="2" t="s">
        <v>4476</v>
      </c>
      <c r="G1602" s="1">
        <f ca="1">IFERROR(__xludf.DUMMYFUNCTION("COUNTA(SPLIT(F1602,"" ""))"),240)</f>
        <v>240</v>
      </c>
      <c r="H1602" s="1">
        <v>240</v>
      </c>
      <c r="I1602" s="1"/>
      <c r="J1602" s="1"/>
      <c r="K1602" s="1"/>
      <c r="L1602" s="1"/>
      <c r="M1602" s="1"/>
      <c r="N1602" s="1"/>
      <c r="O1602" s="1"/>
      <c r="P1602" s="1"/>
      <c r="Q1602" s="1"/>
      <c r="R1602" s="1"/>
      <c r="S1602" s="1"/>
      <c r="T1602" s="1"/>
    </row>
    <row r="1603" spans="1:20" ht="33.75" customHeight="1">
      <c r="A1603" s="1" t="s">
        <v>4477</v>
      </c>
      <c r="B1603" s="1" t="s">
        <v>4460</v>
      </c>
      <c r="C1603" s="4">
        <v>39902.932638888888</v>
      </c>
      <c r="D1603" s="1" t="s">
        <v>1887</v>
      </c>
      <c r="E1603" s="1"/>
      <c r="F1603" s="2" t="s">
        <v>4478</v>
      </c>
      <c r="G1603" s="1">
        <f ca="1">IFERROR(__xludf.DUMMYFUNCTION("COUNTA(SPLIT(F1603,"" ""))"),53)</f>
        <v>53</v>
      </c>
      <c r="H1603" s="1">
        <v>53</v>
      </c>
      <c r="I1603" s="1"/>
      <c r="J1603" s="1"/>
      <c r="K1603" s="1"/>
      <c r="L1603" s="1"/>
      <c r="M1603" s="1"/>
      <c r="N1603" s="1"/>
      <c r="O1603" s="1"/>
      <c r="P1603" s="1"/>
      <c r="Q1603" s="1"/>
      <c r="R1603" s="1"/>
      <c r="S1603" s="1"/>
      <c r="T1603" s="1"/>
    </row>
    <row r="1604" spans="1:20" ht="33.75" hidden="1" customHeight="1">
      <c r="A1604" s="1" t="s">
        <v>4479</v>
      </c>
      <c r="B1604" s="1" t="s">
        <v>4460</v>
      </c>
      <c r="C1604" s="4">
        <v>39903.060416666667</v>
      </c>
      <c r="D1604" s="1" t="s">
        <v>1089</v>
      </c>
      <c r="E1604" s="1" t="s">
        <v>4480</v>
      </c>
      <c r="F1604" s="2" t="s">
        <v>4482</v>
      </c>
      <c r="G1604" s="1">
        <f ca="1">IFERROR(__xludf.DUMMYFUNCTION("COUNTA(SPLIT(F1604,"" ""))"),90)</f>
        <v>90</v>
      </c>
      <c r="H1604" s="1">
        <v>90</v>
      </c>
      <c r="I1604" s="1"/>
      <c r="J1604" s="1"/>
      <c r="K1604" s="1"/>
      <c r="L1604" s="1"/>
      <c r="M1604" s="1"/>
      <c r="N1604" s="1"/>
      <c r="O1604" s="1"/>
      <c r="P1604" s="1"/>
      <c r="Q1604" s="1"/>
      <c r="R1604" s="1"/>
      <c r="S1604" s="1"/>
      <c r="T1604" s="1"/>
    </row>
    <row r="1605" spans="1:20" ht="33.75" customHeight="1">
      <c r="A1605" s="1" t="s">
        <v>4483</v>
      </c>
      <c r="B1605" s="1" t="s">
        <v>4151</v>
      </c>
      <c r="C1605" s="4">
        <v>39903.07708333333</v>
      </c>
      <c r="D1605" s="1" t="s">
        <v>4484</v>
      </c>
      <c r="E1605" s="1"/>
      <c r="F1605" s="2" t="s">
        <v>4486</v>
      </c>
      <c r="G1605" s="1">
        <f ca="1">IFERROR(__xludf.DUMMYFUNCTION("COUNTA(SPLIT(F1605,"" ""))"),188)</f>
        <v>188</v>
      </c>
      <c r="H1605" s="1">
        <v>188</v>
      </c>
      <c r="I1605" s="1"/>
      <c r="J1605" s="1"/>
      <c r="K1605" s="1"/>
      <c r="L1605" s="1"/>
      <c r="M1605" s="1"/>
      <c r="N1605" s="1"/>
      <c r="O1605" s="1"/>
      <c r="P1605" s="1"/>
      <c r="Q1605" s="1"/>
      <c r="R1605" s="1"/>
      <c r="S1605" s="1"/>
      <c r="T1605" s="1"/>
    </row>
    <row r="1606" spans="1:20" ht="33.75" hidden="1" customHeight="1">
      <c r="A1606" s="1" t="s">
        <v>4487</v>
      </c>
      <c r="B1606" s="1" t="s">
        <v>3929</v>
      </c>
      <c r="C1606" s="4">
        <v>39903.265277777777</v>
      </c>
      <c r="D1606" s="1" t="s">
        <v>772</v>
      </c>
      <c r="E1606" s="1">
        <v>1185</v>
      </c>
      <c r="F1606" s="2" t="s">
        <v>4488</v>
      </c>
      <c r="G1606" s="1">
        <f ca="1">IFERROR(__xludf.DUMMYFUNCTION("COUNTA(SPLIT(F1606,"" ""))"),30)</f>
        <v>30</v>
      </c>
      <c r="H1606" s="1">
        <v>30</v>
      </c>
      <c r="I1606" s="1"/>
      <c r="J1606" s="1"/>
      <c r="K1606" s="1"/>
      <c r="L1606" s="1"/>
      <c r="M1606" s="1"/>
      <c r="N1606" s="1"/>
      <c r="O1606" s="1"/>
      <c r="P1606" s="1"/>
      <c r="Q1606" s="1"/>
      <c r="R1606" s="1"/>
      <c r="S1606" s="1"/>
      <c r="T1606" s="1"/>
    </row>
    <row r="1607" spans="1:20" ht="33.75" customHeight="1">
      <c r="A1607" s="1" t="s">
        <v>4489</v>
      </c>
      <c r="B1607" s="1" t="s">
        <v>3929</v>
      </c>
      <c r="C1607" s="4">
        <v>39903.424305555556</v>
      </c>
      <c r="D1607" s="1" t="s">
        <v>314</v>
      </c>
      <c r="E1607" s="1"/>
      <c r="F1607" s="2" t="s">
        <v>4490</v>
      </c>
      <c r="G1607" s="1">
        <f ca="1">IFERROR(__xludf.DUMMYFUNCTION("COUNTA(SPLIT(F1607,"" ""))"),269)</f>
        <v>269</v>
      </c>
      <c r="H1607" s="1">
        <v>269</v>
      </c>
      <c r="I1607" s="1"/>
      <c r="J1607" s="1"/>
      <c r="K1607" s="1"/>
      <c r="L1607" s="1"/>
      <c r="M1607" s="1"/>
      <c r="N1607" s="1"/>
      <c r="O1607" s="1"/>
      <c r="P1607" s="1"/>
      <c r="Q1607" s="1"/>
      <c r="R1607" s="1"/>
      <c r="S1607" s="1"/>
      <c r="T1607" s="1"/>
    </row>
    <row r="1608" spans="1:20" ht="33.75" customHeight="1">
      <c r="A1608" s="1" t="s">
        <v>4491</v>
      </c>
      <c r="B1608" s="1" t="s">
        <v>4460</v>
      </c>
      <c r="C1608" s="4">
        <v>39903.509027777778</v>
      </c>
      <c r="D1608" s="1" t="s">
        <v>1887</v>
      </c>
      <c r="E1608" s="1"/>
      <c r="F1608" s="2" t="s">
        <v>4492</v>
      </c>
      <c r="G1608" s="1">
        <f ca="1">IFERROR(__xludf.DUMMYFUNCTION("COUNTA(SPLIT(F1608,"" ""))"),95)</f>
        <v>95</v>
      </c>
      <c r="H1608" s="1">
        <v>95</v>
      </c>
      <c r="I1608" s="1"/>
      <c r="J1608" s="1"/>
      <c r="K1608" s="1"/>
      <c r="L1608" s="1"/>
      <c r="M1608" s="1"/>
      <c r="N1608" s="1"/>
      <c r="O1608" s="1"/>
      <c r="P1608" s="1"/>
      <c r="Q1608" s="1"/>
      <c r="R1608" s="1"/>
      <c r="S1608" s="1"/>
      <c r="T1608" s="1"/>
    </row>
    <row r="1609" spans="1:20" ht="33.75" customHeight="1">
      <c r="A1609" s="1" t="s">
        <v>4493</v>
      </c>
      <c r="B1609" s="1" t="s">
        <v>4460</v>
      </c>
      <c r="C1609" s="4">
        <v>39903.515972222223</v>
      </c>
      <c r="D1609" s="1" t="s">
        <v>772</v>
      </c>
      <c r="E1609" s="1"/>
      <c r="F1609" s="2" t="s">
        <v>4495</v>
      </c>
      <c r="G1609" s="1">
        <f ca="1">IFERROR(__xludf.DUMMYFUNCTION("COUNTA(SPLIT(F1609,"" ""))"),38)</f>
        <v>38</v>
      </c>
      <c r="H1609" s="1">
        <v>38</v>
      </c>
      <c r="I1609" s="1"/>
      <c r="J1609" s="1"/>
      <c r="K1609" s="1"/>
      <c r="L1609" s="1"/>
      <c r="M1609" s="1"/>
      <c r="N1609" s="1"/>
      <c r="O1609" s="1"/>
      <c r="P1609" s="1"/>
      <c r="Q1609" s="1"/>
      <c r="R1609" s="1"/>
      <c r="S1609" s="1"/>
      <c r="T1609" s="1"/>
    </row>
    <row r="1610" spans="1:20" ht="33.75" hidden="1" customHeight="1">
      <c r="A1610" s="1" t="s">
        <v>4496</v>
      </c>
      <c r="B1610" s="1" t="s">
        <v>4460</v>
      </c>
      <c r="C1610" s="4">
        <v>39903.523611111108</v>
      </c>
      <c r="D1610" s="1" t="s">
        <v>772</v>
      </c>
      <c r="E1610" s="1" t="s">
        <v>4491</v>
      </c>
      <c r="F1610" s="2" t="s">
        <v>4497</v>
      </c>
      <c r="G1610" s="1">
        <f ca="1">IFERROR(__xludf.DUMMYFUNCTION("COUNTA(SPLIT(F1610,"" ""))"),74)</f>
        <v>74</v>
      </c>
      <c r="H1610" s="1">
        <v>74</v>
      </c>
      <c r="I1610" s="1"/>
      <c r="J1610" s="1"/>
      <c r="K1610" s="1"/>
      <c r="L1610" s="1"/>
      <c r="M1610" s="1"/>
      <c r="N1610" s="1"/>
      <c r="O1610" s="1"/>
      <c r="P1610" s="1"/>
      <c r="Q1610" s="1"/>
      <c r="R1610" s="1"/>
      <c r="S1610" s="1"/>
      <c r="T1610" s="1"/>
    </row>
    <row r="1611" spans="1:20" ht="33.75" customHeight="1">
      <c r="A1611" s="1" t="s">
        <v>4498</v>
      </c>
      <c r="B1611" s="1" t="s">
        <v>4460</v>
      </c>
      <c r="C1611" s="4">
        <v>39903.54791666667</v>
      </c>
      <c r="D1611" s="1" t="s">
        <v>32</v>
      </c>
      <c r="E1611" s="1"/>
      <c r="F1611" s="2" t="s">
        <v>4500</v>
      </c>
      <c r="G1611" s="1">
        <f ca="1">IFERROR(__xludf.DUMMYFUNCTION("COUNTA(SPLIT(F1611,"" ""))"),292)</f>
        <v>292</v>
      </c>
      <c r="H1611" s="1">
        <v>292</v>
      </c>
      <c r="I1611" s="1"/>
      <c r="J1611" s="1"/>
      <c r="K1611" s="1"/>
      <c r="L1611" s="1"/>
      <c r="M1611" s="1"/>
      <c r="N1611" s="1"/>
      <c r="O1611" s="1"/>
      <c r="P1611" s="1"/>
      <c r="Q1611" s="1"/>
      <c r="R1611" s="1"/>
      <c r="S1611" s="1"/>
      <c r="T1611" s="1"/>
    </row>
    <row r="1612" spans="1:20" ht="33.75" customHeight="1">
      <c r="A1612" s="1" t="s">
        <v>4501</v>
      </c>
      <c r="B1612" s="1" t="s">
        <v>3255</v>
      </c>
      <c r="C1612" s="4">
        <v>39903.57708333333</v>
      </c>
      <c r="D1612" s="1" t="s">
        <v>314</v>
      </c>
      <c r="E1612" s="1"/>
      <c r="F1612" s="2" t="s">
        <v>4502</v>
      </c>
      <c r="G1612" s="1">
        <f ca="1">IFERROR(__xludf.DUMMYFUNCTION("COUNTA(SPLIT(F1612,"" ""))"),156)</f>
        <v>156</v>
      </c>
      <c r="H1612" s="1">
        <v>156</v>
      </c>
      <c r="I1612" s="1"/>
      <c r="J1612" s="1"/>
      <c r="K1612" s="1"/>
      <c r="L1612" s="1"/>
      <c r="M1612" s="1"/>
      <c r="N1612" s="1"/>
      <c r="O1612" s="1"/>
      <c r="P1612" s="1"/>
      <c r="Q1612" s="1"/>
      <c r="R1612" s="1"/>
      <c r="S1612" s="1"/>
      <c r="T1612" s="1"/>
    </row>
    <row r="1613" spans="1:20" ht="33.75" hidden="1" customHeight="1">
      <c r="A1613" s="1" t="s">
        <v>4503</v>
      </c>
      <c r="B1613" s="1" t="s">
        <v>4460</v>
      </c>
      <c r="C1613" s="4">
        <v>39903.618750000001</v>
      </c>
      <c r="D1613" s="1" t="s">
        <v>84</v>
      </c>
      <c r="E1613" s="1" t="s">
        <v>4498</v>
      </c>
      <c r="F1613" s="2" t="s">
        <v>4504</v>
      </c>
      <c r="G1613" s="1">
        <f ca="1">IFERROR(__xludf.DUMMYFUNCTION("COUNTA(SPLIT(F1613,"" ""))"),51)</f>
        <v>51</v>
      </c>
      <c r="H1613" s="1">
        <v>51</v>
      </c>
      <c r="I1613" s="1"/>
      <c r="J1613" s="1"/>
      <c r="K1613" s="1"/>
      <c r="L1613" s="1"/>
      <c r="M1613" s="1"/>
      <c r="N1613" s="1"/>
      <c r="O1613" s="1"/>
      <c r="P1613" s="1"/>
      <c r="Q1613" s="1"/>
      <c r="R1613" s="1"/>
      <c r="S1613" s="1"/>
      <c r="T1613" s="1"/>
    </row>
    <row r="1614" spans="1:20" ht="33.75" customHeight="1">
      <c r="A1614" s="1" t="s">
        <v>4505</v>
      </c>
      <c r="B1614" s="1" t="s">
        <v>3255</v>
      </c>
      <c r="C1614" s="4">
        <v>39903.67083333333</v>
      </c>
      <c r="D1614" s="1" t="s">
        <v>110</v>
      </c>
      <c r="E1614" s="1"/>
      <c r="F1614" s="2" t="s">
        <v>4508</v>
      </c>
      <c r="G1614" s="1">
        <f ca="1">IFERROR(__xludf.DUMMYFUNCTION("COUNTA(SPLIT(F1614,"" ""))"),32)</f>
        <v>32</v>
      </c>
      <c r="H1614" s="1">
        <v>32</v>
      </c>
      <c r="I1614" s="1"/>
      <c r="J1614" s="1"/>
      <c r="K1614" s="1"/>
      <c r="L1614" s="1"/>
      <c r="M1614" s="1"/>
      <c r="N1614" s="1"/>
      <c r="O1614" s="1"/>
      <c r="P1614" s="1"/>
      <c r="Q1614" s="1"/>
      <c r="R1614" s="1"/>
      <c r="S1614" s="1"/>
      <c r="T1614" s="1"/>
    </row>
    <row r="1615" spans="1:20" ht="33.75" hidden="1" customHeight="1">
      <c r="A1615" s="1" t="s">
        <v>4509</v>
      </c>
      <c r="B1615" s="1" t="s">
        <v>4460</v>
      </c>
      <c r="C1615" s="4">
        <v>39903.681944444441</v>
      </c>
      <c r="D1615" s="1" t="s">
        <v>54</v>
      </c>
      <c r="E1615" s="1" t="s">
        <v>4510</v>
      </c>
      <c r="F1615" s="2" t="s">
        <v>4512</v>
      </c>
      <c r="G1615" s="1">
        <f ca="1">IFERROR(__xludf.DUMMYFUNCTION("COUNTA(SPLIT(F1615,"" ""))"),223)</f>
        <v>223</v>
      </c>
      <c r="H1615" s="1">
        <v>223</v>
      </c>
      <c r="I1615" s="1"/>
      <c r="J1615" s="1"/>
      <c r="K1615" s="1"/>
      <c r="L1615" s="1"/>
      <c r="M1615" s="1"/>
      <c r="N1615" s="1"/>
      <c r="O1615" s="1"/>
      <c r="P1615" s="1"/>
      <c r="Q1615" s="1"/>
      <c r="R1615" s="1"/>
      <c r="S1615" s="1"/>
      <c r="T1615" s="1"/>
    </row>
    <row r="1616" spans="1:20" ht="33.75" customHeight="1">
      <c r="A1616" s="1" t="s">
        <v>4513</v>
      </c>
      <c r="B1616" s="1" t="s">
        <v>4460</v>
      </c>
      <c r="C1616" s="4">
        <v>39903.713194444441</v>
      </c>
      <c r="D1616" s="1" t="s">
        <v>32</v>
      </c>
      <c r="E1616" s="1"/>
      <c r="F1616" s="2" t="s">
        <v>4514</v>
      </c>
      <c r="G1616" s="1">
        <f ca="1">IFERROR(__xludf.DUMMYFUNCTION("COUNTA(SPLIT(F1616,"" ""))"),227)</f>
        <v>227</v>
      </c>
      <c r="H1616" s="1">
        <v>227</v>
      </c>
      <c r="I1616" s="1"/>
      <c r="J1616" s="1"/>
      <c r="K1616" s="1"/>
      <c r="L1616" s="1"/>
      <c r="M1616" s="1"/>
      <c r="N1616" s="1"/>
      <c r="O1616" s="1"/>
      <c r="P1616" s="1"/>
      <c r="Q1616" s="1"/>
      <c r="R1616" s="1"/>
      <c r="S1616" s="1"/>
      <c r="T1616" s="1"/>
    </row>
    <row r="1617" spans="1:20" ht="33.75" hidden="1" customHeight="1">
      <c r="A1617" s="1" t="s">
        <v>4515</v>
      </c>
      <c r="B1617" s="1" t="s">
        <v>4460</v>
      </c>
      <c r="C1617" s="4">
        <v>39903.866666666669</v>
      </c>
      <c r="D1617" s="1" t="s">
        <v>772</v>
      </c>
      <c r="E1617" s="1" t="s">
        <v>4493</v>
      </c>
      <c r="F1617" s="2" t="s">
        <v>4516</v>
      </c>
      <c r="G1617" s="1">
        <f ca="1">IFERROR(__xludf.DUMMYFUNCTION("COUNTA(SPLIT(F1617,"" ""))"),36)</f>
        <v>36</v>
      </c>
      <c r="H1617" s="1">
        <v>36</v>
      </c>
      <c r="I1617" s="1"/>
      <c r="J1617" s="1"/>
      <c r="K1617" s="1"/>
      <c r="L1617" s="1"/>
      <c r="M1617" s="1"/>
      <c r="N1617" s="1"/>
      <c r="O1617" s="1"/>
      <c r="P1617" s="1"/>
      <c r="Q1617" s="1"/>
      <c r="R1617" s="1"/>
      <c r="S1617" s="1"/>
      <c r="T1617" s="1"/>
    </row>
    <row r="1618" spans="1:20" ht="33.75" customHeight="1">
      <c r="A1618" s="1" t="s">
        <v>4517</v>
      </c>
      <c r="B1618" s="1" t="s">
        <v>4460</v>
      </c>
      <c r="C1618" s="4">
        <v>39904.011111111111</v>
      </c>
      <c r="D1618" s="1" t="s">
        <v>314</v>
      </c>
      <c r="E1618" s="1"/>
      <c r="F1618" s="2" t="s">
        <v>4519</v>
      </c>
      <c r="G1618" s="1">
        <f ca="1">IFERROR(__xludf.DUMMYFUNCTION("COUNTA(SPLIT(F1618,"" ""))"),282)</f>
        <v>282</v>
      </c>
      <c r="H1618" s="1">
        <v>282</v>
      </c>
      <c r="I1618" s="1"/>
      <c r="J1618" s="1"/>
      <c r="K1618" s="1"/>
      <c r="L1618" s="1"/>
      <c r="M1618" s="1"/>
      <c r="N1618" s="1"/>
      <c r="O1618" s="1"/>
      <c r="P1618" s="1"/>
      <c r="Q1618" s="1"/>
      <c r="R1618" s="1"/>
      <c r="S1618" s="1"/>
      <c r="T1618" s="1"/>
    </row>
    <row r="1619" spans="1:20" ht="33.75" hidden="1" customHeight="1">
      <c r="A1619" s="1" t="s">
        <v>4520</v>
      </c>
      <c r="B1619" s="1" t="s">
        <v>4460</v>
      </c>
      <c r="C1619" s="4">
        <v>39904.374305555553</v>
      </c>
      <c r="D1619" s="1" t="s">
        <v>196</v>
      </c>
      <c r="E1619" s="1" t="s">
        <v>4515</v>
      </c>
      <c r="F1619" s="2" t="s">
        <v>4521</v>
      </c>
      <c r="G1619" s="1">
        <f ca="1">IFERROR(__xludf.DUMMYFUNCTION("COUNTA(SPLIT(F1619,"" ""))"),57)</f>
        <v>57</v>
      </c>
      <c r="H1619" s="1">
        <v>57</v>
      </c>
      <c r="I1619" s="1"/>
      <c r="J1619" s="1"/>
      <c r="K1619" s="1"/>
      <c r="L1619" s="1"/>
      <c r="M1619" s="1"/>
      <c r="N1619" s="1"/>
      <c r="O1619" s="1"/>
      <c r="P1619" s="1"/>
      <c r="Q1619" s="1"/>
      <c r="R1619" s="1"/>
      <c r="S1619" s="1"/>
      <c r="T1619" s="1"/>
    </row>
    <row r="1620" spans="1:20" ht="33.75" hidden="1" customHeight="1">
      <c r="A1620" s="1" t="s">
        <v>4522</v>
      </c>
      <c r="B1620" s="1" t="s">
        <v>4460</v>
      </c>
      <c r="C1620" s="4">
        <v>39904.384027777778</v>
      </c>
      <c r="D1620" s="1" t="s">
        <v>196</v>
      </c>
      <c r="E1620" s="1" t="s">
        <v>4520</v>
      </c>
      <c r="F1620" s="2" t="s">
        <v>4523</v>
      </c>
      <c r="G1620" s="1">
        <f ca="1">IFERROR(__xludf.DUMMYFUNCTION("COUNTA(SPLIT(F1620,"" ""))"),81)</f>
        <v>81</v>
      </c>
      <c r="H1620" s="1">
        <v>81</v>
      </c>
      <c r="I1620" s="1"/>
      <c r="J1620" s="1"/>
      <c r="K1620" s="1"/>
      <c r="L1620" s="1"/>
      <c r="M1620" s="1"/>
      <c r="N1620" s="1"/>
      <c r="O1620" s="1"/>
      <c r="P1620" s="1"/>
      <c r="Q1620" s="1"/>
      <c r="R1620" s="1"/>
      <c r="S1620" s="1"/>
      <c r="T1620" s="1"/>
    </row>
    <row r="1621" spans="1:20" ht="33.75" hidden="1" customHeight="1">
      <c r="A1621" s="1" t="s">
        <v>4524</v>
      </c>
      <c r="B1621" s="1" t="s">
        <v>4460</v>
      </c>
      <c r="C1621" s="4">
        <v>39904.411111111112</v>
      </c>
      <c r="D1621" s="1" t="s">
        <v>1089</v>
      </c>
      <c r="E1621" s="1" t="s">
        <v>4525</v>
      </c>
      <c r="F1621" s="2" t="s">
        <v>4526</v>
      </c>
      <c r="G1621" s="1">
        <f ca="1">IFERROR(__xludf.DUMMYFUNCTION("COUNTA(SPLIT(F1621,"" ""))"),107)</f>
        <v>107</v>
      </c>
      <c r="H1621" s="1">
        <v>107</v>
      </c>
      <c r="I1621" s="1"/>
      <c r="J1621" s="1"/>
      <c r="K1621" s="1"/>
      <c r="L1621" s="1"/>
      <c r="M1621" s="1"/>
      <c r="N1621" s="1"/>
      <c r="O1621" s="1"/>
      <c r="P1621" s="1"/>
      <c r="Q1621" s="1"/>
      <c r="R1621" s="1"/>
      <c r="S1621" s="1"/>
      <c r="T1621" s="1"/>
    </row>
    <row r="1622" spans="1:20" ht="33.75" hidden="1" customHeight="1">
      <c r="A1622" s="1" t="s">
        <v>4527</v>
      </c>
      <c r="B1622" s="1" t="s">
        <v>4460</v>
      </c>
      <c r="C1622" s="4">
        <v>39904.442361111112</v>
      </c>
      <c r="D1622" s="1" t="s">
        <v>255</v>
      </c>
      <c r="E1622" s="1" t="s">
        <v>4522</v>
      </c>
      <c r="F1622" s="2" t="s">
        <v>4528</v>
      </c>
      <c r="G1622" s="1">
        <f ca="1">IFERROR(__xludf.DUMMYFUNCTION("COUNTA(SPLIT(F1622,"" ""))"),41)</f>
        <v>41</v>
      </c>
      <c r="H1622" s="1">
        <v>41</v>
      </c>
      <c r="I1622" s="1"/>
      <c r="J1622" s="1"/>
      <c r="K1622" s="1"/>
      <c r="L1622" s="1"/>
      <c r="M1622" s="1"/>
      <c r="N1622" s="1"/>
      <c r="O1622" s="1"/>
      <c r="P1622" s="1"/>
      <c r="Q1622" s="1"/>
      <c r="R1622" s="1"/>
      <c r="S1622" s="1"/>
      <c r="T1622" s="1"/>
    </row>
    <row r="1623" spans="1:20" ht="33.75" customHeight="1">
      <c r="A1623" s="1" t="s">
        <v>4529</v>
      </c>
      <c r="B1623" s="1" t="s">
        <v>4460</v>
      </c>
      <c r="C1623" s="4">
        <v>39904.447222222225</v>
      </c>
      <c r="D1623" s="1" t="s">
        <v>54</v>
      </c>
      <c r="E1623" s="1"/>
      <c r="F1623" s="2" t="s">
        <v>4530</v>
      </c>
      <c r="G1623" s="1">
        <f ca="1">IFERROR(__xludf.DUMMYFUNCTION("COUNTA(SPLIT(F1623,"" ""))"),179)</f>
        <v>179</v>
      </c>
      <c r="H1623" s="1">
        <v>179</v>
      </c>
      <c r="I1623" s="1"/>
      <c r="J1623" s="1"/>
      <c r="K1623" s="1"/>
      <c r="L1623" s="1"/>
      <c r="M1623" s="1"/>
      <c r="N1623" s="1"/>
      <c r="O1623" s="1"/>
      <c r="P1623" s="1"/>
      <c r="Q1623" s="1"/>
      <c r="R1623" s="1"/>
      <c r="S1623" s="1"/>
      <c r="T1623" s="1"/>
    </row>
    <row r="1624" spans="1:20" ht="33.75" customHeight="1">
      <c r="A1624" s="1" t="s">
        <v>4531</v>
      </c>
      <c r="B1624" s="1" t="s">
        <v>4460</v>
      </c>
      <c r="C1624" s="4">
        <v>39904.458333333336</v>
      </c>
      <c r="D1624" s="1" t="s">
        <v>32</v>
      </c>
      <c r="E1624" s="1"/>
      <c r="F1624" s="2" t="s">
        <v>4533</v>
      </c>
      <c r="G1624" s="1">
        <f ca="1">IFERROR(__xludf.DUMMYFUNCTION("COUNTA(SPLIT(F1624,"" ""))"),293)</f>
        <v>293</v>
      </c>
      <c r="H1624" s="1">
        <v>293</v>
      </c>
      <c r="I1624" s="1"/>
      <c r="J1624" s="1"/>
      <c r="K1624" s="1"/>
      <c r="L1624" s="1"/>
      <c r="M1624" s="1"/>
      <c r="N1624" s="1"/>
      <c r="O1624" s="1"/>
      <c r="P1624" s="1"/>
      <c r="Q1624" s="1"/>
      <c r="R1624" s="1"/>
      <c r="S1624" s="1"/>
      <c r="T1624" s="1"/>
    </row>
    <row r="1625" spans="1:20" ht="33.75" hidden="1" customHeight="1">
      <c r="A1625" s="1" t="s">
        <v>4534</v>
      </c>
      <c r="B1625" s="1" t="s">
        <v>4460</v>
      </c>
      <c r="C1625" s="4">
        <v>39904.490277777775</v>
      </c>
      <c r="D1625" s="1" t="s">
        <v>196</v>
      </c>
      <c r="E1625" s="1" t="s">
        <v>4535</v>
      </c>
      <c r="F1625" s="2" t="s">
        <v>4536</v>
      </c>
      <c r="G1625" s="1">
        <f ca="1">IFERROR(__xludf.DUMMYFUNCTION("COUNTA(SPLIT(F1625,"" ""))"),69)</f>
        <v>69</v>
      </c>
      <c r="H1625" s="1">
        <v>69</v>
      </c>
      <c r="I1625" s="1"/>
      <c r="J1625" s="1"/>
      <c r="K1625" s="1"/>
      <c r="L1625" s="1"/>
      <c r="M1625" s="1"/>
      <c r="N1625" s="1"/>
      <c r="O1625" s="1"/>
      <c r="P1625" s="1"/>
      <c r="Q1625" s="1"/>
      <c r="R1625" s="1"/>
      <c r="S1625" s="1"/>
      <c r="T1625" s="1"/>
    </row>
    <row r="1626" spans="1:20" ht="33.75" customHeight="1">
      <c r="A1626" s="1" t="s">
        <v>4537</v>
      </c>
      <c r="B1626" s="1" t="s">
        <v>4460</v>
      </c>
      <c r="C1626" s="4">
        <v>39904.531944444447</v>
      </c>
      <c r="D1626" s="1" t="s">
        <v>84</v>
      </c>
      <c r="E1626" s="1"/>
      <c r="F1626" s="2" t="s">
        <v>4538</v>
      </c>
      <c r="G1626" s="1">
        <f ca="1">IFERROR(__xludf.DUMMYFUNCTION("COUNTA(SPLIT(F1626,"" ""))"),116)</f>
        <v>116</v>
      </c>
      <c r="H1626" s="1">
        <v>116</v>
      </c>
      <c r="I1626" s="1"/>
      <c r="J1626" s="1"/>
      <c r="K1626" s="1"/>
      <c r="L1626" s="1"/>
      <c r="M1626" s="1"/>
      <c r="N1626" s="1"/>
      <c r="O1626" s="1"/>
      <c r="P1626" s="1"/>
      <c r="Q1626" s="1"/>
      <c r="R1626" s="1"/>
      <c r="S1626" s="1"/>
      <c r="T1626" s="1"/>
    </row>
    <row r="1627" spans="1:20" ht="33.75" customHeight="1">
      <c r="A1627" s="1" t="s">
        <v>4539</v>
      </c>
      <c r="B1627" s="1" t="s">
        <v>4460</v>
      </c>
      <c r="C1627" s="4">
        <v>39904.584027777775</v>
      </c>
      <c r="D1627" s="1" t="s">
        <v>32</v>
      </c>
      <c r="E1627" s="1"/>
      <c r="F1627" s="2" t="s">
        <v>4540</v>
      </c>
      <c r="G1627" s="1">
        <f ca="1">IFERROR(__xludf.DUMMYFUNCTION("COUNTA(SPLIT(F1627,"" ""))"),22)</f>
        <v>22</v>
      </c>
      <c r="H1627" s="1">
        <v>22</v>
      </c>
      <c r="I1627" s="1"/>
      <c r="J1627" s="1"/>
      <c r="K1627" s="1"/>
      <c r="L1627" s="1"/>
      <c r="M1627" s="1"/>
      <c r="N1627" s="1"/>
      <c r="O1627" s="1"/>
      <c r="P1627" s="1"/>
      <c r="Q1627" s="1"/>
      <c r="R1627" s="1"/>
      <c r="S1627" s="1"/>
      <c r="T1627" s="1"/>
    </row>
    <row r="1628" spans="1:20" ht="33.75" customHeight="1">
      <c r="A1628" s="1" t="s">
        <v>4541</v>
      </c>
      <c r="B1628" s="1" t="s">
        <v>4460</v>
      </c>
      <c r="C1628" s="4">
        <v>39904.619444444441</v>
      </c>
      <c r="D1628" s="1" t="s">
        <v>84</v>
      </c>
      <c r="E1628" s="1"/>
      <c r="F1628" s="2" t="s">
        <v>4542</v>
      </c>
      <c r="G1628" s="1">
        <f ca="1">IFERROR(__xludf.DUMMYFUNCTION("COUNTA(SPLIT(F1628,"" ""))"),51)</f>
        <v>51</v>
      </c>
      <c r="H1628" s="1">
        <v>51</v>
      </c>
      <c r="I1628" s="1"/>
      <c r="J1628" s="1"/>
      <c r="K1628" s="1"/>
      <c r="L1628" s="1"/>
      <c r="M1628" s="1"/>
      <c r="N1628" s="1"/>
      <c r="O1628" s="1"/>
      <c r="P1628" s="1"/>
      <c r="Q1628" s="1"/>
      <c r="R1628" s="1"/>
      <c r="S1628" s="1"/>
      <c r="T1628" s="1"/>
    </row>
    <row r="1629" spans="1:20" ht="33.75" customHeight="1">
      <c r="A1629" s="1" t="s">
        <v>4543</v>
      </c>
      <c r="B1629" s="1" t="s">
        <v>4460</v>
      </c>
      <c r="C1629" s="4">
        <v>39904.65347222222</v>
      </c>
      <c r="D1629" s="1" t="s">
        <v>32</v>
      </c>
      <c r="E1629" s="1"/>
      <c r="F1629" s="2" t="s">
        <v>4544</v>
      </c>
      <c r="G1629" s="1">
        <f ca="1">IFERROR(__xludf.DUMMYFUNCTION("COUNTA(SPLIT(F1629,"" ""))"),124)</f>
        <v>124</v>
      </c>
      <c r="H1629" s="1">
        <v>124</v>
      </c>
      <c r="I1629" s="1"/>
      <c r="J1629" s="1"/>
      <c r="K1629" s="1"/>
      <c r="L1629" s="1"/>
      <c r="M1629" s="1"/>
      <c r="N1629" s="1"/>
      <c r="O1629" s="1"/>
      <c r="P1629" s="1"/>
      <c r="Q1629" s="1"/>
      <c r="R1629" s="1"/>
      <c r="S1629" s="1"/>
      <c r="T1629" s="1"/>
    </row>
    <row r="1630" spans="1:20" ht="33.75" customHeight="1">
      <c r="A1630" s="1" t="s">
        <v>4545</v>
      </c>
      <c r="B1630" s="1" t="s">
        <v>4460</v>
      </c>
      <c r="C1630" s="4">
        <v>39904.722916666666</v>
      </c>
      <c r="D1630" s="1" t="s">
        <v>32</v>
      </c>
      <c r="E1630" s="1"/>
      <c r="F1630" s="2" t="s">
        <v>4546</v>
      </c>
      <c r="G1630" s="1">
        <f ca="1">IFERROR(__xludf.DUMMYFUNCTION("COUNTA(SPLIT(F1630,"" ""))"),158)</f>
        <v>158</v>
      </c>
      <c r="H1630" s="1">
        <v>158</v>
      </c>
      <c r="I1630" s="1"/>
      <c r="J1630" s="1"/>
      <c r="K1630" s="1"/>
      <c r="L1630" s="1"/>
      <c r="M1630" s="1"/>
      <c r="N1630" s="1"/>
      <c r="O1630" s="1"/>
      <c r="P1630" s="1"/>
      <c r="Q1630" s="1"/>
      <c r="R1630" s="1"/>
      <c r="S1630" s="1"/>
      <c r="T1630" s="1"/>
    </row>
    <row r="1631" spans="1:20" ht="33.75" hidden="1" customHeight="1">
      <c r="A1631" s="1" t="s">
        <v>4547</v>
      </c>
      <c r="B1631" s="1" t="s">
        <v>4460</v>
      </c>
      <c r="C1631" s="4">
        <v>39905.288194444445</v>
      </c>
      <c r="D1631" s="1" t="s">
        <v>84</v>
      </c>
      <c r="E1631" s="1" t="s">
        <v>4548</v>
      </c>
      <c r="F1631" s="2" t="s">
        <v>4549</v>
      </c>
      <c r="G1631" s="1">
        <f ca="1">IFERROR(__xludf.DUMMYFUNCTION("COUNTA(SPLIT(F1631,"" ""))"),162)</f>
        <v>162</v>
      </c>
      <c r="H1631" s="1">
        <v>162</v>
      </c>
      <c r="I1631" s="1"/>
      <c r="J1631" s="1"/>
      <c r="K1631" s="1"/>
      <c r="L1631" s="1"/>
      <c r="M1631" s="1"/>
      <c r="N1631" s="1"/>
      <c r="O1631" s="1"/>
      <c r="P1631" s="1"/>
      <c r="Q1631" s="1"/>
      <c r="R1631" s="1"/>
      <c r="S1631" s="1"/>
      <c r="T1631" s="1"/>
    </row>
    <row r="1632" spans="1:20" ht="33.75" customHeight="1">
      <c r="A1632" s="1" t="s">
        <v>4550</v>
      </c>
      <c r="B1632" s="1" t="s">
        <v>4460</v>
      </c>
      <c r="C1632" s="4">
        <v>39905.347222222219</v>
      </c>
      <c r="D1632" s="1" t="s">
        <v>84</v>
      </c>
      <c r="E1632" s="1"/>
      <c r="F1632" s="2" t="s">
        <v>4551</v>
      </c>
      <c r="G1632" s="1">
        <f ca="1">IFERROR(__xludf.DUMMYFUNCTION("COUNTA(SPLIT(F1632,"" ""))"),82)</f>
        <v>82</v>
      </c>
      <c r="H1632" s="1">
        <v>82</v>
      </c>
      <c r="I1632" s="1"/>
      <c r="J1632" s="1"/>
      <c r="K1632" s="1"/>
      <c r="L1632" s="1"/>
      <c r="M1632" s="1"/>
      <c r="N1632" s="1"/>
      <c r="O1632" s="1"/>
      <c r="P1632" s="1"/>
      <c r="Q1632" s="1"/>
      <c r="R1632" s="1"/>
      <c r="S1632" s="1"/>
      <c r="T1632" s="1"/>
    </row>
    <row r="1633" spans="1:20" ht="33.75" hidden="1" customHeight="1">
      <c r="A1633" s="1" t="s">
        <v>4552</v>
      </c>
      <c r="B1633" s="1" t="s">
        <v>4460</v>
      </c>
      <c r="C1633" s="4">
        <v>39905.376388888886</v>
      </c>
      <c r="D1633" s="1" t="s">
        <v>314</v>
      </c>
      <c r="E1633" s="1" t="s">
        <v>4547</v>
      </c>
      <c r="F1633" s="2" t="s">
        <v>4553</v>
      </c>
      <c r="G1633" s="1">
        <f ca="1">IFERROR(__xludf.DUMMYFUNCTION("COUNTA(SPLIT(F1633,"" ""))"),54)</f>
        <v>54</v>
      </c>
      <c r="H1633" s="1">
        <v>54</v>
      </c>
      <c r="I1633" s="1"/>
      <c r="J1633" s="1"/>
      <c r="K1633" s="1"/>
      <c r="L1633" s="1"/>
      <c r="M1633" s="1"/>
      <c r="N1633" s="1"/>
      <c r="O1633" s="1"/>
      <c r="P1633" s="1"/>
      <c r="Q1633" s="1"/>
      <c r="R1633" s="1"/>
      <c r="S1633" s="1"/>
      <c r="T1633" s="1"/>
    </row>
    <row r="1634" spans="1:20" ht="33.75" customHeight="1">
      <c r="A1634" s="1" t="s">
        <v>4554</v>
      </c>
      <c r="B1634" s="1" t="s">
        <v>4460</v>
      </c>
      <c r="C1634" s="4">
        <v>39905.396527777775</v>
      </c>
      <c r="D1634" s="1" t="s">
        <v>84</v>
      </c>
      <c r="E1634" s="1"/>
      <c r="F1634" s="2" t="s">
        <v>4555</v>
      </c>
      <c r="G1634" s="1">
        <f ca="1">IFERROR(__xludf.DUMMYFUNCTION("COUNTA(SPLIT(F1634,"" ""))"),93)</f>
        <v>93</v>
      </c>
      <c r="H1634" s="1">
        <v>93</v>
      </c>
      <c r="I1634" s="1"/>
      <c r="J1634" s="1"/>
      <c r="K1634" s="1"/>
      <c r="L1634" s="1"/>
      <c r="M1634" s="1"/>
      <c r="N1634" s="1"/>
      <c r="O1634" s="1"/>
      <c r="P1634" s="1"/>
      <c r="Q1634" s="1"/>
      <c r="R1634" s="1"/>
      <c r="S1634" s="1"/>
      <c r="T1634" s="1"/>
    </row>
    <row r="1635" spans="1:20" ht="33.75" customHeight="1">
      <c r="A1635" s="1" t="s">
        <v>4556</v>
      </c>
      <c r="B1635" s="1" t="s">
        <v>4460</v>
      </c>
      <c r="C1635" s="4">
        <v>39905.450694444444</v>
      </c>
      <c r="D1635" s="1" t="s">
        <v>314</v>
      </c>
      <c r="E1635" s="1"/>
      <c r="F1635" s="2" t="s">
        <v>4557</v>
      </c>
      <c r="G1635" s="1">
        <f ca="1">IFERROR(__xludf.DUMMYFUNCTION("COUNTA(SPLIT(F1635,"" ""))"),298)</f>
        <v>298</v>
      </c>
      <c r="H1635" s="1">
        <v>298</v>
      </c>
      <c r="I1635" s="1"/>
      <c r="J1635" s="1"/>
      <c r="K1635" s="1"/>
      <c r="L1635" s="1"/>
      <c r="M1635" s="1"/>
      <c r="N1635" s="1"/>
      <c r="O1635" s="1"/>
      <c r="P1635" s="1"/>
      <c r="Q1635" s="1"/>
      <c r="R1635" s="1"/>
      <c r="S1635" s="1"/>
      <c r="T1635" s="1"/>
    </row>
    <row r="1636" spans="1:20" ht="33.75" customHeight="1">
      <c r="A1636" s="1" t="s">
        <v>4558</v>
      </c>
      <c r="B1636" s="1" t="s">
        <v>4460</v>
      </c>
      <c r="C1636" s="4">
        <v>39905.542361111111</v>
      </c>
      <c r="D1636" s="1" t="s">
        <v>84</v>
      </c>
      <c r="E1636" s="1"/>
      <c r="F1636" s="2" t="s">
        <v>4559</v>
      </c>
      <c r="G1636" s="1">
        <f ca="1">IFERROR(__xludf.DUMMYFUNCTION("COUNTA(SPLIT(F1636,"" ""))"),88)</f>
        <v>88</v>
      </c>
      <c r="H1636" s="1">
        <v>88</v>
      </c>
      <c r="I1636" s="1"/>
      <c r="J1636" s="1"/>
      <c r="K1636" s="1"/>
      <c r="L1636" s="1"/>
      <c r="M1636" s="1"/>
      <c r="N1636" s="1"/>
      <c r="O1636" s="1"/>
      <c r="P1636" s="1"/>
      <c r="Q1636" s="1"/>
      <c r="R1636" s="1"/>
      <c r="S1636" s="1"/>
      <c r="T1636" s="1"/>
    </row>
    <row r="1637" spans="1:20" ht="33.75" customHeight="1">
      <c r="A1637" s="1" t="s">
        <v>4560</v>
      </c>
      <c r="B1637" s="1" t="s">
        <v>4460</v>
      </c>
      <c r="C1637" s="4">
        <v>39905.586805555555</v>
      </c>
      <c r="D1637" s="1" t="s">
        <v>772</v>
      </c>
      <c r="E1637" s="1"/>
      <c r="F1637" s="2" t="s">
        <v>4561</v>
      </c>
      <c r="G1637" s="1">
        <f ca="1">IFERROR(__xludf.DUMMYFUNCTION("COUNTA(SPLIT(F1637,"" ""))"),76)</f>
        <v>76</v>
      </c>
      <c r="H1637" s="1">
        <v>76</v>
      </c>
      <c r="I1637" s="1"/>
      <c r="J1637" s="1"/>
      <c r="K1637" s="1"/>
      <c r="L1637" s="1"/>
      <c r="M1637" s="1"/>
      <c r="N1637" s="1"/>
      <c r="O1637" s="1"/>
      <c r="P1637" s="1"/>
      <c r="Q1637" s="1"/>
      <c r="R1637" s="1"/>
      <c r="S1637" s="1"/>
      <c r="T1637" s="1"/>
    </row>
    <row r="1638" spans="1:20" ht="33.75" customHeight="1">
      <c r="A1638" s="1" t="s">
        <v>4562</v>
      </c>
      <c r="B1638" s="1" t="s">
        <v>4563</v>
      </c>
      <c r="C1638" s="4">
        <v>39905.736111111109</v>
      </c>
      <c r="D1638" s="1" t="s">
        <v>760</v>
      </c>
      <c r="E1638" s="1"/>
      <c r="F1638" s="2" t="s">
        <v>4564</v>
      </c>
      <c r="G1638" s="1">
        <f ca="1">IFERROR(__xludf.DUMMYFUNCTION("COUNTA(SPLIT(F1638,"" ""))"),16)</f>
        <v>16</v>
      </c>
      <c r="H1638" s="1">
        <v>16</v>
      </c>
      <c r="I1638" s="1"/>
      <c r="J1638" s="1"/>
      <c r="K1638" s="1"/>
      <c r="L1638" s="1"/>
      <c r="M1638" s="1"/>
      <c r="N1638" s="1"/>
      <c r="O1638" s="1"/>
      <c r="P1638" s="1"/>
      <c r="Q1638" s="1"/>
      <c r="R1638" s="1"/>
      <c r="S1638" s="1"/>
      <c r="T1638" s="1"/>
    </row>
    <row r="1639" spans="1:20" ht="33.75" customHeight="1">
      <c r="A1639" s="1" t="s">
        <v>4565</v>
      </c>
      <c r="B1639" s="1" t="s">
        <v>4460</v>
      </c>
      <c r="C1639" s="4">
        <v>39906.026388888888</v>
      </c>
      <c r="D1639" s="1" t="s">
        <v>1887</v>
      </c>
      <c r="E1639" s="1"/>
      <c r="F1639" s="2" t="s">
        <v>4566</v>
      </c>
      <c r="G1639" s="1">
        <f ca="1">IFERROR(__xludf.DUMMYFUNCTION("COUNTA(SPLIT(F1639,"" ""))"),73)</f>
        <v>73</v>
      </c>
      <c r="H1639" s="1">
        <v>73</v>
      </c>
      <c r="I1639" s="1"/>
      <c r="J1639" s="1"/>
      <c r="K1639" s="1"/>
      <c r="L1639" s="1"/>
      <c r="M1639" s="1"/>
      <c r="N1639" s="1"/>
      <c r="O1639" s="1"/>
      <c r="P1639" s="1"/>
      <c r="Q1639" s="1"/>
      <c r="R1639" s="1"/>
      <c r="S1639" s="1"/>
      <c r="T1639" s="1"/>
    </row>
    <row r="1640" spans="1:20" ht="33.75" customHeight="1">
      <c r="A1640" s="1" t="s">
        <v>12</v>
      </c>
      <c r="B1640" s="1" t="s">
        <v>4563</v>
      </c>
      <c r="C1640" s="4">
        <v>39906.042037037034</v>
      </c>
      <c r="D1640" s="1" t="s">
        <v>175</v>
      </c>
      <c r="E1640" s="1"/>
      <c r="F1640" s="2" t="s">
        <v>4568</v>
      </c>
      <c r="G1640" s="1">
        <f ca="1">IFERROR(__xludf.DUMMYFUNCTION("COUNTA(SPLIT(F1640,"" ""))"),4926)</f>
        <v>4926</v>
      </c>
      <c r="H1640" s="1">
        <v>4926</v>
      </c>
      <c r="I1640" s="1"/>
      <c r="J1640" s="1"/>
      <c r="K1640" s="1"/>
      <c r="L1640" s="1"/>
      <c r="M1640" s="1"/>
      <c r="N1640" s="1"/>
      <c r="O1640" s="1"/>
      <c r="P1640" s="1"/>
      <c r="Q1640" s="1"/>
      <c r="R1640" s="1"/>
      <c r="S1640" s="1"/>
      <c r="T1640" s="1"/>
    </row>
    <row r="1641" spans="1:20" ht="33.75" customHeight="1">
      <c r="A1641" s="1" t="s">
        <v>4569</v>
      </c>
      <c r="B1641" s="1" t="s">
        <v>3929</v>
      </c>
      <c r="C1641" s="4">
        <v>39906.084722222222</v>
      </c>
      <c r="D1641" s="1" t="s">
        <v>54</v>
      </c>
      <c r="E1641" s="1"/>
      <c r="F1641" s="2" t="s">
        <v>4571</v>
      </c>
      <c r="G1641" s="1">
        <f ca="1">IFERROR(__xludf.DUMMYFUNCTION("COUNTA(SPLIT(F1641,"" ""))"),40)</f>
        <v>40</v>
      </c>
      <c r="H1641" s="1">
        <v>40</v>
      </c>
      <c r="I1641" s="1"/>
      <c r="J1641" s="1"/>
      <c r="K1641" s="1"/>
      <c r="L1641" s="1"/>
      <c r="M1641" s="1"/>
      <c r="N1641" s="1"/>
      <c r="O1641" s="1"/>
      <c r="P1641" s="1"/>
      <c r="Q1641" s="1"/>
      <c r="R1641" s="1"/>
      <c r="S1641" s="1"/>
      <c r="T1641" s="1"/>
    </row>
    <row r="1642" spans="1:20" ht="33.75" customHeight="1">
      <c r="A1642" s="1" t="s">
        <v>4572</v>
      </c>
      <c r="B1642" s="1" t="s">
        <v>3929</v>
      </c>
      <c r="C1642" s="4">
        <v>39906.088194444441</v>
      </c>
      <c r="D1642" s="1" t="s">
        <v>54</v>
      </c>
      <c r="E1642" s="1"/>
      <c r="F1642" s="2" t="s">
        <v>4575</v>
      </c>
      <c r="G1642" s="1">
        <f ca="1">IFERROR(__xludf.DUMMYFUNCTION("COUNTA(SPLIT(F1642,"" ""))"),139)</f>
        <v>139</v>
      </c>
      <c r="H1642" s="1">
        <v>139</v>
      </c>
      <c r="I1642" s="1"/>
      <c r="J1642" s="1"/>
      <c r="K1642" s="1"/>
      <c r="L1642" s="1"/>
      <c r="M1642" s="1"/>
      <c r="N1642" s="1"/>
      <c r="O1642" s="1"/>
      <c r="P1642" s="1"/>
      <c r="Q1642" s="1"/>
      <c r="R1642" s="1"/>
      <c r="S1642" s="1"/>
      <c r="T1642" s="1"/>
    </row>
    <row r="1643" spans="1:20" ht="33.75" customHeight="1">
      <c r="A1643" s="1" t="s">
        <v>4576</v>
      </c>
      <c r="B1643" s="1" t="s">
        <v>4563</v>
      </c>
      <c r="C1643" s="4">
        <v>39906.164583333331</v>
      </c>
      <c r="D1643" s="1" t="s">
        <v>474</v>
      </c>
      <c r="E1643" s="1"/>
      <c r="F1643" s="2" t="s">
        <v>4577</v>
      </c>
      <c r="G1643" s="1">
        <f ca="1">IFERROR(__xludf.DUMMYFUNCTION("COUNTA(SPLIT(F1643,"" ""))"),85)</f>
        <v>85</v>
      </c>
      <c r="H1643" s="1">
        <v>85</v>
      </c>
      <c r="I1643" s="1"/>
      <c r="J1643" s="1"/>
      <c r="K1643" s="1"/>
      <c r="L1643" s="1"/>
      <c r="M1643" s="1"/>
      <c r="N1643" s="1"/>
      <c r="O1643" s="1"/>
      <c r="P1643" s="1"/>
      <c r="Q1643" s="1"/>
      <c r="R1643" s="1"/>
      <c r="S1643" s="1"/>
      <c r="T1643" s="1"/>
    </row>
    <row r="1644" spans="1:20" ht="33.75" customHeight="1">
      <c r="A1644" s="1" t="s">
        <v>4578</v>
      </c>
      <c r="B1644" s="1" t="s">
        <v>4460</v>
      </c>
      <c r="C1644" s="4">
        <v>39906.241666666669</v>
      </c>
      <c r="D1644" s="1" t="s">
        <v>84</v>
      </c>
      <c r="E1644" s="1"/>
      <c r="F1644" s="2" t="s">
        <v>4580</v>
      </c>
      <c r="G1644" s="1">
        <f ca="1">IFERROR(__xludf.DUMMYFUNCTION("COUNTA(SPLIT(F1644,"" ""))"),39)</f>
        <v>39</v>
      </c>
      <c r="H1644" s="1">
        <v>39</v>
      </c>
      <c r="I1644" s="1"/>
      <c r="J1644" s="1"/>
      <c r="K1644" s="1"/>
      <c r="L1644" s="1"/>
      <c r="M1644" s="1"/>
      <c r="N1644" s="1"/>
      <c r="O1644" s="1"/>
      <c r="P1644" s="1"/>
      <c r="Q1644" s="1"/>
      <c r="R1644" s="1"/>
      <c r="S1644" s="1"/>
      <c r="T1644" s="1"/>
    </row>
    <row r="1645" spans="1:20" ht="33.75" hidden="1" customHeight="1">
      <c r="A1645" s="1" t="s">
        <v>4581</v>
      </c>
      <c r="B1645" s="1" t="s">
        <v>4563</v>
      </c>
      <c r="C1645" s="4">
        <v>39906.291666666664</v>
      </c>
      <c r="D1645" s="1" t="s">
        <v>54</v>
      </c>
      <c r="E1645" s="1" t="s">
        <v>4576</v>
      </c>
      <c r="F1645" s="2" t="s">
        <v>4583</v>
      </c>
      <c r="G1645" s="1">
        <f ca="1">IFERROR(__xludf.DUMMYFUNCTION("COUNTA(SPLIT(F1645,"" ""))"),42)</f>
        <v>42</v>
      </c>
      <c r="H1645" s="1">
        <v>42</v>
      </c>
      <c r="I1645" s="1"/>
      <c r="J1645" s="1"/>
      <c r="K1645" s="1"/>
      <c r="L1645" s="1"/>
      <c r="M1645" s="1"/>
      <c r="N1645" s="1"/>
      <c r="O1645" s="1"/>
      <c r="P1645" s="1"/>
      <c r="Q1645" s="1"/>
      <c r="R1645" s="1"/>
      <c r="S1645" s="1"/>
      <c r="T1645" s="1"/>
    </row>
    <row r="1646" spans="1:20" ht="33.75" customHeight="1">
      <c r="A1646" s="1" t="s">
        <v>4584</v>
      </c>
      <c r="B1646" s="1" t="s">
        <v>4563</v>
      </c>
      <c r="C1646" s="4">
        <v>39906.404166666667</v>
      </c>
      <c r="D1646" s="1" t="s">
        <v>2242</v>
      </c>
      <c r="E1646" s="1"/>
      <c r="F1646" s="2" t="s">
        <v>4585</v>
      </c>
      <c r="G1646" s="1">
        <f ca="1">IFERROR(__xludf.DUMMYFUNCTION("COUNTA(SPLIT(F1646,"" ""))"),95)</f>
        <v>95</v>
      </c>
      <c r="H1646" s="1">
        <v>95</v>
      </c>
      <c r="I1646" s="1"/>
      <c r="J1646" s="1"/>
      <c r="K1646" s="1"/>
      <c r="L1646" s="1"/>
      <c r="M1646" s="1"/>
      <c r="N1646" s="1"/>
      <c r="O1646" s="1"/>
      <c r="P1646" s="1"/>
      <c r="Q1646" s="1"/>
      <c r="R1646" s="1"/>
      <c r="S1646" s="1"/>
      <c r="T1646" s="1"/>
    </row>
    <row r="1647" spans="1:20" ht="33.75" customHeight="1">
      <c r="A1647" s="1" t="s">
        <v>4586</v>
      </c>
      <c r="B1647" s="1" t="s">
        <v>4460</v>
      </c>
      <c r="C1647" s="4">
        <v>39906.441666666666</v>
      </c>
      <c r="D1647" s="1" t="s">
        <v>84</v>
      </c>
      <c r="E1647" s="1"/>
      <c r="F1647" s="2" t="s">
        <v>4587</v>
      </c>
      <c r="G1647" s="1">
        <f ca="1">IFERROR(__xludf.DUMMYFUNCTION("COUNTA(SPLIT(F1647,"" ""))"),16)</f>
        <v>16</v>
      </c>
      <c r="H1647" s="1">
        <v>16</v>
      </c>
      <c r="I1647" s="1"/>
      <c r="J1647" s="1"/>
      <c r="K1647" s="1"/>
      <c r="L1647" s="1"/>
      <c r="M1647" s="1"/>
      <c r="N1647" s="1"/>
      <c r="O1647" s="1"/>
      <c r="P1647" s="1"/>
      <c r="Q1647" s="1"/>
      <c r="R1647" s="1"/>
      <c r="S1647" s="1"/>
      <c r="T1647" s="1"/>
    </row>
    <row r="1648" spans="1:20" ht="33.75" customHeight="1">
      <c r="A1648" s="1" t="s">
        <v>4588</v>
      </c>
      <c r="B1648" s="1" t="s">
        <v>4563</v>
      </c>
      <c r="C1648" s="4">
        <v>39906.482638888891</v>
      </c>
      <c r="D1648" s="1" t="s">
        <v>4589</v>
      </c>
      <c r="E1648" s="1"/>
      <c r="F1648" s="2" t="s">
        <v>4591</v>
      </c>
      <c r="G1648" s="1">
        <f ca="1">IFERROR(__xludf.DUMMYFUNCTION("COUNTA(SPLIT(F1648,"" ""))"),26)</f>
        <v>26</v>
      </c>
      <c r="H1648" s="1">
        <v>26</v>
      </c>
      <c r="I1648" s="1"/>
      <c r="J1648" s="1"/>
      <c r="K1648" s="1"/>
      <c r="L1648" s="1"/>
      <c r="M1648" s="1"/>
      <c r="N1648" s="1"/>
      <c r="O1648" s="1"/>
      <c r="P1648" s="1"/>
      <c r="Q1648" s="1"/>
      <c r="R1648" s="1"/>
      <c r="S1648" s="1"/>
      <c r="T1648" s="1"/>
    </row>
    <row r="1649" spans="1:20" ht="33.75" customHeight="1">
      <c r="A1649" s="1" t="s">
        <v>4592</v>
      </c>
      <c r="B1649" s="1" t="s">
        <v>4563</v>
      </c>
      <c r="C1649" s="4">
        <v>39906.556944444441</v>
      </c>
      <c r="D1649" s="1" t="s">
        <v>4176</v>
      </c>
      <c r="E1649" s="1"/>
      <c r="F1649" s="2" t="s">
        <v>4593</v>
      </c>
      <c r="G1649" s="1">
        <f ca="1">IFERROR(__xludf.DUMMYFUNCTION("COUNTA(SPLIT(F1649,"" ""))"),41)</f>
        <v>41</v>
      </c>
      <c r="H1649" s="1">
        <v>41</v>
      </c>
      <c r="I1649" s="1"/>
      <c r="J1649" s="1"/>
      <c r="K1649" s="1"/>
      <c r="L1649" s="1"/>
      <c r="M1649" s="1"/>
      <c r="N1649" s="1"/>
      <c r="O1649" s="1"/>
      <c r="P1649" s="1"/>
      <c r="Q1649" s="1"/>
      <c r="R1649" s="1"/>
      <c r="S1649" s="1"/>
      <c r="T1649" s="1"/>
    </row>
    <row r="1650" spans="1:20" ht="33.75" customHeight="1">
      <c r="A1650" s="1" t="s">
        <v>4594</v>
      </c>
      <c r="B1650" s="1" t="s">
        <v>4460</v>
      </c>
      <c r="C1650" s="4">
        <v>39906.813194444447</v>
      </c>
      <c r="D1650" s="1" t="s">
        <v>2893</v>
      </c>
      <c r="E1650" s="1"/>
      <c r="F1650" s="2" t="s">
        <v>4596</v>
      </c>
      <c r="G1650" s="1">
        <f ca="1">IFERROR(__xludf.DUMMYFUNCTION("COUNTA(SPLIT(F1650,"" ""))"),83)</f>
        <v>83</v>
      </c>
      <c r="H1650" s="1">
        <v>83</v>
      </c>
      <c r="I1650" s="1"/>
      <c r="J1650" s="1"/>
      <c r="K1650" s="1"/>
      <c r="L1650" s="1"/>
      <c r="M1650" s="1"/>
      <c r="N1650" s="1"/>
      <c r="O1650" s="1"/>
      <c r="P1650" s="1"/>
      <c r="Q1650" s="1"/>
      <c r="R1650" s="1"/>
      <c r="S1650" s="1"/>
      <c r="T1650" s="1"/>
    </row>
    <row r="1651" spans="1:20" ht="33.75" customHeight="1">
      <c r="A1651" s="1" t="s">
        <v>4597</v>
      </c>
      <c r="B1651" s="1" t="s">
        <v>4460</v>
      </c>
      <c r="C1651" s="4">
        <v>39906.826388888891</v>
      </c>
      <c r="D1651" s="1" t="s">
        <v>772</v>
      </c>
      <c r="E1651" s="1"/>
      <c r="F1651" s="2" t="s">
        <v>4598</v>
      </c>
      <c r="G1651" s="1">
        <f ca="1">IFERROR(__xludf.DUMMYFUNCTION("COUNTA(SPLIT(F1651,"" ""))"),22)</f>
        <v>22</v>
      </c>
      <c r="H1651" s="1">
        <v>22</v>
      </c>
      <c r="I1651" s="1"/>
      <c r="J1651" s="1"/>
      <c r="K1651" s="1"/>
      <c r="L1651" s="1"/>
      <c r="M1651" s="1"/>
      <c r="N1651" s="1"/>
      <c r="O1651" s="1"/>
      <c r="P1651" s="1"/>
      <c r="Q1651" s="1"/>
      <c r="R1651" s="1"/>
      <c r="S1651" s="1"/>
      <c r="T1651" s="1"/>
    </row>
    <row r="1652" spans="1:20" ht="33.75" customHeight="1">
      <c r="A1652" s="1" t="s">
        <v>4599</v>
      </c>
      <c r="B1652" s="1" t="s">
        <v>4460</v>
      </c>
      <c r="C1652" s="4">
        <v>39907.335416666669</v>
      </c>
      <c r="D1652" s="1" t="s">
        <v>4600</v>
      </c>
      <c r="E1652" s="1"/>
      <c r="F1652" s="2" t="s">
        <v>4601</v>
      </c>
      <c r="G1652" s="1">
        <f ca="1">IFERROR(__xludf.DUMMYFUNCTION("COUNTA(SPLIT(F1652,"" ""))"),34)</f>
        <v>34</v>
      </c>
      <c r="H1652" s="1">
        <v>34</v>
      </c>
      <c r="I1652" s="1"/>
      <c r="J1652" s="1"/>
      <c r="K1652" s="1"/>
      <c r="L1652" s="1"/>
      <c r="M1652" s="1"/>
      <c r="N1652" s="1"/>
      <c r="O1652" s="1"/>
      <c r="P1652" s="1"/>
      <c r="Q1652" s="1"/>
      <c r="R1652" s="1"/>
      <c r="S1652" s="1"/>
      <c r="T1652" s="1"/>
    </row>
    <row r="1653" spans="1:20" ht="33.75" hidden="1" customHeight="1">
      <c r="A1653" s="1" t="s">
        <v>4602</v>
      </c>
      <c r="B1653" s="1" t="s">
        <v>4460</v>
      </c>
      <c r="C1653" s="4">
        <v>39907.369444444441</v>
      </c>
      <c r="D1653" s="1" t="s">
        <v>2893</v>
      </c>
      <c r="E1653" s="1" t="s">
        <v>4597</v>
      </c>
      <c r="F1653" s="2" t="s">
        <v>4603</v>
      </c>
      <c r="G1653" s="1">
        <f ca="1">IFERROR(__xludf.DUMMYFUNCTION("COUNTA(SPLIT(F1653,"" ""))"),7)</f>
        <v>7</v>
      </c>
      <c r="H1653" s="1">
        <v>7</v>
      </c>
      <c r="I1653" s="1"/>
      <c r="J1653" s="1"/>
      <c r="K1653" s="1"/>
      <c r="L1653" s="1"/>
      <c r="M1653" s="1"/>
      <c r="N1653" s="1"/>
      <c r="O1653" s="1"/>
      <c r="P1653" s="1"/>
      <c r="Q1653" s="1"/>
      <c r="R1653" s="1"/>
      <c r="S1653" s="1"/>
      <c r="T1653" s="1"/>
    </row>
    <row r="1654" spans="1:20" ht="33.75" hidden="1" customHeight="1">
      <c r="A1654" s="1" t="s">
        <v>4604</v>
      </c>
      <c r="B1654" s="1" t="s">
        <v>4460</v>
      </c>
      <c r="C1654" s="4">
        <v>39907.386805555558</v>
      </c>
      <c r="D1654" s="1" t="s">
        <v>84</v>
      </c>
      <c r="E1654" s="1" t="s">
        <v>4599</v>
      </c>
      <c r="F1654" s="2" t="s">
        <v>4605</v>
      </c>
      <c r="G1654" s="1">
        <f ca="1">IFERROR(__xludf.DUMMYFUNCTION("COUNTA(SPLIT(F1654,"" ""))"),32)</f>
        <v>32</v>
      </c>
      <c r="H1654" s="1">
        <v>32</v>
      </c>
      <c r="I1654" s="1"/>
      <c r="J1654" s="1"/>
      <c r="K1654" s="1"/>
      <c r="L1654" s="1"/>
      <c r="M1654" s="1"/>
      <c r="N1654" s="1"/>
      <c r="O1654" s="1"/>
      <c r="P1654" s="1"/>
      <c r="Q1654" s="1"/>
      <c r="R1654" s="1"/>
      <c r="S1654" s="1"/>
      <c r="T1654" s="1"/>
    </row>
    <row r="1655" spans="1:20" ht="33.75" customHeight="1">
      <c r="A1655" s="1" t="s">
        <v>4606</v>
      </c>
      <c r="B1655" s="1" t="s">
        <v>4460</v>
      </c>
      <c r="C1655" s="4">
        <v>39907.390972222223</v>
      </c>
      <c r="D1655" s="1" t="s">
        <v>84</v>
      </c>
      <c r="E1655" s="1"/>
      <c r="F1655" s="2" t="s">
        <v>4607</v>
      </c>
      <c r="G1655" s="1">
        <f ca="1">IFERROR(__xludf.DUMMYFUNCTION("COUNTA(SPLIT(F1655,"" ""))"),47)</f>
        <v>47</v>
      </c>
      <c r="H1655" s="1">
        <v>47</v>
      </c>
      <c r="I1655" s="1"/>
      <c r="J1655" s="1"/>
      <c r="K1655" s="1"/>
      <c r="L1655" s="1"/>
      <c r="M1655" s="1"/>
      <c r="N1655" s="1"/>
      <c r="O1655" s="1"/>
      <c r="P1655" s="1"/>
      <c r="Q1655" s="1"/>
      <c r="R1655" s="1"/>
      <c r="S1655" s="1"/>
      <c r="T1655" s="1"/>
    </row>
    <row r="1656" spans="1:20" ht="33.75" customHeight="1">
      <c r="A1656" s="1" t="s">
        <v>4608</v>
      </c>
      <c r="B1656" s="1" t="s">
        <v>4460</v>
      </c>
      <c r="C1656" s="4">
        <v>39907.536111111112</v>
      </c>
      <c r="D1656" s="1" t="s">
        <v>772</v>
      </c>
      <c r="E1656" s="1"/>
      <c r="F1656" s="2" t="s">
        <v>4609</v>
      </c>
      <c r="G1656" s="1">
        <f ca="1">IFERROR(__xludf.DUMMYFUNCTION("COUNTA(SPLIT(F1656,"" ""))"),482)</f>
        <v>482</v>
      </c>
      <c r="H1656" s="1">
        <v>482</v>
      </c>
      <c r="I1656" s="1"/>
      <c r="J1656" s="1"/>
      <c r="K1656" s="1"/>
      <c r="L1656" s="1"/>
      <c r="M1656" s="1"/>
      <c r="N1656" s="1"/>
      <c r="O1656" s="1"/>
      <c r="P1656" s="1"/>
      <c r="Q1656" s="1"/>
      <c r="R1656" s="1"/>
      <c r="S1656" s="1"/>
      <c r="T1656" s="1"/>
    </row>
    <row r="1657" spans="1:20" ht="33.75" customHeight="1">
      <c r="A1657" s="1" t="s">
        <v>4610</v>
      </c>
      <c r="B1657" s="1" t="s">
        <v>3929</v>
      </c>
      <c r="C1657" s="4">
        <v>39907.728472222225</v>
      </c>
      <c r="D1657" s="1" t="s">
        <v>14</v>
      </c>
      <c r="E1657" s="1"/>
      <c r="F1657" s="2" t="s">
        <v>4612</v>
      </c>
      <c r="G1657" s="1">
        <f ca="1">IFERROR(__xludf.DUMMYFUNCTION("COUNTA(SPLIT(F1657,"" ""))"),227)</f>
        <v>227</v>
      </c>
      <c r="H1657" s="1">
        <v>227</v>
      </c>
      <c r="I1657" s="1"/>
      <c r="J1657" s="1"/>
      <c r="K1657" s="1"/>
      <c r="L1657" s="1"/>
      <c r="M1657" s="1"/>
      <c r="N1657" s="1"/>
      <c r="O1657" s="1"/>
      <c r="P1657" s="1"/>
      <c r="Q1657" s="1"/>
      <c r="R1657" s="1"/>
      <c r="S1657" s="1"/>
      <c r="T1657" s="1"/>
    </row>
    <row r="1658" spans="1:20" ht="33.75" hidden="1" customHeight="1">
      <c r="A1658" s="1" t="s">
        <v>4613</v>
      </c>
      <c r="B1658" s="1" t="s">
        <v>4460</v>
      </c>
      <c r="C1658" s="4">
        <v>39907.919444444444</v>
      </c>
      <c r="D1658" s="1" t="s">
        <v>4600</v>
      </c>
      <c r="E1658" s="1" t="s">
        <v>4604</v>
      </c>
      <c r="F1658" s="2" t="s">
        <v>4614</v>
      </c>
      <c r="G1658" s="1">
        <f ca="1">IFERROR(__xludf.DUMMYFUNCTION("COUNTA(SPLIT(F1658,"" ""))"),67)</f>
        <v>67</v>
      </c>
      <c r="H1658" s="1">
        <v>67</v>
      </c>
      <c r="I1658" s="1"/>
      <c r="J1658" s="1"/>
      <c r="K1658" s="1"/>
      <c r="L1658" s="1"/>
      <c r="M1658" s="1"/>
      <c r="N1658" s="1"/>
      <c r="O1658" s="1"/>
      <c r="P1658" s="1"/>
      <c r="Q1658" s="1"/>
      <c r="R1658" s="1"/>
      <c r="S1658" s="1"/>
      <c r="T1658" s="1"/>
    </row>
    <row r="1659" spans="1:20" ht="33.75" hidden="1" customHeight="1">
      <c r="A1659" s="1" t="s">
        <v>4615</v>
      </c>
      <c r="B1659" s="1" t="s">
        <v>4460</v>
      </c>
      <c r="C1659" s="4">
        <v>39907.977777777778</v>
      </c>
      <c r="D1659" s="1" t="s">
        <v>314</v>
      </c>
      <c r="E1659" s="1" t="s">
        <v>4531</v>
      </c>
      <c r="F1659" s="2" t="s">
        <v>4616</v>
      </c>
      <c r="G1659" s="1">
        <f ca="1">IFERROR(__xludf.DUMMYFUNCTION("COUNTA(SPLIT(F1659,"" ""))"),213)</f>
        <v>213</v>
      </c>
      <c r="H1659" s="1">
        <v>213</v>
      </c>
      <c r="I1659" s="1"/>
      <c r="J1659" s="1"/>
      <c r="K1659" s="1"/>
      <c r="L1659" s="1"/>
      <c r="M1659" s="1"/>
      <c r="N1659" s="1"/>
      <c r="O1659" s="1"/>
      <c r="P1659" s="1"/>
      <c r="Q1659" s="1"/>
      <c r="R1659" s="1"/>
      <c r="S1659" s="1"/>
      <c r="T1659" s="1"/>
    </row>
    <row r="1660" spans="1:20" ht="33.75" customHeight="1">
      <c r="A1660" s="1" t="s">
        <v>4617</v>
      </c>
      <c r="B1660" s="1" t="s">
        <v>4563</v>
      </c>
      <c r="C1660" s="4">
        <v>39908.238194444442</v>
      </c>
      <c r="D1660" s="1" t="s">
        <v>3610</v>
      </c>
      <c r="E1660" s="1"/>
      <c r="F1660" s="2" t="s">
        <v>4618</v>
      </c>
      <c r="G1660" s="1">
        <f ca="1">IFERROR(__xludf.DUMMYFUNCTION("COUNTA(SPLIT(F1660,"" ""))"),55)</f>
        <v>55</v>
      </c>
      <c r="H1660" s="1">
        <v>55</v>
      </c>
      <c r="I1660" s="1"/>
      <c r="J1660" s="1"/>
      <c r="K1660" s="1"/>
      <c r="L1660" s="1"/>
      <c r="M1660" s="1"/>
      <c r="N1660" s="1"/>
      <c r="O1660" s="1"/>
      <c r="P1660" s="1"/>
      <c r="Q1660" s="1"/>
      <c r="R1660" s="1"/>
      <c r="S1660" s="1"/>
      <c r="T1660" s="1"/>
    </row>
    <row r="1661" spans="1:20" ht="33.75" customHeight="1">
      <c r="A1661" s="1" t="s">
        <v>4619</v>
      </c>
      <c r="B1661" s="1" t="s">
        <v>3929</v>
      </c>
      <c r="C1661" s="4">
        <v>39908.288194444445</v>
      </c>
      <c r="D1661" s="1" t="s">
        <v>196</v>
      </c>
      <c r="E1661" s="1"/>
      <c r="F1661" s="2" t="s">
        <v>4621</v>
      </c>
      <c r="G1661" s="1">
        <f ca="1">IFERROR(__xludf.DUMMYFUNCTION("COUNTA(SPLIT(F1661,"" ""))"),140)</f>
        <v>140</v>
      </c>
      <c r="H1661" s="1">
        <v>140</v>
      </c>
      <c r="I1661" s="1"/>
      <c r="J1661" s="1"/>
      <c r="K1661" s="1"/>
      <c r="L1661" s="1"/>
      <c r="M1661" s="1"/>
      <c r="N1661" s="1"/>
      <c r="O1661" s="1"/>
      <c r="P1661" s="1"/>
      <c r="Q1661" s="1"/>
      <c r="R1661" s="1"/>
      <c r="S1661" s="1"/>
      <c r="T1661" s="1"/>
    </row>
    <row r="1662" spans="1:20" ht="33.75" customHeight="1">
      <c r="A1662" s="1" t="s">
        <v>4622</v>
      </c>
      <c r="B1662" s="1" t="s">
        <v>4563</v>
      </c>
      <c r="C1662" s="4">
        <v>39908.336805555555</v>
      </c>
      <c r="D1662" s="1" t="s">
        <v>54</v>
      </c>
      <c r="E1662" s="1"/>
      <c r="F1662" s="2" t="s">
        <v>4623</v>
      </c>
      <c r="G1662" s="1">
        <f ca="1">IFERROR(__xludf.DUMMYFUNCTION("COUNTA(SPLIT(F1662,"" ""))"),37)</f>
        <v>37</v>
      </c>
      <c r="H1662" s="1">
        <v>37</v>
      </c>
      <c r="I1662" s="1"/>
      <c r="J1662" s="1"/>
      <c r="K1662" s="1"/>
      <c r="L1662" s="1"/>
      <c r="M1662" s="1"/>
      <c r="N1662" s="1"/>
      <c r="O1662" s="1"/>
      <c r="P1662" s="1"/>
      <c r="Q1662" s="1"/>
      <c r="R1662" s="1"/>
      <c r="S1662" s="1"/>
      <c r="T1662" s="1"/>
    </row>
    <row r="1663" spans="1:20" ht="33.75" customHeight="1">
      <c r="A1663" s="1" t="s">
        <v>4624</v>
      </c>
      <c r="B1663" s="1" t="s">
        <v>4460</v>
      </c>
      <c r="C1663" s="4">
        <v>39908.510416666664</v>
      </c>
      <c r="D1663" s="1" t="s">
        <v>772</v>
      </c>
      <c r="E1663" s="1"/>
      <c r="F1663" s="2" t="s">
        <v>4625</v>
      </c>
      <c r="G1663" s="1">
        <f ca="1">IFERROR(__xludf.DUMMYFUNCTION("COUNTA(SPLIT(F1663,"" ""))"),684)</f>
        <v>684</v>
      </c>
      <c r="H1663" s="1">
        <v>684</v>
      </c>
      <c r="I1663" s="1"/>
      <c r="J1663" s="1"/>
      <c r="K1663" s="1"/>
      <c r="L1663" s="1"/>
      <c r="M1663" s="1"/>
      <c r="N1663" s="1"/>
      <c r="O1663" s="1"/>
      <c r="P1663" s="1"/>
      <c r="Q1663" s="1"/>
      <c r="R1663" s="1"/>
      <c r="S1663" s="1"/>
      <c r="T1663" s="1"/>
    </row>
    <row r="1664" spans="1:20" ht="33.75" hidden="1" customHeight="1">
      <c r="A1664" s="1" t="s">
        <v>4626</v>
      </c>
      <c r="B1664" s="1" t="s">
        <v>4460</v>
      </c>
      <c r="C1664" s="4">
        <v>39908.581250000003</v>
      </c>
      <c r="D1664" s="1" t="s">
        <v>32</v>
      </c>
      <c r="E1664" s="1" t="s">
        <v>4627</v>
      </c>
      <c r="F1664" s="2" t="s">
        <v>4628</v>
      </c>
      <c r="G1664" s="1">
        <f ca="1">IFERROR(__xludf.DUMMYFUNCTION("COUNTA(SPLIT(F1664,"" ""))"),298)</f>
        <v>298</v>
      </c>
      <c r="H1664" s="1">
        <v>298</v>
      </c>
      <c r="I1664" s="1"/>
      <c r="J1664" s="1"/>
      <c r="K1664" s="1"/>
      <c r="L1664" s="1"/>
      <c r="M1664" s="1"/>
      <c r="N1664" s="1"/>
      <c r="O1664" s="1"/>
      <c r="P1664" s="1"/>
      <c r="Q1664" s="1"/>
      <c r="R1664" s="1"/>
      <c r="S1664" s="1"/>
      <c r="T1664" s="1"/>
    </row>
    <row r="1665" spans="1:20" ht="33.75" customHeight="1">
      <c r="A1665" s="1" t="s">
        <v>4629</v>
      </c>
      <c r="B1665" s="1" t="s">
        <v>4460</v>
      </c>
      <c r="C1665" s="4">
        <v>39908.688888888886</v>
      </c>
      <c r="D1665" s="1" t="s">
        <v>32</v>
      </c>
      <c r="E1665" s="1"/>
      <c r="F1665" s="2" t="s">
        <v>4630</v>
      </c>
      <c r="G1665" s="1">
        <f ca="1">IFERROR(__xludf.DUMMYFUNCTION("COUNTA(SPLIT(F1665,"" ""))"),78)</f>
        <v>78</v>
      </c>
      <c r="H1665" s="1">
        <v>78</v>
      </c>
      <c r="I1665" s="1"/>
      <c r="J1665" s="1"/>
      <c r="K1665" s="1"/>
      <c r="L1665" s="1"/>
      <c r="M1665" s="1"/>
      <c r="N1665" s="1"/>
      <c r="O1665" s="1"/>
      <c r="P1665" s="1"/>
      <c r="Q1665" s="1"/>
      <c r="R1665" s="1"/>
      <c r="S1665" s="1"/>
      <c r="T1665" s="1"/>
    </row>
    <row r="1666" spans="1:20" ht="33.75" customHeight="1">
      <c r="A1666" s="1" t="s">
        <v>4631</v>
      </c>
      <c r="B1666" s="1" t="s">
        <v>4460</v>
      </c>
      <c r="C1666" s="4">
        <v>39908.701388888891</v>
      </c>
      <c r="D1666" s="1" t="s">
        <v>32</v>
      </c>
      <c r="E1666" s="1"/>
      <c r="F1666" s="2" t="s">
        <v>4633</v>
      </c>
      <c r="G1666" s="1">
        <f ca="1">IFERROR(__xludf.DUMMYFUNCTION("COUNTA(SPLIT(F1666,"" ""))"),132)</f>
        <v>132</v>
      </c>
      <c r="H1666" s="1">
        <v>132</v>
      </c>
      <c r="I1666" s="1"/>
      <c r="J1666" s="1"/>
      <c r="K1666" s="1"/>
      <c r="L1666" s="1"/>
      <c r="M1666" s="1"/>
      <c r="N1666" s="1"/>
      <c r="O1666" s="1"/>
      <c r="P1666" s="1"/>
      <c r="Q1666" s="1"/>
      <c r="R1666" s="1"/>
      <c r="S1666" s="1"/>
      <c r="T1666" s="1"/>
    </row>
    <row r="1667" spans="1:20" ht="33.75" hidden="1" customHeight="1">
      <c r="A1667" s="1" t="s">
        <v>4634</v>
      </c>
      <c r="B1667" s="1" t="s">
        <v>3929</v>
      </c>
      <c r="C1667" s="4">
        <v>39908.708333333336</v>
      </c>
      <c r="D1667" s="1" t="s">
        <v>196</v>
      </c>
      <c r="E1667" s="1" t="s">
        <v>4619</v>
      </c>
      <c r="F1667" s="2" t="s">
        <v>4635</v>
      </c>
      <c r="G1667" s="1">
        <f ca="1">IFERROR(__xludf.DUMMYFUNCTION("COUNTA(SPLIT(F1667,"" ""))"),706)</f>
        <v>706</v>
      </c>
      <c r="H1667" s="1">
        <v>706</v>
      </c>
      <c r="I1667" s="1"/>
      <c r="J1667" s="1"/>
      <c r="K1667" s="1"/>
      <c r="L1667" s="1"/>
      <c r="M1667" s="1"/>
      <c r="N1667" s="1"/>
      <c r="O1667" s="1"/>
      <c r="P1667" s="1"/>
      <c r="Q1667" s="1"/>
      <c r="R1667" s="1"/>
      <c r="S1667" s="1"/>
      <c r="T1667" s="1"/>
    </row>
    <row r="1668" spans="1:20" ht="33.75" customHeight="1">
      <c r="A1668" s="1" t="s">
        <v>4636</v>
      </c>
      <c r="B1668" s="1" t="s">
        <v>3929</v>
      </c>
      <c r="C1668" s="4">
        <v>39908.747916666667</v>
      </c>
      <c r="D1668" s="1" t="s">
        <v>14</v>
      </c>
      <c r="E1668" s="1"/>
      <c r="F1668" s="2" t="s">
        <v>4638</v>
      </c>
      <c r="G1668" s="1">
        <f ca="1">IFERROR(__xludf.DUMMYFUNCTION("COUNTA(SPLIT(F1668,"" ""))"),64)</f>
        <v>64</v>
      </c>
      <c r="H1668" s="1">
        <v>64</v>
      </c>
      <c r="I1668" s="1"/>
      <c r="J1668" s="1"/>
      <c r="K1668" s="1"/>
      <c r="L1668" s="1"/>
      <c r="M1668" s="1"/>
      <c r="N1668" s="1"/>
      <c r="O1668" s="1"/>
      <c r="P1668" s="1"/>
      <c r="Q1668" s="1"/>
      <c r="R1668" s="1"/>
      <c r="S1668" s="1"/>
      <c r="T1668" s="1"/>
    </row>
    <row r="1669" spans="1:20" ht="33.75" hidden="1" customHeight="1">
      <c r="A1669" s="1" t="s">
        <v>4639</v>
      </c>
      <c r="B1669" s="1" t="s">
        <v>3929</v>
      </c>
      <c r="C1669" s="4">
        <v>39908.751388888886</v>
      </c>
      <c r="D1669" s="1" t="s">
        <v>14</v>
      </c>
      <c r="E1669" s="1" t="s">
        <v>4636</v>
      </c>
      <c r="F1669" s="2" t="s">
        <v>4641</v>
      </c>
      <c r="G1669" s="1">
        <f ca="1">IFERROR(__xludf.DUMMYFUNCTION("COUNTA(SPLIT(F1669,"" ""))"),41)</f>
        <v>41</v>
      </c>
      <c r="H1669" s="1">
        <v>41</v>
      </c>
      <c r="I1669" s="1"/>
      <c r="J1669" s="1"/>
      <c r="K1669" s="1"/>
      <c r="L1669" s="1"/>
      <c r="M1669" s="1"/>
      <c r="N1669" s="1"/>
      <c r="O1669" s="1"/>
      <c r="P1669" s="1"/>
      <c r="Q1669" s="1"/>
      <c r="R1669" s="1"/>
      <c r="S1669" s="1"/>
      <c r="T1669" s="1"/>
    </row>
    <row r="1670" spans="1:20" ht="33.75" customHeight="1">
      <c r="A1670" s="1" t="s">
        <v>4642</v>
      </c>
      <c r="B1670" s="1" t="s">
        <v>3929</v>
      </c>
      <c r="C1670" s="4">
        <v>39908.769444444442</v>
      </c>
      <c r="D1670" s="1" t="s">
        <v>196</v>
      </c>
      <c r="E1670" s="1"/>
      <c r="F1670" s="2" t="s">
        <v>4643</v>
      </c>
      <c r="G1670" s="1">
        <f ca="1">IFERROR(__xludf.DUMMYFUNCTION("COUNTA(SPLIT(F1670,"" ""))"),64)</f>
        <v>64</v>
      </c>
      <c r="H1670" s="1">
        <v>64</v>
      </c>
      <c r="I1670" s="1"/>
      <c r="J1670" s="1"/>
      <c r="K1670" s="1"/>
      <c r="L1670" s="1"/>
      <c r="M1670" s="1"/>
      <c r="N1670" s="1"/>
      <c r="O1670" s="1"/>
      <c r="P1670" s="1"/>
      <c r="Q1670" s="1"/>
      <c r="R1670" s="1"/>
      <c r="S1670" s="1"/>
      <c r="T1670" s="1"/>
    </row>
    <row r="1671" spans="1:20" ht="33.75" hidden="1" customHeight="1">
      <c r="A1671" s="1" t="s">
        <v>4644</v>
      </c>
      <c r="B1671" s="1" t="s">
        <v>3929</v>
      </c>
      <c r="C1671" s="4">
        <v>39908.779166666667</v>
      </c>
      <c r="D1671" s="1" t="s">
        <v>196</v>
      </c>
      <c r="E1671" s="1" t="s">
        <v>4642</v>
      </c>
      <c r="F1671" s="2" t="s">
        <v>4645</v>
      </c>
      <c r="G1671" s="1">
        <f ca="1">IFERROR(__xludf.DUMMYFUNCTION("COUNTA(SPLIT(F1671,"" ""))"),45)</f>
        <v>45</v>
      </c>
      <c r="H1671" s="1">
        <v>45</v>
      </c>
      <c r="I1671" s="1"/>
      <c r="J1671" s="1"/>
      <c r="K1671" s="1"/>
      <c r="L1671" s="1"/>
      <c r="M1671" s="1"/>
      <c r="N1671" s="1"/>
      <c r="O1671" s="1"/>
      <c r="P1671" s="1"/>
      <c r="Q1671" s="1"/>
      <c r="R1671" s="1"/>
      <c r="S1671" s="1"/>
      <c r="T1671" s="1"/>
    </row>
    <row r="1672" spans="1:20" ht="33.75" customHeight="1">
      <c r="A1672" s="1" t="s">
        <v>4646</v>
      </c>
      <c r="B1672" s="1" t="s">
        <v>3929</v>
      </c>
      <c r="C1672" s="4">
        <v>39908.783333333333</v>
      </c>
      <c r="D1672" s="1" t="s">
        <v>14</v>
      </c>
      <c r="E1672" s="1"/>
      <c r="F1672" s="2" t="s">
        <v>4649</v>
      </c>
      <c r="G1672" s="1">
        <f ca="1">IFERROR(__xludf.DUMMYFUNCTION("COUNTA(SPLIT(F1672,"" ""))"),355)</f>
        <v>355</v>
      </c>
      <c r="H1672" s="1">
        <v>355</v>
      </c>
      <c r="I1672" s="1"/>
      <c r="J1672" s="1"/>
      <c r="K1672" s="1"/>
      <c r="L1672" s="1"/>
      <c r="M1672" s="1"/>
      <c r="N1672" s="1"/>
      <c r="O1672" s="1"/>
      <c r="P1672" s="1"/>
      <c r="Q1672" s="1"/>
      <c r="R1672" s="1"/>
      <c r="S1672" s="1"/>
      <c r="T1672" s="1"/>
    </row>
    <row r="1673" spans="1:20" ht="33.75" hidden="1" customHeight="1">
      <c r="A1673" s="1" t="s">
        <v>4650</v>
      </c>
      <c r="B1673" s="1" t="s">
        <v>3929</v>
      </c>
      <c r="C1673" s="4">
        <v>39908.794444444444</v>
      </c>
      <c r="D1673" s="1" t="s">
        <v>196</v>
      </c>
      <c r="E1673" s="1" t="s">
        <v>4646</v>
      </c>
      <c r="F1673" s="2" t="s">
        <v>4651</v>
      </c>
      <c r="G1673" s="1">
        <f ca="1">IFERROR(__xludf.DUMMYFUNCTION("COUNTA(SPLIT(F1673,"" ""))"),61)</f>
        <v>61</v>
      </c>
      <c r="H1673" s="1">
        <v>61</v>
      </c>
      <c r="I1673" s="1"/>
      <c r="J1673" s="1"/>
      <c r="K1673" s="1"/>
      <c r="L1673" s="1"/>
      <c r="M1673" s="1"/>
      <c r="N1673" s="1"/>
      <c r="O1673" s="1"/>
      <c r="P1673" s="1"/>
      <c r="Q1673" s="1"/>
      <c r="R1673" s="1"/>
      <c r="S1673" s="1"/>
      <c r="T1673" s="1"/>
    </row>
    <row r="1674" spans="1:20" ht="33.75" customHeight="1">
      <c r="A1674" s="1" t="s">
        <v>4652</v>
      </c>
      <c r="B1674" s="1" t="s">
        <v>3929</v>
      </c>
      <c r="C1674" s="4">
        <v>39908.815972222219</v>
      </c>
      <c r="D1674" s="1" t="s">
        <v>196</v>
      </c>
      <c r="E1674" s="1"/>
      <c r="F1674" s="2" t="s">
        <v>4653</v>
      </c>
      <c r="G1674" s="1">
        <f ca="1">IFERROR(__xludf.DUMMYFUNCTION("COUNTA(SPLIT(F1674,"" ""))"),42)</f>
        <v>42</v>
      </c>
      <c r="H1674" s="1">
        <v>42</v>
      </c>
      <c r="I1674" s="1"/>
      <c r="J1674" s="1"/>
      <c r="K1674" s="1"/>
      <c r="L1674" s="1"/>
      <c r="M1674" s="1"/>
      <c r="N1674" s="1"/>
      <c r="O1674" s="1"/>
      <c r="P1674" s="1"/>
      <c r="Q1674" s="1"/>
      <c r="R1674" s="1"/>
      <c r="S1674" s="1"/>
      <c r="T1674" s="1"/>
    </row>
    <row r="1675" spans="1:20" ht="33.75" customHeight="1">
      <c r="A1675" s="1" t="s">
        <v>4654</v>
      </c>
      <c r="B1675" s="1" t="s">
        <v>4460</v>
      </c>
      <c r="C1675" s="4">
        <v>39909.078472222223</v>
      </c>
      <c r="D1675" s="1" t="s">
        <v>1887</v>
      </c>
      <c r="E1675" s="1"/>
      <c r="F1675" s="2" t="s">
        <v>4655</v>
      </c>
      <c r="G1675" s="1">
        <f ca="1">IFERROR(__xludf.DUMMYFUNCTION("COUNTA(SPLIT(F1675,"" ""))"),37)</f>
        <v>37</v>
      </c>
      <c r="H1675" s="1">
        <v>37</v>
      </c>
      <c r="I1675" s="1"/>
      <c r="J1675" s="1"/>
      <c r="K1675" s="1"/>
      <c r="L1675" s="1"/>
      <c r="M1675" s="1"/>
      <c r="N1675" s="1"/>
      <c r="O1675" s="1"/>
      <c r="P1675" s="1"/>
      <c r="Q1675" s="1"/>
      <c r="R1675" s="1"/>
      <c r="S1675" s="1"/>
      <c r="T1675" s="1"/>
    </row>
    <row r="1676" spans="1:20" ht="33.75" customHeight="1">
      <c r="A1676" s="1" t="s">
        <v>4656</v>
      </c>
      <c r="B1676" s="1" t="s">
        <v>4151</v>
      </c>
      <c r="C1676" s="4">
        <v>39909.289583333331</v>
      </c>
      <c r="D1676" s="1" t="s">
        <v>4657</v>
      </c>
      <c r="E1676" s="1"/>
      <c r="F1676" s="2" t="s">
        <v>4659</v>
      </c>
      <c r="G1676" s="1">
        <f ca="1">IFERROR(__xludf.DUMMYFUNCTION("COUNTA(SPLIT(F1676,"" ""))"),103)</f>
        <v>103</v>
      </c>
      <c r="H1676" s="1">
        <v>103</v>
      </c>
      <c r="I1676" s="1"/>
      <c r="J1676" s="1"/>
      <c r="K1676" s="1"/>
      <c r="L1676" s="1"/>
      <c r="M1676" s="1"/>
      <c r="N1676" s="1"/>
      <c r="O1676" s="1"/>
      <c r="P1676" s="1"/>
      <c r="Q1676" s="1"/>
      <c r="R1676" s="1"/>
      <c r="S1676" s="1"/>
      <c r="T1676" s="1"/>
    </row>
    <row r="1677" spans="1:20" ht="33.75" customHeight="1">
      <c r="A1677" s="1" t="s">
        <v>4660</v>
      </c>
      <c r="B1677" s="1" t="s">
        <v>4460</v>
      </c>
      <c r="C1677" s="4">
        <v>39909.326388888891</v>
      </c>
      <c r="D1677" s="1" t="s">
        <v>84</v>
      </c>
      <c r="E1677" s="1"/>
      <c r="F1677" s="2" t="s">
        <v>4663</v>
      </c>
      <c r="G1677" s="1">
        <f ca="1">IFERROR(__xludf.DUMMYFUNCTION("COUNTA(SPLIT(F1677,"" ""))"),66)</f>
        <v>66</v>
      </c>
      <c r="H1677" s="1">
        <v>66</v>
      </c>
      <c r="I1677" s="1"/>
      <c r="J1677" s="1"/>
      <c r="K1677" s="1"/>
      <c r="L1677" s="1"/>
      <c r="M1677" s="1"/>
      <c r="N1677" s="1"/>
      <c r="O1677" s="1"/>
      <c r="P1677" s="1"/>
      <c r="Q1677" s="1"/>
      <c r="R1677" s="1"/>
      <c r="S1677" s="1"/>
      <c r="T1677" s="1"/>
    </row>
    <row r="1678" spans="1:20" ht="33.75" customHeight="1">
      <c r="A1678" s="1" t="s">
        <v>4664</v>
      </c>
      <c r="B1678" s="1" t="s">
        <v>4460</v>
      </c>
      <c r="C1678" s="4">
        <v>39909.463194444441</v>
      </c>
      <c r="D1678" s="1" t="s">
        <v>4665</v>
      </c>
      <c r="E1678" s="1"/>
      <c r="F1678" s="2" t="s">
        <v>4667</v>
      </c>
      <c r="G1678" s="1">
        <f ca="1">IFERROR(__xludf.DUMMYFUNCTION("COUNTA(SPLIT(F1678,"" ""))"),55)</f>
        <v>55</v>
      </c>
      <c r="H1678" s="1">
        <v>55</v>
      </c>
      <c r="I1678" s="1"/>
      <c r="J1678" s="1"/>
      <c r="K1678" s="1"/>
      <c r="L1678" s="1"/>
      <c r="M1678" s="1"/>
      <c r="N1678" s="1"/>
      <c r="O1678" s="1"/>
      <c r="P1678" s="1"/>
      <c r="Q1678" s="1"/>
      <c r="R1678" s="1"/>
      <c r="S1678" s="1"/>
      <c r="T1678" s="1"/>
    </row>
    <row r="1679" spans="1:20" ht="33.75" customHeight="1">
      <c r="A1679" s="1" t="s">
        <v>4668</v>
      </c>
      <c r="B1679" s="1" t="s">
        <v>4460</v>
      </c>
      <c r="C1679" s="4">
        <v>39909.477083333331</v>
      </c>
      <c r="D1679" s="1" t="s">
        <v>32</v>
      </c>
      <c r="E1679" s="1"/>
      <c r="F1679" s="2" t="s">
        <v>4669</v>
      </c>
      <c r="G1679" s="1">
        <f ca="1">IFERROR(__xludf.DUMMYFUNCTION("COUNTA(SPLIT(F1679,"" ""))"),298)</f>
        <v>298</v>
      </c>
      <c r="H1679" s="1">
        <v>298</v>
      </c>
      <c r="I1679" s="1"/>
      <c r="J1679" s="1"/>
      <c r="K1679" s="1"/>
      <c r="L1679" s="1"/>
      <c r="M1679" s="1"/>
      <c r="N1679" s="1"/>
      <c r="O1679" s="1"/>
      <c r="P1679" s="1"/>
      <c r="Q1679" s="1"/>
      <c r="R1679" s="1"/>
      <c r="S1679" s="1"/>
      <c r="T1679" s="1"/>
    </row>
    <row r="1680" spans="1:20" ht="33.75" hidden="1" customHeight="1">
      <c r="A1680" s="1" t="s">
        <v>4670</v>
      </c>
      <c r="B1680" s="1" t="s">
        <v>4460</v>
      </c>
      <c r="C1680" s="4">
        <v>39909.482638888891</v>
      </c>
      <c r="D1680" s="1" t="s">
        <v>32</v>
      </c>
      <c r="E1680" s="1" t="s">
        <v>4668</v>
      </c>
      <c r="F1680" s="2" t="s">
        <v>4672</v>
      </c>
      <c r="G1680" s="1">
        <f ca="1">IFERROR(__xludf.DUMMYFUNCTION("COUNTA(SPLIT(F1680,"" ""))"),43)</f>
        <v>43</v>
      </c>
      <c r="H1680" s="1">
        <v>43</v>
      </c>
      <c r="I1680" s="1"/>
      <c r="J1680" s="1"/>
      <c r="K1680" s="1"/>
      <c r="L1680" s="1"/>
      <c r="M1680" s="1"/>
      <c r="N1680" s="1"/>
      <c r="O1680" s="1"/>
      <c r="P1680" s="1"/>
      <c r="Q1680" s="1"/>
      <c r="R1680" s="1"/>
      <c r="S1680" s="1"/>
      <c r="T1680" s="1"/>
    </row>
    <row r="1681" spans="1:20" ht="33.75" hidden="1" customHeight="1">
      <c r="A1681" s="1" t="s">
        <v>4673</v>
      </c>
      <c r="B1681" s="1" t="s">
        <v>3929</v>
      </c>
      <c r="C1681" s="4">
        <v>39909.932638888888</v>
      </c>
      <c r="D1681" s="1" t="s">
        <v>320</v>
      </c>
      <c r="E1681" s="1" t="s">
        <v>4610</v>
      </c>
      <c r="F1681" s="2" t="s">
        <v>4675</v>
      </c>
      <c r="G1681" s="1">
        <f ca="1">IFERROR(__xludf.DUMMYFUNCTION("COUNTA(SPLIT(F1681,"" ""))"),216)</f>
        <v>216</v>
      </c>
      <c r="H1681" s="1">
        <v>216</v>
      </c>
      <c r="I1681" s="1"/>
      <c r="J1681" s="1"/>
      <c r="K1681" s="1"/>
      <c r="L1681" s="1"/>
      <c r="M1681" s="1"/>
      <c r="N1681" s="1"/>
      <c r="O1681" s="1"/>
      <c r="P1681" s="1"/>
      <c r="Q1681" s="1"/>
      <c r="R1681" s="1"/>
      <c r="S1681" s="1"/>
      <c r="T1681" s="1"/>
    </row>
    <row r="1682" spans="1:20" ht="33.75" hidden="1" customHeight="1">
      <c r="A1682" s="1" t="s">
        <v>4676</v>
      </c>
      <c r="B1682" s="1" t="s">
        <v>3929</v>
      </c>
      <c r="C1682" s="4">
        <v>39909.94027777778</v>
      </c>
      <c r="D1682" s="1" t="s">
        <v>320</v>
      </c>
      <c r="E1682" s="1" t="s">
        <v>4610</v>
      </c>
      <c r="F1682" s="2" t="s">
        <v>4678</v>
      </c>
      <c r="G1682" s="1">
        <f ca="1">IFERROR(__xludf.DUMMYFUNCTION("COUNTA(SPLIT(F1682,"" ""))"),211)</f>
        <v>211</v>
      </c>
      <c r="H1682" s="1">
        <v>211</v>
      </c>
      <c r="I1682" s="1"/>
      <c r="J1682" s="1"/>
      <c r="K1682" s="1"/>
      <c r="L1682" s="1"/>
      <c r="M1682" s="1"/>
      <c r="N1682" s="1"/>
      <c r="O1682" s="1"/>
      <c r="P1682" s="1"/>
      <c r="Q1682" s="1"/>
      <c r="R1682" s="1"/>
      <c r="S1682" s="1"/>
      <c r="T1682" s="1"/>
    </row>
    <row r="1683" spans="1:20" ht="33.75" customHeight="1">
      <c r="A1683" s="1" t="s">
        <v>4679</v>
      </c>
      <c r="B1683" s="1" t="s">
        <v>4460</v>
      </c>
      <c r="C1683" s="4">
        <v>39909.941666666666</v>
      </c>
      <c r="D1683" s="1" t="s">
        <v>1089</v>
      </c>
      <c r="E1683" s="1"/>
      <c r="F1683" s="2" t="s">
        <v>4680</v>
      </c>
      <c r="G1683" s="1">
        <f ca="1">IFERROR(__xludf.DUMMYFUNCTION("COUNTA(SPLIT(F1683,"" ""))"),46)</f>
        <v>46</v>
      </c>
      <c r="H1683" s="1">
        <v>46</v>
      </c>
      <c r="I1683" s="1"/>
      <c r="J1683" s="1"/>
      <c r="K1683" s="1"/>
      <c r="L1683" s="1"/>
      <c r="M1683" s="1"/>
      <c r="N1683" s="1"/>
      <c r="O1683" s="1"/>
      <c r="P1683" s="1"/>
      <c r="Q1683" s="1"/>
      <c r="R1683" s="1"/>
      <c r="S1683" s="1"/>
      <c r="T1683" s="1"/>
    </row>
    <row r="1684" spans="1:20" ht="33.75" hidden="1" customHeight="1">
      <c r="A1684" s="1" t="s">
        <v>4681</v>
      </c>
      <c r="B1684" s="1" t="s">
        <v>4460</v>
      </c>
      <c r="C1684" s="4">
        <v>39910.330555555556</v>
      </c>
      <c r="D1684" s="1" t="s">
        <v>4600</v>
      </c>
      <c r="E1684" s="1" t="s">
        <v>4682</v>
      </c>
      <c r="F1684" s="2" t="s">
        <v>4683</v>
      </c>
      <c r="G1684" s="1">
        <f ca="1">IFERROR(__xludf.DUMMYFUNCTION("COUNTA(SPLIT(F1684,"" ""))"),30)</f>
        <v>30</v>
      </c>
      <c r="H1684" s="1">
        <v>30</v>
      </c>
      <c r="I1684" s="1"/>
      <c r="J1684" s="1"/>
      <c r="K1684" s="1"/>
      <c r="L1684" s="1"/>
      <c r="M1684" s="1"/>
      <c r="N1684" s="1"/>
      <c r="O1684" s="1"/>
      <c r="P1684" s="1"/>
      <c r="Q1684" s="1"/>
      <c r="R1684" s="1"/>
      <c r="S1684" s="1"/>
      <c r="T1684" s="1"/>
    </row>
    <row r="1685" spans="1:20" ht="33.75" customHeight="1">
      <c r="A1685" s="1" t="s">
        <v>4684</v>
      </c>
      <c r="B1685" s="1" t="s">
        <v>4460</v>
      </c>
      <c r="C1685" s="4">
        <v>39910.331944444442</v>
      </c>
      <c r="D1685" s="1" t="s">
        <v>4600</v>
      </c>
      <c r="E1685" s="1"/>
      <c r="F1685" s="2" t="s">
        <v>4685</v>
      </c>
      <c r="G1685" s="1">
        <f ca="1">IFERROR(__xludf.DUMMYFUNCTION("COUNTA(SPLIT(F1685,"" ""))"),9)</f>
        <v>9</v>
      </c>
      <c r="H1685" s="1">
        <v>9</v>
      </c>
      <c r="I1685" s="1"/>
      <c r="J1685" s="1"/>
      <c r="K1685" s="1"/>
      <c r="L1685" s="1"/>
      <c r="M1685" s="1"/>
      <c r="N1685" s="1"/>
      <c r="O1685" s="1"/>
      <c r="P1685" s="1"/>
      <c r="Q1685" s="1"/>
      <c r="R1685" s="1"/>
      <c r="S1685" s="1"/>
      <c r="T1685" s="1"/>
    </row>
    <row r="1686" spans="1:20" ht="33.75" customHeight="1">
      <c r="A1686" s="1" t="s">
        <v>4686</v>
      </c>
      <c r="B1686" s="1" t="s">
        <v>4460</v>
      </c>
      <c r="C1686" s="4">
        <v>39910.511111111111</v>
      </c>
      <c r="D1686" s="1" t="s">
        <v>772</v>
      </c>
      <c r="E1686" s="1"/>
      <c r="F1686" s="2" t="s">
        <v>4687</v>
      </c>
      <c r="G1686" s="1">
        <f ca="1">IFERROR(__xludf.DUMMYFUNCTION("COUNTA(SPLIT(F1686,"" ""))"),251)</f>
        <v>251</v>
      </c>
      <c r="H1686" s="1">
        <v>251</v>
      </c>
      <c r="I1686" s="1"/>
      <c r="J1686" s="1"/>
      <c r="K1686" s="1"/>
      <c r="L1686" s="1"/>
      <c r="M1686" s="1"/>
      <c r="N1686" s="1"/>
      <c r="O1686" s="1"/>
      <c r="P1686" s="1"/>
      <c r="Q1686" s="1"/>
      <c r="R1686" s="1"/>
      <c r="S1686" s="1"/>
      <c r="T1686" s="1"/>
    </row>
    <row r="1687" spans="1:20" ht="33.75" customHeight="1">
      <c r="A1687" s="1" t="s">
        <v>4688</v>
      </c>
      <c r="B1687" s="1" t="s">
        <v>4460</v>
      </c>
      <c r="C1687" s="4">
        <v>39911.227083333331</v>
      </c>
      <c r="D1687" s="1" t="s">
        <v>1089</v>
      </c>
      <c r="E1687" s="1"/>
      <c r="F1687" s="2" t="s">
        <v>4689</v>
      </c>
      <c r="G1687" s="1">
        <f ca="1">IFERROR(__xludf.DUMMYFUNCTION("COUNTA(SPLIT(F1687,"" ""))"),21)</f>
        <v>21</v>
      </c>
      <c r="H1687" s="1">
        <v>21</v>
      </c>
      <c r="I1687" s="1"/>
      <c r="J1687" s="1"/>
      <c r="K1687" s="1"/>
      <c r="L1687" s="1"/>
      <c r="M1687" s="1"/>
      <c r="N1687" s="1"/>
      <c r="O1687" s="1"/>
      <c r="P1687" s="1"/>
      <c r="Q1687" s="1"/>
      <c r="R1687" s="1"/>
      <c r="S1687" s="1"/>
      <c r="T1687" s="1"/>
    </row>
    <row r="1688" spans="1:20" ht="33.75" customHeight="1">
      <c r="A1688" s="1" t="s">
        <v>4690</v>
      </c>
      <c r="B1688" s="1" t="s">
        <v>4460</v>
      </c>
      <c r="C1688" s="4">
        <v>39911.350694444445</v>
      </c>
      <c r="D1688" s="1" t="s">
        <v>1089</v>
      </c>
      <c r="E1688" s="1"/>
      <c r="F1688" s="2" t="s">
        <v>4691</v>
      </c>
      <c r="G1688" s="1">
        <f ca="1">IFERROR(__xludf.DUMMYFUNCTION("COUNTA(SPLIT(F1688,"" ""))"),156)</f>
        <v>156</v>
      </c>
      <c r="H1688" s="1">
        <v>156</v>
      </c>
      <c r="I1688" s="1"/>
      <c r="J1688" s="1"/>
      <c r="K1688" s="1"/>
      <c r="L1688" s="1"/>
      <c r="M1688" s="1"/>
      <c r="N1688" s="1"/>
      <c r="O1688" s="1"/>
      <c r="P1688" s="1"/>
      <c r="Q1688" s="1"/>
      <c r="R1688" s="1"/>
      <c r="S1688" s="1"/>
      <c r="T1688" s="1"/>
    </row>
    <row r="1689" spans="1:20" ht="33.75" customHeight="1">
      <c r="A1689" s="1" t="s">
        <v>4692</v>
      </c>
      <c r="B1689" s="1" t="s">
        <v>4460</v>
      </c>
      <c r="C1689" s="4">
        <v>39911.394444444442</v>
      </c>
      <c r="D1689" s="1" t="s">
        <v>1887</v>
      </c>
      <c r="E1689" s="1"/>
      <c r="F1689" s="2" t="s">
        <v>4693</v>
      </c>
      <c r="G1689" s="1">
        <f ca="1">IFERROR(__xludf.DUMMYFUNCTION("COUNTA(SPLIT(F1689,"" ""))"),97)</f>
        <v>97</v>
      </c>
      <c r="H1689" s="1">
        <v>97</v>
      </c>
      <c r="I1689" s="1"/>
      <c r="J1689" s="1"/>
      <c r="K1689" s="1"/>
      <c r="L1689" s="1"/>
      <c r="M1689" s="1"/>
      <c r="N1689" s="1"/>
      <c r="O1689" s="1"/>
      <c r="P1689" s="1"/>
      <c r="Q1689" s="1"/>
      <c r="R1689" s="1"/>
      <c r="S1689" s="1"/>
      <c r="T1689" s="1"/>
    </row>
    <row r="1690" spans="1:20" ht="33.75" customHeight="1">
      <c r="A1690" s="1" t="s">
        <v>4694</v>
      </c>
      <c r="B1690" s="1" t="s">
        <v>4460</v>
      </c>
      <c r="C1690" s="4">
        <v>39911.550000000003</v>
      </c>
      <c r="D1690" s="1" t="s">
        <v>772</v>
      </c>
      <c r="E1690" s="1"/>
      <c r="F1690" s="2" t="s">
        <v>4695</v>
      </c>
      <c r="G1690" s="1">
        <f ca="1">IFERROR(__xludf.DUMMYFUNCTION("COUNTA(SPLIT(F1690,"" ""))"),152)</f>
        <v>152</v>
      </c>
      <c r="H1690" s="1">
        <v>152</v>
      </c>
      <c r="I1690" s="1"/>
      <c r="J1690" s="1"/>
      <c r="K1690" s="1"/>
      <c r="L1690" s="1"/>
      <c r="M1690" s="1"/>
      <c r="N1690" s="1"/>
      <c r="O1690" s="1"/>
      <c r="P1690" s="1"/>
      <c r="Q1690" s="1"/>
      <c r="R1690" s="1"/>
      <c r="S1690" s="1"/>
      <c r="T1690" s="1"/>
    </row>
    <row r="1691" spans="1:20" ht="33.75" customHeight="1">
      <c r="A1691" s="1" t="s">
        <v>4696</v>
      </c>
      <c r="B1691" s="1" t="s">
        <v>4563</v>
      </c>
      <c r="C1691" s="4">
        <v>39912.209027777775</v>
      </c>
      <c r="D1691" s="1" t="s">
        <v>3610</v>
      </c>
      <c r="E1691" s="1"/>
      <c r="F1691" s="2" t="s">
        <v>4697</v>
      </c>
      <c r="G1691" s="1">
        <f ca="1">IFERROR(__xludf.DUMMYFUNCTION("COUNTA(SPLIT(F1691,"" ""))"),91)</f>
        <v>91</v>
      </c>
      <c r="H1691" s="1">
        <v>91</v>
      </c>
      <c r="I1691" s="1"/>
      <c r="J1691" s="1"/>
      <c r="K1691" s="1"/>
      <c r="L1691" s="1"/>
      <c r="M1691" s="1"/>
      <c r="N1691" s="1"/>
      <c r="O1691" s="1"/>
      <c r="P1691" s="1"/>
      <c r="Q1691" s="1"/>
      <c r="R1691" s="1"/>
      <c r="S1691" s="1"/>
      <c r="T1691" s="1"/>
    </row>
    <row r="1692" spans="1:20" ht="33.75" hidden="1" customHeight="1">
      <c r="A1692" s="1" t="s">
        <v>4698</v>
      </c>
      <c r="B1692" s="1" t="s">
        <v>4563</v>
      </c>
      <c r="C1692" s="4">
        <v>39912.313888888886</v>
      </c>
      <c r="D1692" s="1" t="s">
        <v>54</v>
      </c>
      <c r="E1692" s="1" t="s">
        <v>4696</v>
      </c>
      <c r="F1692" s="2" t="s">
        <v>4699</v>
      </c>
      <c r="G1692" s="1">
        <f ca="1">IFERROR(__xludf.DUMMYFUNCTION("COUNTA(SPLIT(F1692,"" ""))"),43)</f>
        <v>43</v>
      </c>
      <c r="H1692" s="1">
        <v>43</v>
      </c>
      <c r="I1692" s="1"/>
      <c r="J1692" s="1"/>
      <c r="K1692" s="1"/>
      <c r="L1692" s="1"/>
      <c r="M1692" s="1"/>
      <c r="N1692" s="1"/>
      <c r="O1692" s="1"/>
      <c r="P1692" s="1"/>
      <c r="Q1692" s="1"/>
      <c r="R1692" s="1"/>
      <c r="S1692" s="1"/>
      <c r="T1692" s="1"/>
    </row>
    <row r="1693" spans="1:20" ht="33.75" customHeight="1">
      <c r="A1693" s="1" t="s">
        <v>4700</v>
      </c>
      <c r="B1693" s="1" t="s">
        <v>4460</v>
      </c>
      <c r="C1693" s="4">
        <v>39912.497916666667</v>
      </c>
      <c r="D1693" s="1" t="s">
        <v>772</v>
      </c>
      <c r="E1693" s="1"/>
      <c r="F1693" s="2" t="s">
        <v>4701</v>
      </c>
      <c r="G1693" s="1">
        <f ca="1">IFERROR(__xludf.DUMMYFUNCTION("COUNTA(SPLIT(F1693,"" ""))"),172)</f>
        <v>172</v>
      </c>
      <c r="H1693" s="1">
        <v>172</v>
      </c>
      <c r="I1693" s="1"/>
      <c r="J1693" s="1"/>
      <c r="K1693" s="1"/>
      <c r="L1693" s="1"/>
      <c r="M1693" s="1"/>
      <c r="N1693" s="1"/>
      <c r="O1693" s="1"/>
      <c r="P1693" s="1"/>
      <c r="Q1693" s="1"/>
      <c r="R1693" s="1"/>
      <c r="S1693" s="1"/>
      <c r="T1693" s="1"/>
    </row>
    <row r="1694" spans="1:20" ht="33.75" customHeight="1">
      <c r="A1694" s="1" t="s">
        <v>4702</v>
      </c>
      <c r="B1694" s="1" t="s">
        <v>3929</v>
      </c>
      <c r="C1694" s="4">
        <v>39912.881249999999</v>
      </c>
      <c r="D1694" s="1" t="s">
        <v>54</v>
      </c>
      <c r="E1694" s="1"/>
      <c r="F1694" s="2" t="s">
        <v>4704</v>
      </c>
      <c r="G1694" s="1">
        <f ca="1">IFERROR(__xludf.DUMMYFUNCTION("COUNTA(SPLIT(F1694,"" ""))"),285)</f>
        <v>285</v>
      </c>
      <c r="H1694" s="1">
        <v>285</v>
      </c>
      <c r="I1694" s="1"/>
      <c r="J1694" s="1"/>
      <c r="K1694" s="1"/>
      <c r="L1694" s="1"/>
      <c r="M1694" s="1"/>
      <c r="N1694" s="1"/>
      <c r="O1694" s="1"/>
      <c r="P1694" s="1"/>
      <c r="Q1694" s="1"/>
      <c r="R1694" s="1"/>
      <c r="S1694" s="1"/>
      <c r="T1694" s="1"/>
    </row>
    <row r="1695" spans="1:20" ht="33.75" customHeight="1">
      <c r="A1695" s="1" t="s">
        <v>4705</v>
      </c>
      <c r="B1695" s="1" t="s">
        <v>4460</v>
      </c>
      <c r="C1695" s="4">
        <v>39912.884027777778</v>
      </c>
      <c r="D1695" s="1" t="s">
        <v>772</v>
      </c>
      <c r="E1695" s="1"/>
      <c r="F1695" s="2" t="s">
        <v>4706</v>
      </c>
      <c r="G1695" s="1">
        <f ca="1">IFERROR(__xludf.DUMMYFUNCTION("COUNTA(SPLIT(F1695,"" ""))"),53)</f>
        <v>53</v>
      </c>
      <c r="H1695" s="1">
        <v>53</v>
      </c>
      <c r="I1695" s="1"/>
      <c r="J1695" s="1"/>
      <c r="K1695" s="1"/>
      <c r="L1695" s="1"/>
      <c r="M1695" s="1"/>
      <c r="N1695" s="1"/>
      <c r="O1695" s="1"/>
      <c r="P1695" s="1"/>
      <c r="Q1695" s="1"/>
      <c r="R1695" s="1"/>
      <c r="S1695" s="1"/>
      <c r="T1695" s="1"/>
    </row>
    <row r="1696" spans="1:20" ht="33.75" hidden="1" customHeight="1">
      <c r="A1696" s="1" t="s">
        <v>4707</v>
      </c>
      <c r="B1696" s="1" t="s">
        <v>846</v>
      </c>
      <c r="C1696" s="4">
        <v>39914.470138888886</v>
      </c>
      <c r="D1696" s="1" t="s">
        <v>2242</v>
      </c>
      <c r="E1696" s="1">
        <v>228</v>
      </c>
      <c r="F1696" s="2" t="s">
        <v>4708</v>
      </c>
      <c r="G1696" s="1">
        <f ca="1">IFERROR(__xludf.DUMMYFUNCTION("COUNTA(SPLIT(F1696,"" ""))"),27)</f>
        <v>27</v>
      </c>
      <c r="H1696" s="1">
        <v>27</v>
      </c>
      <c r="I1696" s="1"/>
      <c r="J1696" s="1"/>
      <c r="K1696" s="1"/>
      <c r="L1696" s="1"/>
      <c r="M1696" s="1"/>
      <c r="N1696" s="1"/>
      <c r="O1696" s="1"/>
      <c r="P1696" s="1"/>
      <c r="Q1696" s="1"/>
      <c r="R1696" s="1"/>
      <c r="S1696" s="1"/>
      <c r="T1696" s="1"/>
    </row>
    <row r="1697" spans="1:20" ht="33.75" hidden="1" customHeight="1">
      <c r="A1697" s="1" t="s">
        <v>4709</v>
      </c>
      <c r="B1697" s="1" t="s">
        <v>4460</v>
      </c>
      <c r="C1697" s="4">
        <v>39915.15902777778</v>
      </c>
      <c r="D1697" s="1" t="s">
        <v>1089</v>
      </c>
      <c r="E1697" s="1" t="s">
        <v>4710</v>
      </c>
      <c r="F1697" s="2" t="s">
        <v>4711</v>
      </c>
      <c r="G1697" s="1">
        <f ca="1">IFERROR(__xludf.DUMMYFUNCTION("COUNTA(SPLIT(F1697,"" ""))"),85)</f>
        <v>85</v>
      </c>
      <c r="H1697" s="1">
        <v>85</v>
      </c>
      <c r="I1697" s="1"/>
      <c r="J1697" s="1"/>
      <c r="K1697" s="1"/>
      <c r="L1697" s="1"/>
      <c r="M1697" s="1"/>
      <c r="N1697" s="1"/>
      <c r="O1697" s="1"/>
      <c r="P1697" s="1"/>
      <c r="Q1697" s="1"/>
      <c r="R1697" s="1"/>
      <c r="S1697" s="1"/>
      <c r="T1697" s="1"/>
    </row>
    <row r="1698" spans="1:20" ht="33.75" customHeight="1">
      <c r="A1698" s="1" t="s">
        <v>4712</v>
      </c>
      <c r="B1698" s="1" t="s">
        <v>4460</v>
      </c>
      <c r="C1698" s="4">
        <v>39915.177083333336</v>
      </c>
      <c r="D1698" s="1" t="s">
        <v>1089</v>
      </c>
      <c r="E1698" s="1"/>
      <c r="F1698" s="2" t="s">
        <v>4713</v>
      </c>
      <c r="G1698" s="1">
        <f ca="1">IFERROR(__xludf.DUMMYFUNCTION("COUNTA(SPLIT(F1698,"" ""))"),39)</f>
        <v>39</v>
      </c>
      <c r="H1698" s="1">
        <v>39</v>
      </c>
      <c r="I1698" s="1"/>
      <c r="J1698" s="1"/>
      <c r="K1698" s="1"/>
      <c r="L1698" s="1"/>
      <c r="M1698" s="1"/>
      <c r="N1698" s="1"/>
      <c r="O1698" s="1"/>
      <c r="P1698" s="1"/>
      <c r="Q1698" s="1"/>
      <c r="R1698" s="1"/>
      <c r="S1698" s="1"/>
      <c r="T1698" s="1"/>
    </row>
    <row r="1699" spans="1:20" ht="33.75" hidden="1" customHeight="1">
      <c r="A1699" s="1" t="s">
        <v>4714</v>
      </c>
      <c r="B1699" s="1" t="s">
        <v>4460</v>
      </c>
      <c r="C1699" s="4">
        <v>39917.461805555555</v>
      </c>
      <c r="D1699" s="1" t="s">
        <v>772</v>
      </c>
      <c r="E1699" s="1">
        <v>1170</v>
      </c>
      <c r="F1699" s="2" t="s">
        <v>4715</v>
      </c>
      <c r="G1699" s="1">
        <f ca="1">IFERROR(__xludf.DUMMYFUNCTION("COUNTA(SPLIT(F1699,"" ""))"),125)</f>
        <v>125</v>
      </c>
      <c r="H1699" s="1">
        <v>125</v>
      </c>
      <c r="I1699" s="1"/>
      <c r="J1699" s="1"/>
      <c r="K1699" s="1"/>
      <c r="L1699" s="1"/>
      <c r="M1699" s="1"/>
      <c r="N1699" s="1"/>
      <c r="O1699" s="1"/>
      <c r="P1699" s="1"/>
      <c r="Q1699" s="1"/>
      <c r="R1699" s="1"/>
      <c r="S1699" s="1"/>
      <c r="T1699" s="1"/>
    </row>
    <row r="1700" spans="1:20" ht="33.75" customHeight="1">
      <c r="A1700" s="1" t="s">
        <v>4716</v>
      </c>
      <c r="B1700" s="1" t="s">
        <v>4460</v>
      </c>
      <c r="C1700" s="4">
        <v>39917.502083333333</v>
      </c>
      <c r="D1700" s="1" t="s">
        <v>772</v>
      </c>
      <c r="E1700" s="1"/>
      <c r="F1700" s="2" t="s">
        <v>4718</v>
      </c>
      <c r="G1700" s="1">
        <f ca="1">IFERROR(__xludf.DUMMYFUNCTION("COUNTA(SPLIT(F1700,"" ""))"),103)</f>
        <v>103</v>
      </c>
      <c r="H1700" s="1">
        <v>103</v>
      </c>
      <c r="I1700" s="1"/>
      <c r="J1700" s="1"/>
      <c r="K1700" s="1"/>
      <c r="L1700" s="1"/>
      <c r="M1700" s="1"/>
      <c r="N1700" s="1"/>
      <c r="O1700" s="1"/>
      <c r="P1700" s="1"/>
      <c r="Q1700" s="1"/>
      <c r="R1700" s="1"/>
      <c r="S1700" s="1"/>
      <c r="T1700" s="1"/>
    </row>
    <row r="1701" spans="1:20" ht="33.75" customHeight="1">
      <c r="A1701" s="1" t="s">
        <v>4719</v>
      </c>
      <c r="B1701" s="1" t="s">
        <v>3929</v>
      </c>
      <c r="C1701" s="4">
        <v>39917.601388888892</v>
      </c>
      <c r="D1701" s="1" t="s">
        <v>320</v>
      </c>
      <c r="E1701" s="1"/>
      <c r="F1701" s="2" t="s">
        <v>4721</v>
      </c>
      <c r="G1701" s="1">
        <f ca="1">IFERROR(__xludf.DUMMYFUNCTION("COUNTA(SPLIT(F1701,"" ""))"),529)</f>
        <v>529</v>
      </c>
      <c r="H1701" s="1">
        <v>529</v>
      </c>
      <c r="I1701" s="1"/>
      <c r="J1701" s="1"/>
      <c r="K1701" s="1"/>
      <c r="L1701" s="1"/>
      <c r="M1701" s="1"/>
      <c r="N1701" s="1"/>
      <c r="O1701" s="1"/>
      <c r="P1701" s="1"/>
      <c r="Q1701" s="1"/>
      <c r="R1701" s="1"/>
      <c r="S1701" s="1"/>
      <c r="T1701" s="1"/>
    </row>
    <row r="1702" spans="1:20" ht="33.75" customHeight="1">
      <c r="A1702" s="1" t="s">
        <v>4722</v>
      </c>
      <c r="B1702" s="1" t="s">
        <v>3929</v>
      </c>
      <c r="C1702" s="4">
        <v>39917.615277777775</v>
      </c>
      <c r="D1702" s="1" t="s">
        <v>14</v>
      </c>
      <c r="E1702" s="1"/>
      <c r="F1702" s="2" t="s">
        <v>4725</v>
      </c>
      <c r="G1702" s="1">
        <f ca="1">IFERROR(__xludf.DUMMYFUNCTION("COUNTA(SPLIT(F1702,"" ""))"),127)</f>
        <v>127</v>
      </c>
      <c r="H1702" s="1">
        <v>127</v>
      </c>
      <c r="I1702" s="1"/>
      <c r="J1702" s="1"/>
      <c r="K1702" s="1"/>
      <c r="L1702" s="1"/>
      <c r="M1702" s="1"/>
      <c r="N1702" s="1"/>
      <c r="O1702" s="1"/>
      <c r="P1702" s="1"/>
      <c r="Q1702" s="1"/>
      <c r="R1702" s="1"/>
      <c r="S1702" s="1"/>
      <c r="T1702" s="1"/>
    </row>
    <row r="1703" spans="1:20" ht="33.75" customHeight="1">
      <c r="A1703" s="1" t="s">
        <v>4726</v>
      </c>
      <c r="B1703" s="1" t="s">
        <v>3929</v>
      </c>
      <c r="C1703" s="4">
        <v>39917.781944444447</v>
      </c>
      <c r="D1703" s="1" t="s">
        <v>54</v>
      </c>
      <c r="E1703" s="1"/>
      <c r="F1703" s="2" t="s">
        <v>4728</v>
      </c>
      <c r="G1703" s="1">
        <f ca="1">IFERROR(__xludf.DUMMYFUNCTION("COUNTA(SPLIT(F1703,"" ""))"),76)</f>
        <v>76</v>
      </c>
      <c r="H1703" s="1">
        <v>76</v>
      </c>
      <c r="I1703" s="1"/>
      <c r="J1703" s="1"/>
      <c r="K1703" s="1"/>
      <c r="L1703" s="1"/>
      <c r="M1703" s="1"/>
      <c r="N1703" s="1"/>
      <c r="O1703" s="1"/>
      <c r="P1703" s="1"/>
      <c r="Q1703" s="1"/>
      <c r="R1703" s="1"/>
      <c r="S1703" s="1"/>
      <c r="T1703" s="1"/>
    </row>
    <row r="1704" spans="1:20" ht="33.75" customHeight="1">
      <c r="A1704" s="1" t="s">
        <v>4729</v>
      </c>
      <c r="B1704" s="1" t="s">
        <v>3929</v>
      </c>
      <c r="C1704" s="4">
        <v>39917.90902777778</v>
      </c>
      <c r="D1704" s="1" t="s">
        <v>320</v>
      </c>
      <c r="E1704" s="1"/>
      <c r="F1704" s="2" t="s">
        <v>4730</v>
      </c>
      <c r="G1704" s="1">
        <f ca="1">IFERROR(__xludf.DUMMYFUNCTION("COUNTA(SPLIT(F1704,"" ""))"),278)</f>
        <v>278</v>
      </c>
      <c r="H1704" s="1">
        <v>278</v>
      </c>
      <c r="I1704" s="1"/>
      <c r="J1704" s="1"/>
      <c r="K1704" s="1"/>
      <c r="L1704" s="1"/>
      <c r="M1704" s="1"/>
      <c r="N1704" s="1"/>
      <c r="O1704" s="1"/>
      <c r="P1704" s="1"/>
      <c r="Q1704" s="1"/>
      <c r="R1704" s="1"/>
      <c r="S1704" s="1"/>
      <c r="T1704" s="1"/>
    </row>
    <row r="1705" spans="1:20" ht="33.75" customHeight="1">
      <c r="A1705" s="1" t="s">
        <v>4731</v>
      </c>
      <c r="B1705" s="1" t="s">
        <v>3929</v>
      </c>
      <c r="C1705" s="4">
        <v>39917.915277777778</v>
      </c>
      <c r="D1705" s="1" t="s">
        <v>320</v>
      </c>
      <c r="E1705" s="1"/>
      <c r="F1705" s="2" t="s">
        <v>4732</v>
      </c>
      <c r="G1705" s="1">
        <f ca="1">IFERROR(__xludf.DUMMYFUNCTION("COUNTA(SPLIT(F1705,"" ""))"),195)</f>
        <v>195</v>
      </c>
      <c r="H1705" s="1">
        <v>195</v>
      </c>
      <c r="I1705" s="1"/>
      <c r="J1705" s="1"/>
      <c r="K1705" s="1"/>
      <c r="L1705" s="1"/>
      <c r="M1705" s="1"/>
      <c r="N1705" s="1"/>
      <c r="O1705" s="1"/>
      <c r="P1705" s="1"/>
      <c r="Q1705" s="1"/>
      <c r="R1705" s="1"/>
      <c r="S1705" s="1"/>
      <c r="T1705" s="1"/>
    </row>
    <row r="1706" spans="1:20" ht="33.75" customHeight="1">
      <c r="A1706" s="1" t="s">
        <v>4733</v>
      </c>
      <c r="B1706" s="1" t="s">
        <v>3929</v>
      </c>
      <c r="C1706" s="4">
        <v>39918.068749999999</v>
      </c>
      <c r="D1706" s="1" t="s">
        <v>320</v>
      </c>
      <c r="E1706" s="1"/>
      <c r="F1706" s="2" t="s">
        <v>4735</v>
      </c>
      <c r="G1706" s="1">
        <f ca="1">IFERROR(__xludf.DUMMYFUNCTION("COUNTA(SPLIT(F1706,"" ""))"),76)</f>
        <v>76</v>
      </c>
      <c r="H1706" s="1">
        <v>76</v>
      </c>
      <c r="I1706" s="1"/>
      <c r="J1706" s="1"/>
      <c r="K1706" s="1"/>
      <c r="L1706" s="1"/>
      <c r="M1706" s="1"/>
      <c r="N1706" s="1"/>
      <c r="O1706" s="1"/>
      <c r="P1706" s="1"/>
      <c r="Q1706" s="1"/>
      <c r="R1706" s="1"/>
      <c r="S1706" s="1"/>
      <c r="T1706" s="1"/>
    </row>
    <row r="1707" spans="1:20" ht="33.75" hidden="1" customHeight="1">
      <c r="A1707" s="1" t="s">
        <v>4736</v>
      </c>
      <c r="B1707" s="1" t="s">
        <v>3929</v>
      </c>
      <c r="C1707" s="4">
        <v>39918.069444444445</v>
      </c>
      <c r="D1707" s="1" t="s">
        <v>320</v>
      </c>
      <c r="E1707" s="1" t="s">
        <v>4726</v>
      </c>
      <c r="F1707" s="2" t="s">
        <v>4737</v>
      </c>
      <c r="G1707" s="1">
        <f ca="1">IFERROR(__xludf.DUMMYFUNCTION("COUNTA(SPLIT(F1707,"" ""))"),10)</f>
        <v>10</v>
      </c>
      <c r="H1707" s="1">
        <v>10</v>
      </c>
      <c r="I1707" s="1"/>
      <c r="J1707" s="1"/>
      <c r="K1707" s="1"/>
      <c r="L1707" s="1"/>
      <c r="M1707" s="1"/>
      <c r="N1707" s="1"/>
      <c r="O1707" s="1"/>
      <c r="P1707" s="1"/>
      <c r="Q1707" s="1"/>
      <c r="R1707" s="1"/>
      <c r="S1707" s="1"/>
      <c r="T1707" s="1"/>
    </row>
    <row r="1708" spans="1:20" ht="33.75" hidden="1" customHeight="1">
      <c r="A1708" s="1" t="s">
        <v>4738</v>
      </c>
      <c r="B1708" s="1" t="s">
        <v>3929</v>
      </c>
      <c r="C1708" s="4">
        <v>39918.071527777778</v>
      </c>
      <c r="D1708" s="1" t="s">
        <v>14</v>
      </c>
      <c r="E1708" s="1" t="s">
        <v>4731</v>
      </c>
      <c r="F1708" s="2" t="s">
        <v>4739</v>
      </c>
      <c r="G1708" s="1">
        <f ca="1">IFERROR(__xludf.DUMMYFUNCTION("COUNTA(SPLIT(F1708,"" ""))"),41)</f>
        <v>41</v>
      </c>
      <c r="H1708" s="1">
        <v>41</v>
      </c>
      <c r="I1708" s="1"/>
      <c r="J1708" s="1"/>
      <c r="K1708" s="1"/>
      <c r="L1708" s="1"/>
      <c r="M1708" s="1"/>
      <c r="N1708" s="1"/>
      <c r="O1708" s="1"/>
      <c r="P1708" s="1"/>
      <c r="Q1708" s="1"/>
      <c r="R1708" s="1"/>
      <c r="S1708" s="1"/>
      <c r="T1708" s="1"/>
    </row>
    <row r="1709" spans="1:20" ht="33.75" customHeight="1">
      <c r="A1709" s="1" t="s">
        <v>4740</v>
      </c>
      <c r="B1709" s="1" t="s">
        <v>4460</v>
      </c>
      <c r="C1709" s="4">
        <v>39918.488194444442</v>
      </c>
      <c r="D1709" s="1" t="s">
        <v>772</v>
      </c>
      <c r="E1709" s="1"/>
      <c r="F1709" s="2" t="s">
        <v>4741</v>
      </c>
      <c r="G1709" s="1">
        <f ca="1">IFERROR(__xludf.DUMMYFUNCTION("COUNTA(SPLIT(F1709,"" ""))"),279)</f>
        <v>279</v>
      </c>
      <c r="H1709" s="1">
        <v>279</v>
      </c>
      <c r="I1709" s="1"/>
      <c r="J1709" s="1"/>
      <c r="K1709" s="1"/>
      <c r="L1709" s="1"/>
      <c r="M1709" s="1"/>
      <c r="N1709" s="1"/>
      <c r="O1709" s="1"/>
      <c r="P1709" s="1"/>
      <c r="Q1709" s="1"/>
      <c r="R1709" s="1"/>
      <c r="S1709" s="1"/>
      <c r="T1709" s="1"/>
    </row>
    <row r="1710" spans="1:20" ht="33.75" customHeight="1">
      <c r="A1710" s="1" t="s">
        <v>4742</v>
      </c>
      <c r="B1710" s="1" t="s">
        <v>3929</v>
      </c>
      <c r="C1710" s="4">
        <v>39918.670138888891</v>
      </c>
      <c r="D1710" s="1" t="s">
        <v>320</v>
      </c>
      <c r="E1710" s="1"/>
      <c r="F1710" s="2" t="s">
        <v>4744</v>
      </c>
      <c r="G1710" s="1">
        <f ca="1">IFERROR(__xludf.DUMMYFUNCTION("COUNTA(SPLIT(F1710,"" ""))"),15)</f>
        <v>15</v>
      </c>
      <c r="H1710" s="1">
        <v>15</v>
      </c>
      <c r="I1710" s="1"/>
      <c r="J1710" s="1"/>
      <c r="K1710" s="1"/>
      <c r="L1710" s="1"/>
      <c r="M1710" s="1"/>
      <c r="N1710" s="1"/>
      <c r="O1710" s="1"/>
      <c r="P1710" s="1"/>
      <c r="Q1710" s="1"/>
      <c r="R1710" s="1"/>
      <c r="S1710" s="1"/>
      <c r="T1710" s="1"/>
    </row>
    <row r="1711" spans="1:20" ht="33.75" customHeight="1">
      <c r="A1711" s="1" t="s">
        <v>4745</v>
      </c>
      <c r="B1711" s="1" t="s">
        <v>3929</v>
      </c>
      <c r="C1711" s="4">
        <v>39918.67083333333</v>
      </c>
      <c r="D1711" s="1" t="s">
        <v>320</v>
      </c>
      <c r="E1711" s="1"/>
      <c r="F1711" s="2" t="s">
        <v>4746</v>
      </c>
      <c r="G1711" s="1">
        <f ca="1">IFERROR(__xludf.DUMMYFUNCTION("COUNTA(SPLIT(F1711,"" ""))"),24)</f>
        <v>24</v>
      </c>
      <c r="H1711" s="1">
        <v>24</v>
      </c>
      <c r="I1711" s="1"/>
      <c r="J1711" s="1"/>
      <c r="K1711" s="1"/>
      <c r="L1711" s="1"/>
      <c r="M1711" s="1"/>
      <c r="N1711" s="1"/>
      <c r="O1711" s="1"/>
      <c r="P1711" s="1"/>
      <c r="Q1711" s="1"/>
      <c r="R1711" s="1"/>
      <c r="S1711" s="1"/>
      <c r="T1711" s="1"/>
    </row>
    <row r="1712" spans="1:20" ht="33.75" customHeight="1">
      <c r="A1712" s="1" t="s">
        <v>4747</v>
      </c>
      <c r="B1712" s="1" t="s">
        <v>3929</v>
      </c>
      <c r="C1712" s="4">
        <v>39918.849305555559</v>
      </c>
      <c r="D1712" s="1" t="s">
        <v>320</v>
      </c>
      <c r="E1712" s="1"/>
      <c r="F1712" s="2" t="s">
        <v>4749</v>
      </c>
      <c r="G1712" s="1">
        <f ca="1">IFERROR(__xludf.DUMMYFUNCTION("COUNTA(SPLIT(F1712,"" ""))"),62)</f>
        <v>62</v>
      </c>
      <c r="H1712" s="1">
        <v>62</v>
      </c>
      <c r="I1712" s="1"/>
      <c r="J1712" s="1"/>
      <c r="K1712" s="1"/>
      <c r="L1712" s="1"/>
      <c r="M1712" s="1"/>
      <c r="N1712" s="1"/>
      <c r="O1712" s="1"/>
      <c r="P1712" s="1"/>
      <c r="Q1712" s="1"/>
      <c r="R1712" s="1"/>
      <c r="S1712" s="1"/>
      <c r="T1712" s="1"/>
    </row>
    <row r="1713" spans="1:20" ht="33.75" customHeight="1">
      <c r="A1713" s="1" t="s">
        <v>4750</v>
      </c>
      <c r="B1713" s="1" t="s">
        <v>3929</v>
      </c>
      <c r="C1713" s="4">
        <v>39919.623611111114</v>
      </c>
      <c r="D1713" s="1" t="s">
        <v>320</v>
      </c>
      <c r="E1713" s="1"/>
      <c r="F1713" s="2" t="s">
        <v>4752</v>
      </c>
      <c r="G1713" s="1">
        <f ca="1">IFERROR(__xludf.DUMMYFUNCTION("COUNTA(SPLIT(F1713,"" ""))"),330)</f>
        <v>330</v>
      </c>
      <c r="H1713" s="1">
        <v>330</v>
      </c>
      <c r="I1713" s="1"/>
      <c r="J1713" s="1"/>
      <c r="K1713" s="1"/>
      <c r="L1713" s="1"/>
      <c r="M1713" s="1"/>
      <c r="N1713" s="1"/>
      <c r="O1713" s="1"/>
      <c r="P1713" s="1"/>
      <c r="Q1713" s="1"/>
      <c r="R1713" s="1"/>
      <c r="S1713" s="1"/>
      <c r="T1713" s="1"/>
    </row>
    <row r="1714" spans="1:20" ht="33.75" hidden="1" customHeight="1">
      <c r="A1714" s="1" t="s">
        <v>4753</v>
      </c>
      <c r="B1714" s="1" t="s">
        <v>3929</v>
      </c>
      <c r="C1714" s="4">
        <v>39919.677083333336</v>
      </c>
      <c r="D1714" s="1" t="s">
        <v>196</v>
      </c>
      <c r="E1714" s="1" t="s">
        <v>4750</v>
      </c>
      <c r="F1714" s="2" t="s">
        <v>4754</v>
      </c>
      <c r="G1714" s="1">
        <f ca="1">IFERROR(__xludf.DUMMYFUNCTION("COUNTA(SPLIT(F1714,"" ""))"),82)</f>
        <v>82</v>
      </c>
      <c r="H1714" s="1">
        <v>82</v>
      </c>
      <c r="I1714" s="1"/>
      <c r="J1714" s="1"/>
      <c r="K1714" s="1"/>
      <c r="L1714" s="1"/>
      <c r="M1714" s="1"/>
      <c r="N1714" s="1"/>
      <c r="O1714" s="1"/>
      <c r="P1714" s="1"/>
      <c r="Q1714" s="1"/>
      <c r="R1714" s="1"/>
      <c r="S1714" s="1"/>
      <c r="T1714" s="1"/>
    </row>
    <row r="1715" spans="1:20" ht="33.75" customHeight="1">
      <c r="A1715" s="1" t="s">
        <v>4755</v>
      </c>
      <c r="B1715" s="1" t="s">
        <v>3929</v>
      </c>
      <c r="C1715" s="4">
        <v>39920.941666666666</v>
      </c>
      <c r="D1715" s="1" t="s">
        <v>772</v>
      </c>
      <c r="E1715" s="1"/>
      <c r="F1715" s="2" t="s">
        <v>4758</v>
      </c>
      <c r="G1715" s="1">
        <f ca="1">IFERROR(__xludf.DUMMYFUNCTION("COUNTA(SPLIT(F1715,"" ""))"),242)</f>
        <v>242</v>
      </c>
      <c r="H1715" s="1">
        <v>242</v>
      </c>
      <c r="I1715" s="1"/>
      <c r="J1715" s="1"/>
      <c r="K1715" s="1"/>
      <c r="L1715" s="1"/>
      <c r="M1715" s="1"/>
      <c r="N1715" s="1"/>
      <c r="O1715" s="1"/>
      <c r="P1715" s="1"/>
      <c r="Q1715" s="1"/>
      <c r="R1715" s="1"/>
      <c r="S1715" s="1"/>
      <c r="T1715" s="1"/>
    </row>
    <row r="1716" spans="1:20" ht="33.75" hidden="1" customHeight="1">
      <c r="A1716" s="1" t="s">
        <v>4759</v>
      </c>
      <c r="B1716" s="1" t="s">
        <v>3929</v>
      </c>
      <c r="C1716" s="4">
        <v>39920.943749999999</v>
      </c>
      <c r="D1716" s="1" t="s">
        <v>772</v>
      </c>
      <c r="E1716" s="1" t="s">
        <v>4755</v>
      </c>
      <c r="F1716" s="2" t="s">
        <v>4760</v>
      </c>
      <c r="G1716" s="1">
        <f ca="1">IFERROR(__xludf.DUMMYFUNCTION("COUNTA(SPLIT(F1716,"" ""))"),187)</f>
        <v>187</v>
      </c>
      <c r="H1716" s="1">
        <v>187</v>
      </c>
      <c r="I1716" s="1"/>
      <c r="J1716" s="1"/>
      <c r="K1716" s="1"/>
      <c r="L1716" s="1"/>
      <c r="M1716" s="1"/>
      <c r="N1716" s="1"/>
      <c r="O1716" s="1"/>
      <c r="P1716" s="1"/>
      <c r="Q1716" s="1"/>
      <c r="R1716" s="1"/>
      <c r="S1716" s="1"/>
      <c r="T1716" s="1"/>
    </row>
    <row r="1717" spans="1:20" ht="33.75" hidden="1" customHeight="1">
      <c r="A1717" s="1" t="s">
        <v>4761</v>
      </c>
      <c r="B1717" s="1" t="s">
        <v>3929</v>
      </c>
      <c r="C1717" s="4">
        <v>39920.979861111111</v>
      </c>
      <c r="D1717" s="1" t="s">
        <v>14</v>
      </c>
      <c r="E1717" s="1" t="s">
        <v>4755</v>
      </c>
      <c r="F1717" s="2" t="s">
        <v>4762</v>
      </c>
      <c r="G1717" s="1">
        <f ca="1">IFERROR(__xludf.DUMMYFUNCTION("COUNTA(SPLIT(F1717,"" ""))"),98)</f>
        <v>98</v>
      </c>
      <c r="H1717" s="1">
        <v>98</v>
      </c>
      <c r="I1717" s="1"/>
      <c r="J1717" s="1"/>
      <c r="K1717" s="1"/>
      <c r="L1717" s="1"/>
      <c r="M1717" s="1"/>
      <c r="N1717" s="1"/>
      <c r="O1717" s="1"/>
      <c r="P1717" s="1"/>
      <c r="Q1717" s="1"/>
      <c r="R1717" s="1"/>
      <c r="S1717" s="1"/>
      <c r="T1717" s="1"/>
    </row>
    <row r="1718" spans="1:20" ht="33.75" customHeight="1">
      <c r="A1718" s="1" t="s">
        <v>4763</v>
      </c>
      <c r="B1718" s="1" t="s">
        <v>3929</v>
      </c>
      <c r="C1718" s="4">
        <v>39922.089583333334</v>
      </c>
      <c r="D1718" s="1" t="s">
        <v>772</v>
      </c>
      <c r="E1718" s="1"/>
      <c r="F1718" s="2" t="s">
        <v>4765</v>
      </c>
      <c r="G1718" s="1">
        <f ca="1">IFERROR(__xludf.DUMMYFUNCTION("COUNTA(SPLIT(F1718,"" ""))"),25)</f>
        <v>25</v>
      </c>
      <c r="H1718" s="1">
        <v>25</v>
      </c>
      <c r="I1718" s="1"/>
      <c r="J1718" s="1"/>
      <c r="K1718" s="1"/>
      <c r="L1718" s="1"/>
      <c r="M1718" s="1"/>
      <c r="N1718" s="1"/>
      <c r="O1718" s="1"/>
      <c r="P1718" s="1"/>
      <c r="Q1718" s="1"/>
      <c r="R1718" s="1"/>
      <c r="S1718" s="1"/>
      <c r="T1718" s="1"/>
    </row>
    <row r="1719" spans="1:20" ht="33.75" customHeight="1">
      <c r="A1719" s="1" t="s">
        <v>4766</v>
      </c>
      <c r="B1719" s="1" t="s">
        <v>3929</v>
      </c>
      <c r="C1719" s="4">
        <v>39922.159722222219</v>
      </c>
      <c r="D1719" s="1" t="s">
        <v>320</v>
      </c>
      <c r="E1719" s="1"/>
      <c r="F1719" s="2" t="s">
        <v>4767</v>
      </c>
      <c r="G1719" s="1">
        <f ca="1">IFERROR(__xludf.DUMMYFUNCTION("COUNTA(SPLIT(F1719,"" ""))"),376)</f>
        <v>376</v>
      </c>
      <c r="H1719" s="1">
        <v>376</v>
      </c>
      <c r="I1719" s="1"/>
      <c r="J1719" s="1"/>
      <c r="K1719" s="1"/>
      <c r="L1719" s="1"/>
      <c r="M1719" s="1"/>
      <c r="N1719" s="1"/>
      <c r="O1719" s="1"/>
      <c r="P1719" s="1"/>
      <c r="Q1719" s="1"/>
      <c r="R1719" s="1"/>
      <c r="S1719" s="1"/>
      <c r="T1719" s="1"/>
    </row>
    <row r="1720" spans="1:20" ht="33.75" customHeight="1">
      <c r="A1720" s="1" t="s">
        <v>4768</v>
      </c>
      <c r="B1720" s="1" t="s">
        <v>4460</v>
      </c>
      <c r="C1720" s="4">
        <v>39923.493055555555</v>
      </c>
      <c r="D1720" s="1" t="s">
        <v>772</v>
      </c>
      <c r="E1720" s="1"/>
      <c r="F1720" s="2" t="s">
        <v>4769</v>
      </c>
      <c r="G1720" s="1">
        <f ca="1">IFERROR(__xludf.DUMMYFUNCTION("COUNTA(SPLIT(F1720,"" ""))"),315)</f>
        <v>315</v>
      </c>
      <c r="H1720" s="1">
        <v>315</v>
      </c>
      <c r="I1720" s="1"/>
      <c r="J1720" s="1"/>
      <c r="K1720" s="1"/>
      <c r="L1720" s="1"/>
      <c r="M1720" s="1"/>
      <c r="N1720" s="1"/>
      <c r="O1720" s="1"/>
      <c r="P1720" s="1"/>
      <c r="Q1720" s="1"/>
      <c r="R1720" s="1"/>
      <c r="S1720" s="1"/>
      <c r="T1720" s="1"/>
    </row>
    <row r="1721" spans="1:20" ht="33.75" hidden="1" customHeight="1">
      <c r="A1721" s="1" t="s">
        <v>4770</v>
      </c>
      <c r="B1721" s="1" t="s">
        <v>4460</v>
      </c>
      <c r="C1721" s="4">
        <v>39923.505555555559</v>
      </c>
      <c r="D1721" s="1" t="s">
        <v>772</v>
      </c>
      <c r="E1721" s="1" t="s">
        <v>4768</v>
      </c>
      <c r="F1721" s="2" t="s">
        <v>4771</v>
      </c>
      <c r="G1721" s="1">
        <f ca="1">IFERROR(__xludf.DUMMYFUNCTION("COUNTA(SPLIT(F1721,"" ""))"),325)</f>
        <v>325</v>
      </c>
      <c r="H1721" s="1">
        <v>325</v>
      </c>
      <c r="I1721" s="1"/>
      <c r="J1721" s="1"/>
      <c r="K1721" s="1"/>
      <c r="L1721" s="1"/>
      <c r="M1721" s="1"/>
      <c r="N1721" s="1"/>
      <c r="O1721" s="1"/>
      <c r="P1721" s="1"/>
      <c r="Q1721" s="1"/>
      <c r="R1721" s="1"/>
      <c r="S1721" s="1"/>
      <c r="T1721" s="1"/>
    </row>
    <row r="1722" spans="1:20" ht="33.75" hidden="1" customHeight="1">
      <c r="A1722" s="1" t="s">
        <v>4772</v>
      </c>
      <c r="B1722" s="1" t="s">
        <v>4460</v>
      </c>
      <c r="C1722" s="4">
        <v>39923.508333333331</v>
      </c>
      <c r="D1722" s="1" t="s">
        <v>772</v>
      </c>
      <c r="E1722" s="1" t="s">
        <v>4770</v>
      </c>
      <c r="F1722" s="2" t="s">
        <v>4773</v>
      </c>
      <c r="G1722" s="1">
        <f ca="1">IFERROR(__xludf.DUMMYFUNCTION("COUNTA(SPLIT(F1722,"" ""))"),20)</f>
        <v>20</v>
      </c>
      <c r="H1722" s="1">
        <v>20</v>
      </c>
      <c r="I1722" s="1"/>
      <c r="J1722" s="1"/>
      <c r="K1722" s="1"/>
      <c r="L1722" s="1"/>
      <c r="M1722" s="1"/>
      <c r="N1722" s="1"/>
      <c r="O1722" s="1"/>
      <c r="P1722" s="1"/>
      <c r="Q1722" s="1"/>
      <c r="R1722" s="1"/>
      <c r="S1722" s="1"/>
      <c r="T1722" s="1"/>
    </row>
    <row r="1723" spans="1:20" ht="33.75" customHeight="1">
      <c r="A1723" s="1" t="s">
        <v>4774</v>
      </c>
      <c r="B1723" s="1" t="s">
        <v>4460</v>
      </c>
      <c r="C1723" s="4">
        <v>39923.598611111112</v>
      </c>
      <c r="D1723" s="1" t="s">
        <v>54</v>
      </c>
      <c r="E1723" s="1"/>
      <c r="F1723" s="2" t="s">
        <v>4776</v>
      </c>
      <c r="G1723" s="1">
        <f ca="1">IFERROR(__xludf.DUMMYFUNCTION("COUNTA(SPLIT(F1723,"" ""))"),87)</f>
        <v>87</v>
      </c>
      <c r="H1723" s="1">
        <v>87</v>
      </c>
      <c r="I1723" s="1"/>
      <c r="J1723" s="1"/>
      <c r="K1723" s="1"/>
      <c r="L1723" s="1"/>
      <c r="M1723" s="1"/>
      <c r="N1723" s="1"/>
      <c r="O1723" s="1"/>
      <c r="P1723" s="1"/>
      <c r="Q1723" s="1"/>
      <c r="R1723" s="1"/>
      <c r="S1723" s="1"/>
      <c r="T1723" s="1"/>
    </row>
    <row r="1724" spans="1:20" ht="33.75" hidden="1" customHeight="1">
      <c r="A1724" s="1" t="s">
        <v>4777</v>
      </c>
      <c r="B1724" s="1" t="s">
        <v>4460</v>
      </c>
      <c r="C1724" s="4">
        <v>39923.708333333336</v>
      </c>
      <c r="D1724" s="1" t="s">
        <v>54</v>
      </c>
      <c r="E1724" s="1" t="s">
        <v>4770</v>
      </c>
      <c r="F1724" s="2" t="s">
        <v>4778</v>
      </c>
      <c r="G1724" s="1">
        <f ca="1">IFERROR(__xludf.DUMMYFUNCTION("COUNTA(SPLIT(F1724,"" ""))"),33)</f>
        <v>33</v>
      </c>
      <c r="H1724" s="1">
        <v>33</v>
      </c>
      <c r="I1724" s="1"/>
      <c r="J1724" s="1"/>
      <c r="K1724" s="1"/>
      <c r="L1724" s="1"/>
      <c r="M1724" s="1"/>
      <c r="N1724" s="1"/>
      <c r="O1724" s="1"/>
      <c r="P1724" s="1"/>
      <c r="Q1724" s="1"/>
      <c r="R1724" s="1"/>
      <c r="S1724" s="1"/>
      <c r="T1724" s="1"/>
    </row>
    <row r="1725" spans="1:20" ht="33.75" customHeight="1">
      <c r="A1725" s="1" t="s">
        <v>4779</v>
      </c>
      <c r="B1725" s="1" t="s">
        <v>3929</v>
      </c>
      <c r="C1725" s="4">
        <v>39925.172222222223</v>
      </c>
      <c r="D1725" s="1" t="s">
        <v>320</v>
      </c>
      <c r="E1725" s="1"/>
      <c r="F1725" s="2" t="s">
        <v>4781</v>
      </c>
      <c r="G1725" s="1">
        <f ca="1">IFERROR(__xludf.DUMMYFUNCTION("COUNTA(SPLIT(F1725,"" ""))"),224)</f>
        <v>224</v>
      </c>
      <c r="H1725" s="1">
        <v>224</v>
      </c>
      <c r="I1725" s="1"/>
      <c r="J1725" s="1"/>
      <c r="K1725" s="1"/>
      <c r="L1725" s="1"/>
      <c r="M1725" s="1"/>
      <c r="N1725" s="1"/>
      <c r="O1725" s="1"/>
      <c r="P1725" s="1"/>
      <c r="Q1725" s="1"/>
      <c r="R1725" s="1"/>
      <c r="S1725" s="1"/>
      <c r="T1725" s="1"/>
    </row>
    <row r="1726" spans="1:20" ht="33.75" customHeight="1">
      <c r="A1726" s="1" t="s">
        <v>4782</v>
      </c>
      <c r="B1726" s="1" t="s">
        <v>3929</v>
      </c>
      <c r="C1726" s="4">
        <v>39925.871527777781</v>
      </c>
      <c r="D1726" s="1" t="s">
        <v>320</v>
      </c>
      <c r="E1726" s="1"/>
      <c r="F1726" s="2" t="s">
        <v>4783</v>
      </c>
      <c r="G1726" s="1">
        <f ca="1">IFERROR(__xludf.DUMMYFUNCTION("COUNTA(SPLIT(F1726,"" ""))"),546)</f>
        <v>546</v>
      </c>
      <c r="H1726" s="1">
        <v>546</v>
      </c>
      <c r="I1726" s="1"/>
      <c r="J1726" s="1"/>
      <c r="K1726" s="1"/>
      <c r="L1726" s="1"/>
      <c r="M1726" s="1"/>
      <c r="N1726" s="1"/>
      <c r="O1726" s="1"/>
      <c r="P1726" s="1"/>
      <c r="Q1726" s="1"/>
      <c r="R1726" s="1"/>
      <c r="S1726" s="1"/>
      <c r="T1726" s="1"/>
    </row>
    <row r="1727" spans="1:20" ht="33.75" hidden="1" customHeight="1">
      <c r="A1727" s="1" t="s">
        <v>4784</v>
      </c>
      <c r="B1727" s="1" t="s">
        <v>4460</v>
      </c>
      <c r="C1727" s="4">
        <v>39926.462500000001</v>
      </c>
      <c r="D1727" s="1" t="s">
        <v>772</v>
      </c>
      <c r="E1727" s="1" t="s">
        <v>4777</v>
      </c>
      <c r="F1727" s="2" t="s">
        <v>4785</v>
      </c>
      <c r="G1727" s="1">
        <f ca="1">IFERROR(__xludf.DUMMYFUNCTION("COUNTA(SPLIT(F1727,"" ""))"),22)</f>
        <v>22</v>
      </c>
      <c r="H1727" s="1">
        <v>22</v>
      </c>
      <c r="I1727" s="1"/>
      <c r="J1727" s="1"/>
      <c r="K1727" s="1"/>
      <c r="L1727" s="1"/>
      <c r="M1727" s="1"/>
      <c r="N1727" s="1"/>
      <c r="O1727" s="1"/>
      <c r="P1727" s="1"/>
      <c r="Q1727" s="1"/>
      <c r="R1727" s="1"/>
      <c r="S1727" s="1"/>
      <c r="T1727" s="1"/>
    </row>
    <row r="1728" spans="1:20" ht="33.75" customHeight="1">
      <c r="A1728" s="1" t="s">
        <v>4786</v>
      </c>
      <c r="B1728" s="1" t="s">
        <v>3929</v>
      </c>
      <c r="C1728" s="4">
        <v>39927.677777777775</v>
      </c>
      <c r="D1728" s="1" t="s">
        <v>320</v>
      </c>
      <c r="E1728" s="1"/>
      <c r="F1728" s="2" t="s">
        <v>4787</v>
      </c>
      <c r="G1728" s="1">
        <f ca="1">IFERROR(__xludf.DUMMYFUNCTION("COUNTA(SPLIT(F1728,"" ""))"),343)</f>
        <v>343</v>
      </c>
      <c r="H1728" s="1">
        <v>343</v>
      </c>
      <c r="I1728" s="1"/>
      <c r="J1728" s="1"/>
      <c r="K1728" s="1"/>
      <c r="L1728" s="1"/>
      <c r="M1728" s="1"/>
      <c r="N1728" s="1"/>
      <c r="O1728" s="1"/>
      <c r="P1728" s="1"/>
      <c r="Q1728" s="1"/>
      <c r="R1728" s="1"/>
      <c r="S1728" s="1"/>
      <c r="T1728" s="1"/>
    </row>
    <row r="1729" spans="1:20" ht="33.75" customHeight="1">
      <c r="A1729" s="1" t="s">
        <v>4788</v>
      </c>
      <c r="B1729" s="1" t="s">
        <v>3929</v>
      </c>
      <c r="C1729" s="4">
        <v>39927.679166666669</v>
      </c>
      <c r="D1729" s="1" t="s">
        <v>320</v>
      </c>
      <c r="E1729" s="1"/>
      <c r="F1729" s="2" t="s">
        <v>4789</v>
      </c>
      <c r="G1729" s="1">
        <f ca="1">IFERROR(__xludf.DUMMYFUNCTION("COUNTA(SPLIT(F1729,"" ""))"),11)</f>
        <v>11</v>
      </c>
      <c r="H1729" s="1">
        <v>11</v>
      </c>
      <c r="I1729" s="1"/>
      <c r="J1729" s="1"/>
      <c r="K1729" s="1"/>
      <c r="L1729" s="1"/>
      <c r="M1729" s="1"/>
      <c r="N1729" s="1"/>
      <c r="O1729" s="1"/>
      <c r="P1729" s="1"/>
      <c r="Q1729" s="1"/>
      <c r="R1729" s="1"/>
      <c r="S1729" s="1"/>
      <c r="T1729" s="1"/>
    </row>
    <row r="1730" spans="1:20" ht="33.75" customHeight="1">
      <c r="A1730" s="1" t="s">
        <v>4790</v>
      </c>
      <c r="B1730" s="1" t="s">
        <v>3929</v>
      </c>
      <c r="C1730" s="4">
        <v>39927.679861111108</v>
      </c>
      <c r="D1730" s="1" t="s">
        <v>320</v>
      </c>
      <c r="E1730" s="1"/>
      <c r="F1730" s="2" t="s">
        <v>4791</v>
      </c>
      <c r="G1730" s="1">
        <f ca="1">IFERROR(__xludf.DUMMYFUNCTION("COUNTA(SPLIT(F1730,"" ""))"),26)</f>
        <v>26</v>
      </c>
      <c r="H1730" s="1">
        <v>26</v>
      </c>
      <c r="I1730" s="1"/>
      <c r="J1730" s="1"/>
      <c r="K1730" s="1"/>
      <c r="L1730" s="1"/>
      <c r="M1730" s="1"/>
      <c r="N1730" s="1"/>
      <c r="O1730" s="1"/>
      <c r="P1730" s="1"/>
      <c r="Q1730" s="1"/>
      <c r="R1730" s="1"/>
      <c r="S1730" s="1"/>
      <c r="T1730" s="1"/>
    </row>
    <row r="1731" spans="1:20" ht="33.75" customHeight="1">
      <c r="A1731" s="1" t="s">
        <v>4792</v>
      </c>
      <c r="B1731" s="1" t="s">
        <v>3929</v>
      </c>
      <c r="C1731" s="4">
        <v>39927.838888888888</v>
      </c>
      <c r="D1731" s="1" t="s">
        <v>320</v>
      </c>
      <c r="E1731" s="1"/>
      <c r="F1731" s="2" t="s">
        <v>4794</v>
      </c>
      <c r="G1731" s="1">
        <f ca="1">IFERROR(__xludf.DUMMYFUNCTION("COUNTA(SPLIT(F1731,"" ""))"),67)</f>
        <v>67</v>
      </c>
      <c r="H1731" s="1">
        <v>67</v>
      </c>
      <c r="I1731" s="1"/>
      <c r="J1731" s="1"/>
      <c r="K1731" s="1"/>
      <c r="L1731" s="1"/>
      <c r="M1731" s="1"/>
      <c r="N1731" s="1"/>
      <c r="O1731" s="1"/>
      <c r="P1731" s="1"/>
      <c r="Q1731" s="1"/>
      <c r="R1731" s="1"/>
      <c r="S1731" s="1"/>
      <c r="T1731" s="1"/>
    </row>
    <row r="1732" spans="1:20" ht="33.75" customHeight="1">
      <c r="A1732" s="1" t="s">
        <v>4795</v>
      </c>
      <c r="B1732" s="1" t="s">
        <v>4460</v>
      </c>
      <c r="C1732" s="4">
        <v>39927.868055555555</v>
      </c>
      <c r="D1732" s="1" t="s">
        <v>84</v>
      </c>
      <c r="E1732" s="1"/>
      <c r="F1732" s="2" t="s">
        <v>4796</v>
      </c>
      <c r="G1732" s="1">
        <f ca="1">IFERROR(__xludf.DUMMYFUNCTION("COUNTA(SPLIT(F1732,"" ""))"),91)</f>
        <v>91</v>
      </c>
      <c r="H1732" s="1">
        <v>91</v>
      </c>
      <c r="I1732" s="1"/>
      <c r="J1732" s="1"/>
      <c r="K1732" s="1"/>
      <c r="L1732" s="1"/>
      <c r="M1732" s="1"/>
      <c r="N1732" s="1"/>
      <c r="O1732" s="1"/>
      <c r="P1732" s="1"/>
      <c r="Q1732" s="1"/>
      <c r="R1732" s="1"/>
      <c r="S1732" s="1"/>
      <c r="T1732" s="1"/>
    </row>
    <row r="1733" spans="1:20" ht="33.75" customHeight="1">
      <c r="A1733" s="1" t="s">
        <v>4797</v>
      </c>
      <c r="B1733" s="1" t="s">
        <v>3929</v>
      </c>
      <c r="C1733" s="4">
        <v>39928.34375</v>
      </c>
      <c r="D1733" s="1" t="s">
        <v>1887</v>
      </c>
      <c r="E1733" s="1"/>
      <c r="F1733" s="2" t="s">
        <v>4798</v>
      </c>
      <c r="G1733" s="1">
        <f ca="1">IFERROR(__xludf.DUMMYFUNCTION("COUNTA(SPLIT(F1733,"" ""))"),18)</f>
        <v>18</v>
      </c>
      <c r="H1733" s="1">
        <v>18</v>
      </c>
      <c r="I1733" s="1"/>
      <c r="J1733" s="1"/>
      <c r="K1733" s="1"/>
      <c r="L1733" s="1"/>
      <c r="M1733" s="1"/>
      <c r="N1733" s="1"/>
      <c r="O1733" s="1"/>
      <c r="P1733" s="1"/>
      <c r="Q1733" s="1"/>
      <c r="R1733" s="1"/>
      <c r="S1733" s="1"/>
      <c r="T1733" s="1"/>
    </row>
    <row r="1734" spans="1:20" ht="33.75" customHeight="1">
      <c r="A1734" s="1" t="s">
        <v>4799</v>
      </c>
      <c r="B1734" s="1" t="s">
        <v>4460</v>
      </c>
      <c r="C1734" s="4">
        <v>39928.387499999997</v>
      </c>
      <c r="D1734" s="1" t="s">
        <v>772</v>
      </c>
      <c r="E1734" s="1"/>
      <c r="F1734" s="2" t="s">
        <v>4800</v>
      </c>
      <c r="G1734" s="1">
        <f ca="1">IFERROR(__xludf.DUMMYFUNCTION("COUNTA(SPLIT(F1734,"" ""))"),27)</f>
        <v>27</v>
      </c>
      <c r="H1734" s="1">
        <v>27</v>
      </c>
      <c r="I1734" s="1"/>
      <c r="J1734" s="1"/>
      <c r="K1734" s="1"/>
      <c r="L1734" s="1"/>
      <c r="M1734" s="1"/>
      <c r="N1734" s="1"/>
      <c r="O1734" s="1"/>
      <c r="P1734" s="1"/>
      <c r="Q1734" s="1"/>
      <c r="R1734" s="1"/>
      <c r="S1734" s="1"/>
      <c r="T1734" s="1"/>
    </row>
    <row r="1735" spans="1:20" ht="33.75" hidden="1" customHeight="1">
      <c r="A1735" s="1" t="s">
        <v>4801</v>
      </c>
      <c r="B1735" s="1" t="s">
        <v>4460</v>
      </c>
      <c r="C1735" s="4">
        <v>39931.723611111112</v>
      </c>
      <c r="D1735" s="1" t="s">
        <v>1089</v>
      </c>
      <c r="E1735" s="1" t="s">
        <v>4802</v>
      </c>
      <c r="F1735" s="2" t="s">
        <v>4804</v>
      </c>
      <c r="G1735" s="1">
        <f ca="1">IFERROR(__xludf.DUMMYFUNCTION("COUNTA(SPLIT(F1735,"" ""))"),54)</f>
        <v>54</v>
      </c>
      <c r="H1735" s="1">
        <v>54</v>
      </c>
      <c r="I1735" s="1"/>
      <c r="J1735" s="1"/>
      <c r="K1735" s="1"/>
      <c r="L1735" s="1"/>
      <c r="M1735" s="1"/>
      <c r="N1735" s="1"/>
      <c r="O1735" s="1"/>
      <c r="P1735" s="1"/>
      <c r="Q1735" s="1"/>
      <c r="R1735" s="1"/>
      <c r="S1735" s="1"/>
      <c r="T1735" s="1"/>
    </row>
    <row r="1736" spans="1:20" ht="33.75" hidden="1" customHeight="1">
      <c r="A1736" s="1" t="s">
        <v>4805</v>
      </c>
      <c r="B1736" s="1" t="s">
        <v>4460</v>
      </c>
      <c r="C1736" s="4">
        <v>39932.425000000003</v>
      </c>
      <c r="D1736" s="1" t="s">
        <v>772</v>
      </c>
      <c r="E1736" s="1" t="s">
        <v>4801</v>
      </c>
      <c r="F1736" s="2" t="s">
        <v>4807</v>
      </c>
      <c r="G1736" s="1">
        <f ca="1">IFERROR(__xludf.DUMMYFUNCTION("COUNTA(SPLIT(F1736,"" ""))"),280)</f>
        <v>280</v>
      </c>
      <c r="H1736" s="1">
        <v>280</v>
      </c>
      <c r="I1736" s="1"/>
      <c r="J1736" s="1"/>
      <c r="K1736" s="1"/>
      <c r="L1736" s="1"/>
      <c r="M1736" s="1"/>
      <c r="N1736" s="1"/>
      <c r="O1736" s="1"/>
      <c r="P1736" s="1"/>
      <c r="Q1736" s="1"/>
      <c r="R1736" s="1"/>
      <c r="S1736" s="1"/>
      <c r="T1736" s="1"/>
    </row>
    <row r="1737" spans="1:20" ht="33.75" hidden="1" customHeight="1">
      <c r="A1737" s="1" t="s">
        <v>4808</v>
      </c>
      <c r="B1737" s="1" t="s">
        <v>4460</v>
      </c>
      <c r="C1737" s="4">
        <v>39934.56527777778</v>
      </c>
      <c r="D1737" s="1" t="s">
        <v>772</v>
      </c>
      <c r="E1737" s="1" t="s">
        <v>4809</v>
      </c>
      <c r="F1737" s="2" t="s">
        <v>4810</v>
      </c>
      <c r="G1737" s="1">
        <f ca="1">IFERROR(__xludf.DUMMYFUNCTION("COUNTA(SPLIT(F1737,"" ""))"),33)</f>
        <v>33</v>
      </c>
      <c r="H1737" s="1">
        <v>33</v>
      </c>
      <c r="I1737" s="1"/>
      <c r="J1737" s="1"/>
      <c r="K1737" s="1"/>
      <c r="L1737" s="1"/>
      <c r="M1737" s="1"/>
      <c r="N1737" s="1"/>
      <c r="O1737" s="1"/>
      <c r="P1737" s="1"/>
      <c r="Q1737" s="1"/>
      <c r="R1737" s="1"/>
      <c r="S1737" s="1"/>
      <c r="T1737" s="1"/>
    </row>
    <row r="1738" spans="1:20" ht="33.75" customHeight="1">
      <c r="A1738" s="1" t="s">
        <v>4811</v>
      </c>
      <c r="B1738" s="1" t="s">
        <v>3929</v>
      </c>
      <c r="C1738" s="4">
        <v>39935.091666666667</v>
      </c>
      <c r="D1738" s="1" t="s">
        <v>320</v>
      </c>
      <c r="E1738" s="1"/>
      <c r="F1738" s="2" t="s">
        <v>4813</v>
      </c>
      <c r="G1738" s="1">
        <f ca="1">IFERROR(__xludf.DUMMYFUNCTION("COUNTA(SPLIT(F1738,"" ""))"),246)</f>
        <v>246</v>
      </c>
      <c r="H1738" s="1">
        <v>246</v>
      </c>
      <c r="I1738" s="1"/>
      <c r="J1738" s="1"/>
      <c r="K1738" s="1"/>
      <c r="L1738" s="1"/>
      <c r="M1738" s="1"/>
      <c r="N1738" s="1"/>
      <c r="O1738" s="1"/>
      <c r="P1738" s="1"/>
      <c r="Q1738" s="1"/>
      <c r="R1738" s="1"/>
      <c r="S1738" s="1"/>
      <c r="T1738" s="1"/>
    </row>
    <row r="1739" spans="1:20" ht="33.75" customHeight="1">
      <c r="A1739" s="1" t="s">
        <v>4814</v>
      </c>
      <c r="B1739" s="1" t="s">
        <v>3929</v>
      </c>
      <c r="C1739" s="4">
        <v>39936.886805555558</v>
      </c>
      <c r="D1739" s="1" t="s">
        <v>320</v>
      </c>
      <c r="E1739" s="1"/>
      <c r="F1739" s="2" t="s">
        <v>4817</v>
      </c>
      <c r="G1739" s="1">
        <f ca="1">IFERROR(__xludf.DUMMYFUNCTION("COUNTA(SPLIT(F1739,"" ""))"),66)</f>
        <v>66</v>
      </c>
      <c r="H1739" s="1">
        <v>66</v>
      </c>
      <c r="I1739" s="1"/>
      <c r="J1739" s="1"/>
      <c r="K1739" s="1"/>
      <c r="L1739" s="1"/>
      <c r="M1739" s="1"/>
      <c r="N1739" s="1"/>
      <c r="O1739" s="1"/>
      <c r="P1739" s="1"/>
      <c r="Q1739" s="1"/>
      <c r="R1739" s="1"/>
      <c r="S1739" s="1"/>
      <c r="T1739" s="1"/>
    </row>
    <row r="1740" spans="1:20" ht="33.75" customHeight="1">
      <c r="A1740" s="1" t="s">
        <v>4818</v>
      </c>
      <c r="B1740" s="1" t="s">
        <v>3929</v>
      </c>
      <c r="C1740" s="4">
        <v>39941.638888888891</v>
      </c>
      <c r="D1740" s="1" t="s">
        <v>320</v>
      </c>
      <c r="E1740" s="1"/>
      <c r="F1740" s="2" t="s">
        <v>4820</v>
      </c>
      <c r="G1740" s="1">
        <f ca="1">IFERROR(__xludf.DUMMYFUNCTION("COUNTA(SPLIT(F1740,"" ""))"),339)</f>
        <v>339</v>
      </c>
      <c r="H1740" s="1">
        <v>339</v>
      </c>
      <c r="I1740" s="1"/>
      <c r="J1740" s="1"/>
      <c r="K1740" s="1"/>
      <c r="L1740" s="1"/>
      <c r="M1740" s="1"/>
      <c r="N1740" s="1"/>
      <c r="O1740" s="1"/>
      <c r="P1740" s="1"/>
      <c r="Q1740" s="1"/>
      <c r="R1740" s="1"/>
      <c r="S1740" s="1"/>
      <c r="T1740" s="1"/>
    </row>
    <row r="1741" spans="1:20" ht="33.75" customHeight="1">
      <c r="A1741" s="1" t="s">
        <v>4821</v>
      </c>
      <c r="B1741" s="1" t="s">
        <v>3929</v>
      </c>
      <c r="C1741" s="4">
        <v>39941.693055555559</v>
      </c>
      <c r="D1741" s="1" t="s">
        <v>14</v>
      </c>
      <c r="E1741" s="1"/>
      <c r="F1741" s="2" t="s">
        <v>4822</v>
      </c>
      <c r="G1741" s="1">
        <f ca="1">IFERROR(__xludf.DUMMYFUNCTION("COUNTA(SPLIT(F1741,"" ""))"),353)</f>
        <v>353</v>
      </c>
      <c r="H1741" s="1">
        <v>353</v>
      </c>
      <c r="I1741" s="1"/>
      <c r="J1741" s="1"/>
      <c r="K1741" s="1"/>
      <c r="L1741" s="1"/>
      <c r="M1741" s="1"/>
      <c r="N1741" s="1"/>
      <c r="O1741" s="1"/>
      <c r="P1741" s="1"/>
      <c r="Q1741" s="1"/>
      <c r="R1741" s="1"/>
      <c r="S1741" s="1"/>
      <c r="T1741" s="1"/>
    </row>
    <row r="1742" spans="1:20" ht="33.75" hidden="1" customHeight="1">
      <c r="A1742" s="1" t="s">
        <v>4823</v>
      </c>
      <c r="B1742" s="1" t="s">
        <v>3929</v>
      </c>
      <c r="C1742" s="4">
        <v>39942.752083333333</v>
      </c>
      <c r="D1742" s="1" t="s">
        <v>320</v>
      </c>
      <c r="E1742" s="1" t="s">
        <v>4818</v>
      </c>
      <c r="F1742" s="2" t="s">
        <v>4824</v>
      </c>
      <c r="G1742" s="1">
        <f ca="1">IFERROR(__xludf.DUMMYFUNCTION("COUNTA(SPLIT(F1742,"" ""))"),33)</f>
        <v>33</v>
      </c>
      <c r="H1742" s="1">
        <v>33</v>
      </c>
      <c r="I1742" s="1"/>
      <c r="J1742" s="1"/>
      <c r="K1742" s="1"/>
      <c r="L1742" s="1"/>
      <c r="M1742" s="1"/>
      <c r="N1742" s="1"/>
      <c r="O1742" s="1"/>
      <c r="P1742" s="1"/>
      <c r="Q1742" s="1"/>
      <c r="R1742" s="1"/>
      <c r="S1742" s="1"/>
      <c r="T1742" s="1"/>
    </row>
    <row r="1743" spans="1:20" ht="33.75" hidden="1" customHeight="1">
      <c r="A1743" s="1" t="s">
        <v>4825</v>
      </c>
      <c r="B1743" s="1" t="s">
        <v>3929</v>
      </c>
      <c r="C1743" s="4">
        <v>39942.75277777778</v>
      </c>
      <c r="D1743" s="1" t="s">
        <v>320</v>
      </c>
      <c r="E1743" s="1" t="s">
        <v>4818</v>
      </c>
      <c r="F1743" s="2" t="s">
        <v>4827</v>
      </c>
      <c r="G1743" s="1">
        <f ca="1">IFERROR(__xludf.DUMMYFUNCTION("COUNTA(SPLIT(F1743,"" ""))"),22)</f>
        <v>22</v>
      </c>
      <c r="H1743" s="1">
        <v>22</v>
      </c>
      <c r="I1743" s="1"/>
      <c r="J1743" s="1"/>
      <c r="K1743" s="1"/>
      <c r="L1743" s="1"/>
      <c r="M1743" s="1"/>
      <c r="N1743" s="1"/>
      <c r="O1743" s="1"/>
      <c r="P1743" s="1"/>
      <c r="Q1743" s="1"/>
      <c r="R1743" s="1"/>
      <c r="S1743" s="1"/>
      <c r="T1743" s="1"/>
    </row>
    <row r="1744" spans="1:20" ht="33.75" hidden="1" customHeight="1">
      <c r="A1744" s="1" t="s">
        <v>4828</v>
      </c>
      <c r="B1744" s="1" t="s">
        <v>3929</v>
      </c>
      <c r="C1744" s="4">
        <v>39942.755555555559</v>
      </c>
      <c r="D1744" s="1" t="s">
        <v>4829</v>
      </c>
      <c r="E1744" s="1" t="s">
        <v>4825</v>
      </c>
      <c r="F1744" s="2" t="s">
        <v>4830</v>
      </c>
      <c r="G1744" s="1">
        <f ca="1">IFERROR(__xludf.DUMMYFUNCTION("COUNTA(SPLIT(F1744,"" ""))"),231)</f>
        <v>231</v>
      </c>
      <c r="H1744" s="1">
        <v>231</v>
      </c>
      <c r="I1744" s="1"/>
      <c r="J1744" s="1"/>
      <c r="K1744" s="1"/>
      <c r="L1744" s="1"/>
      <c r="M1744" s="1"/>
      <c r="N1744" s="1"/>
      <c r="O1744" s="1"/>
      <c r="P1744" s="1"/>
      <c r="Q1744" s="1"/>
      <c r="R1744" s="1"/>
      <c r="S1744" s="1"/>
      <c r="T1744" s="1"/>
    </row>
    <row r="1745" spans="1:20" ht="33.75" hidden="1" customHeight="1">
      <c r="A1745" s="1" t="s">
        <v>4831</v>
      </c>
      <c r="B1745" s="1" t="s">
        <v>3929</v>
      </c>
      <c r="C1745" s="4">
        <v>39942.756249999999</v>
      </c>
      <c r="D1745" s="1" t="s">
        <v>320</v>
      </c>
      <c r="E1745" s="1" t="s">
        <v>4832</v>
      </c>
      <c r="F1745" s="2" t="s">
        <v>4834</v>
      </c>
      <c r="G1745" s="1">
        <f ca="1">IFERROR(__xludf.DUMMYFUNCTION("COUNTA(SPLIT(F1745,"" ""))"),278)</f>
        <v>278</v>
      </c>
      <c r="H1745" s="1">
        <v>278</v>
      </c>
      <c r="I1745" s="1"/>
      <c r="J1745" s="1"/>
      <c r="K1745" s="1"/>
      <c r="L1745" s="1"/>
      <c r="M1745" s="1"/>
      <c r="N1745" s="1"/>
      <c r="O1745" s="1"/>
      <c r="P1745" s="1"/>
      <c r="Q1745" s="1"/>
      <c r="R1745" s="1"/>
      <c r="S1745" s="1"/>
      <c r="T1745" s="1"/>
    </row>
    <row r="1746" spans="1:20" ht="33.75" customHeight="1">
      <c r="A1746" s="1" t="s">
        <v>4835</v>
      </c>
      <c r="B1746" s="1" t="s">
        <v>3929</v>
      </c>
      <c r="C1746" s="4">
        <v>39942.757638888892</v>
      </c>
      <c r="D1746" s="1" t="s">
        <v>4829</v>
      </c>
      <c r="E1746" s="1"/>
      <c r="F1746" s="2" t="s">
        <v>4836</v>
      </c>
      <c r="G1746" s="1">
        <f ca="1">IFERROR(__xludf.DUMMYFUNCTION("COUNTA(SPLIT(F1746,"" ""))"),226)</f>
        <v>226</v>
      </c>
      <c r="H1746" s="1">
        <v>226</v>
      </c>
      <c r="I1746" s="1"/>
      <c r="J1746" s="1"/>
      <c r="K1746" s="1"/>
      <c r="L1746" s="1"/>
      <c r="M1746" s="1"/>
      <c r="N1746" s="1"/>
      <c r="O1746" s="1"/>
      <c r="P1746" s="1"/>
      <c r="Q1746" s="1"/>
      <c r="R1746" s="1"/>
      <c r="S1746" s="1"/>
      <c r="T1746" s="1"/>
    </row>
    <row r="1747" spans="1:20" ht="33.75" customHeight="1">
      <c r="A1747" s="1" t="s">
        <v>4837</v>
      </c>
      <c r="B1747" s="1" t="s">
        <v>3929</v>
      </c>
      <c r="C1747" s="4">
        <v>39942.757638888892</v>
      </c>
      <c r="D1747" s="1" t="s">
        <v>320</v>
      </c>
      <c r="E1747" s="1"/>
      <c r="F1747" s="2" t="s">
        <v>4838</v>
      </c>
      <c r="G1747" s="1">
        <f ca="1">IFERROR(__xludf.DUMMYFUNCTION("COUNTA(SPLIT(F1747,"" ""))"),233)</f>
        <v>233</v>
      </c>
      <c r="H1747" s="1">
        <v>233</v>
      </c>
      <c r="I1747" s="1"/>
      <c r="J1747" s="1"/>
      <c r="K1747" s="1"/>
      <c r="L1747" s="1"/>
      <c r="M1747" s="1"/>
      <c r="N1747" s="1"/>
      <c r="O1747" s="1"/>
      <c r="P1747" s="1"/>
      <c r="Q1747" s="1"/>
      <c r="R1747" s="1"/>
      <c r="S1747" s="1"/>
      <c r="T1747" s="1"/>
    </row>
    <row r="1748" spans="1:20" ht="33.75" customHeight="1">
      <c r="A1748" s="1" t="s">
        <v>4839</v>
      </c>
      <c r="B1748" s="1" t="s">
        <v>3929</v>
      </c>
      <c r="C1748" s="4">
        <v>39942.759027777778</v>
      </c>
      <c r="D1748" s="1" t="s">
        <v>4829</v>
      </c>
      <c r="E1748" s="1"/>
      <c r="F1748" s="2" t="s">
        <v>4840</v>
      </c>
      <c r="G1748" s="1">
        <f ca="1">IFERROR(__xludf.DUMMYFUNCTION("COUNTA(SPLIT(F1748,"" ""))"),172)</f>
        <v>172</v>
      </c>
      <c r="H1748" s="1">
        <v>172</v>
      </c>
      <c r="I1748" s="1"/>
      <c r="J1748" s="1"/>
      <c r="K1748" s="1"/>
      <c r="L1748" s="1"/>
      <c r="M1748" s="1"/>
      <c r="N1748" s="1"/>
      <c r="O1748" s="1"/>
      <c r="P1748" s="1"/>
      <c r="Q1748" s="1"/>
      <c r="R1748" s="1"/>
      <c r="S1748" s="1"/>
      <c r="T1748" s="1"/>
    </row>
    <row r="1749" spans="1:20" ht="33.75" hidden="1" customHeight="1">
      <c r="A1749" s="1" t="s">
        <v>4841</v>
      </c>
      <c r="B1749" s="1" t="s">
        <v>3929</v>
      </c>
      <c r="C1749" s="4">
        <v>39942.769444444442</v>
      </c>
      <c r="D1749" s="1" t="s">
        <v>320</v>
      </c>
      <c r="E1749" s="1" t="s">
        <v>4825</v>
      </c>
      <c r="F1749" s="2" t="s">
        <v>4843</v>
      </c>
      <c r="G1749" s="1">
        <f ca="1">IFERROR(__xludf.DUMMYFUNCTION("COUNTA(SPLIT(F1749,"" ""))"),85)</f>
        <v>85</v>
      </c>
      <c r="H1749" s="1">
        <v>85</v>
      </c>
      <c r="I1749" s="1"/>
      <c r="J1749" s="1"/>
      <c r="K1749" s="1"/>
      <c r="L1749" s="1"/>
      <c r="M1749" s="1"/>
      <c r="N1749" s="1"/>
      <c r="O1749" s="1"/>
      <c r="P1749" s="1"/>
      <c r="Q1749" s="1"/>
      <c r="R1749" s="1"/>
      <c r="S1749" s="1"/>
      <c r="T1749" s="1"/>
    </row>
    <row r="1750" spans="1:20" ht="33.75" hidden="1" customHeight="1">
      <c r="A1750" s="1" t="s">
        <v>4844</v>
      </c>
      <c r="B1750" s="1" t="s">
        <v>3929</v>
      </c>
      <c r="C1750" s="4">
        <v>39942.925694444442</v>
      </c>
      <c r="D1750" s="1" t="s">
        <v>320</v>
      </c>
      <c r="E1750" s="1" t="s">
        <v>4841</v>
      </c>
      <c r="F1750" s="2" t="s">
        <v>4845</v>
      </c>
      <c r="G1750" s="1">
        <f ca="1">IFERROR(__xludf.DUMMYFUNCTION("COUNTA(SPLIT(F1750,"" ""))"),44)</f>
        <v>44</v>
      </c>
      <c r="H1750" s="1">
        <v>44</v>
      </c>
      <c r="I1750" s="1"/>
      <c r="J1750" s="1"/>
      <c r="K1750" s="1"/>
      <c r="L1750" s="1"/>
      <c r="M1750" s="1"/>
      <c r="N1750" s="1"/>
      <c r="O1750" s="1"/>
      <c r="P1750" s="1"/>
      <c r="Q1750" s="1"/>
      <c r="R1750" s="1"/>
      <c r="S1750" s="1"/>
      <c r="T1750" s="1"/>
    </row>
    <row r="1751" spans="1:20" ht="33.75" customHeight="1">
      <c r="A1751" s="1" t="s">
        <v>4846</v>
      </c>
      <c r="B1751" s="1" t="s">
        <v>3929</v>
      </c>
      <c r="C1751" s="4">
        <v>39943.755555555559</v>
      </c>
      <c r="D1751" s="1" t="s">
        <v>14</v>
      </c>
      <c r="E1751" s="1"/>
      <c r="F1751" s="2" t="s">
        <v>4848</v>
      </c>
      <c r="G1751" s="1">
        <f ca="1">IFERROR(__xludf.DUMMYFUNCTION("COUNTA(SPLIT(F1751,"" ""))"),212)</f>
        <v>212</v>
      </c>
      <c r="H1751" s="1">
        <v>212</v>
      </c>
      <c r="I1751" s="1"/>
      <c r="J1751" s="1"/>
      <c r="K1751" s="1"/>
      <c r="L1751" s="1"/>
      <c r="M1751" s="1"/>
      <c r="N1751" s="1"/>
      <c r="O1751" s="1"/>
      <c r="P1751" s="1"/>
      <c r="Q1751" s="1"/>
      <c r="R1751" s="1"/>
      <c r="S1751" s="1"/>
      <c r="T1751" s="1"/>
    </row>
    <row r="1752" spans="1:20" ht="33.75" customHeight="1">
      <c r="A1752" s="1" t="s">
        <v>4849</v>
      </c>
      <c r="B1752" s="1" t="s">
        <v>3929</v>
      </c>
      <c r="C1752" s="4">
        <v>39944.050000000003</v>
      </c>
      <c r="D1752" s="1" t="s">
        <v>320</v>
      </c>
      <c r="E1752" s="1"/>
      <c r="F1752" s="2" t="s">
        <v>4851</v>
      </c>
      <c r="G1752" s="1">
        <f ca="1">IFERROR(__xludf.DUMMYFUNCTION("COUNTA(SPLIT(F1752,"" ""))"),116)</f>
        <v>116</v>
      </c>
      <c r="H1752" s="1">
        <v>116</v>
      </c>
      <c r="I1752" s="1"/>
      <c r="J1752" s="1"/>
      <c r="K1752" s="1"/>
      <c r="L1752" s="1"/>
      <c r="M1752" s="1"/>
      <c r="N1752" s="1"/>
      <c r="O1752" s="1"/>
      <c r="P1752" s="1"/>
      <c r="Q1752" s="1"/>
      <c r="R1752" s="1"/>
      <c r="S1752" s="1"/>
      <c r="T1752" s="1"/>
    </row>
    <row r="1753" spans="1:20" ht="33.75" customHeight="1">
      <c r="A1753" s="1" t="s">
        <v>4852</v>
      </c>
      <c r="B1753" s="1" t="s">
        <v>3929</v>
      </c>
      <c r="C1753" s="4">
        <v>39947.938194444447</v>
      </c>
      <c r="D1753" s="1" t="s">
        <v>320</v>
      </c>
      <c r="E1753" s="1"/>
      <c r="F1753" s="2" t="s">
        <v>4853</v>
      </c>
      <c r="G1753" s="1">
        <f ca="1">IFERROR(__xludf.DUMMYFUNCTION("COUNTA(SPLIT(F1753,"" ""))"),10)</f>
        <v>10</v>
      </c>
      <c r="H1753" s="1">
        <v>10</v>
      </c>
      <c r="I1753" s="1"/>
      <c r="J1753" s="1"/>
      <c r="K1753" s="1"/>
      <c r="L1753" s="1"/>
      <c r="M1753" s="1"/>
      <c r="N1753" s="1"/>
      <c r="O1753" s="1"/>
      <c r="P1753" s="1"/>
      <c r="Q1753" s="1"/>
      <c r="R1753" s="1"/>
      <c r="S1753" s="1"/>
      <c r="T1753" s="1"/>
    </row>
    <row r="1754" spans="1:20" ht="33.75" customHeight="1">
      <c r="A1754" s="1" t="s">
        <v>4854</v>
      </c>
      <c r="B1754" s="1" t="s">
        <v>4460</v>
      </c>
      <c r="C1754" s="4">
        <v>39948.254166666666</v>
      </c>
      <c r="D1754" s="1" t="s">
        <v>1887</v>
      </c>
      <c r="E1754" s="1"/>
      <c r="F1754" s="2" t="s">
        <v>4856</v>
      </c>
      <c r="G1754" s="1">
        <f ca="1">IFERROR(__xludf.DUMMYFUNCTION("COUNTA(SPLIT(F1754,"" ""))"),83)</f>
        <v>83</v>
      </c>
      <c r="H1754" s="1">
        <v>83</v>
      </c>
      <c r="I1754" s="1"/>
      <c r="J1754" s="1"/>
      <c r="K1754" s="1"/>
      <c r="L1754" s="1"/>
      <c r="M1754" s="1"/>
      <c r="N1754" s="1"/>
      <c r="O1754" s="1"/>
      <c r="P1754" s="1"/>
      <c r="Q1754" s="1"/>
      <c r="R1754" s="1"/>
      <c r="S1754" s="1"/>
      <c r="T1754" s="1"/>
    </row>
    <row r="1755" spans="1:20" ht="33.75" customHeight="1">
      <c r="A1755" s="1" t="s">
        <v>4857</v>
      </c>
      <c r="B1755" s="1" t="s">
        <v>4460</v>
      </c>
      <c r="C1755" s="4">
        <v>39948.362500000003</v>
      </c>
      <c r="D1755" s="1" t="s">
        <v>54</v>
      </c>
      <c r="E1755" s="1"/>
      <c r="F1755" s="2" t="s">
        <v>4859</v>
      </c>
      <c r="G1755" s="1">
        <f ca="1">IFERROR(__xludf.DUMMYFUNCTION("COUNTA(SPLIT(F1755,"" ""))"),262)</f>
        <v>262</v>
      </c>
      <c r="H1755" s="1">
        <v>262</v>
      </c>
      <c r="I1755" s="1"/>
      <c r="J1755" s="1"/>
      <c r="K1755" s="1"/>
      <c r="L1755" s="1"/>
      <c r="M1755" s="1"/>
      <c r="N1755" s="1"/>
      <c r="O1755" s="1"/>
      <c r="P1755" s="1"/>
      <c r="Q1755" s="1"/>
      <c r="R1755" s="1"/>
      <c r="S1755" s="1"/>
      <c r="T1755" s="1"/>
    </row>
    <row r="1756" spans="1:20" ht="33.75" customHeight="1">
      <c r="A1756" s="1" t="s">
        <v>4860</v>
      </c>
      <c r="B1756" s="1" t="s">
        <v>4460</v>
      </c>
      <c r="C1756" s="4">
        <v>39948.724305555559</v>
      </c>
      <c r="D1756" s="1" t="s">
        <v>1887</v>
      </c>
      <c r="E1756" s="1"/>
      <c r="F1756" s="2" t="s">
        <v>4862</v>
      </c>
      <c r="G1756" s="1">
        <f ca="1">IFERROR(__xludf.DUMMYFUNCTION("COUNTA(SPLIT(F1756,"" ""))"),47)</f>
        <v>47</v>
      </c>
      <c r="H1756" s="1">
        <v>47</v>
      </c>
      <c r="I1756" s="1"/>
      <c r="J1756" s="1"/>
      <c r="K1756" s="1"/>
      <c r="L1756" s="1"/>
      <c r="M1756" s="1"/>
      <c r="N1756" s="1"/>
      <c r="O1756" s="1"/>
      <c r="P1756" s="1"/>
      <c r="Q1756" s="1"/>
      <c r="R1756" s="1"/>
      <c r="S1756" s="1"/>
      <c r="T1756" s="1"/>
    </row>
    <row r="1757" spans="1:20" ht="33.75" customHeight="1">
      <c r="A1757" s="1" t="s">
        <v>4863</v>
      </c>
      <c r="B1757" s="1" t="s">
        <v>3929</v>
      </c>
      <c r="C1757" s="4">
        <v>39948.95208333333</v>
      </c>
      <c r="D1757" s="1" t="s">
        <v>320</v>
      </c>
      <c r="E1757" s="1"/>
      <c r="F1757" s="2" t="s">
        <v>4864</v>
      </c>
      <c r="G1757" s="1">
        <f ca="1">IFERROR(__xludf.DUMMYFUNCTION("COUNTA(SPLIT(F1757,"" ""))"),2)</f>
        <v>2</v>
      </c>
      <c r="H1757" s="1">
        <v>2</v>
      </c>
      <c r="I1757" s="1"/>
      <c r="J1757" s="1"/>
      <c r="K1757" s="1"/>
      <c r="L1757" s="1"/>
      <c r="M1757" s="1"/>
      <c r="N1757" s="1"/>
      <c r="O1757" s="1"/>
      <c r="P1757" s="1"/>
      <c r="Q1757" s="1"/>
      <c r="R1757" s="1"/>
      <c r="S1757" s="1"/>
      <c r="T1757" s="1"/>
    </row>
    <row r="1758" spans="1:20" ht="33.75" customHeight="1">
      <c r="A1758" s="1" t="s">
        <v>4865</v>
      </c>
      <c r="B1758" s="1" t="s">
        <v>3929</v>
      </c>
      <c r="C1758" s="4">
        <v>39949.13958333333</v>
      </c>
      <c r="D1758" s="1" t="s">
        <v>196</v>
      </c>
      <c r="E1758" s="1"/>
      <c r="F1758" s="2" t="s">
        <v>4866</v>
      </c>
      <c r="G1758" s="1">
        <f ca="1">IFERROR(__xludf.DUMMYFUNCTION("COUNTA(SPLIT(F1758,"" ""))"),120)</f>
        <v>120</v>
      </c>
      <c r="H1758" s="1">
        <v>120</v>
      </c>
      <c r="I1758" s="1"/>
      <c r="J1758" s="1"/>
      <c r="K1758" s="1"/>
      <c r="L1758" s="1"/>
      <c r="M1758" s="1"/>
      <c r="N1758" s="1"/>
      <c r="O1758" s="1"/>
      <c r="P1758" s="1"/>
      <c r="Q1758" s="1"/>
      <c r="R1758" s="1"/>
      <c r="S1758" s="1"/>
      <c r="T1758" s="1"/>
    </row>
    <row r="1759" spans="1:20" ht="33.75" customHeight="1">
      <c r="A1759" s="1" t="s">
        <v>4867</v>
      </c>
      <c r="B1759" s="1" t="s">
        <v>3929</v>
      </c>
      <c r="C1759" s="4">
        <v>39949.813194444447</v>
      </c>
      <c r="D1759" s="1" t="s">
        <v>196</v>
      </c>
      <c r="E1759" s="1"/>
      <c r="F1759" s="2" t="s">
        <v>4869</v>
      </c>
      <c r="G1759" s="1">
        <f ca="1">IFERROR(__xludf.DUMMYFUNCTION("COUNTA(SPLIT(F1759,"" ""))"),37)</f>
        <v>37</v>
      </c>
      <c r="H1759" s="1">
        <v>37</v>
      </c>
      <c r="I1759" s="1"/>
      <c r="J1759" s="1"/>
      <c r="K1759" s="1"/>
      <c r="L1759" s="1"/>
      <c r="M1759" s="1"/>
      <c r="N1759" s="1"/>
      <c r="O1759" s="1"/>
      <c r="P1759" s="1"/>
      <c r="Q1759" s="1"/>
      <c r="R1759" s="1"/>
      <c r="S1759" s="1"/>
      <c r="T1759" s="1"/>
    </row>
    <row r="1760" spans="1:20" ht="33.75" hidden="1" customHeight="1">
      <c r="A1760" s="1" t="s">
        <v>4870</v>
      </c>
      <c r="B1760" s="1" t="s">
        <v>4460</v>
      </c>
      <c r="C1760" s="4">
        <v>39950.456944444442</v>
      </c>
      <c r="D1760" s="1" t="s">
        <v>772</v>
      </c>
      <c r="E1760" s="1" t="s">
        <v>4857</v>
      </c>
      <c r="F1760" s="2" t="s">
        <v>4872</v>
      </c>
      <c r="G1760" s="1">
        <f ca="1">IFERROR(__xludf.DUMMYFUNCTION("COUNTA(SPLIT(F1760,"" ""))"),43)</f>
        <v>43</v>
      </c>
      <c r="H1760" s="1">
        <v>43</v>
      </c>
      <c r="I1760" s="1"/>
      <c r="J1760" s="1"/>
      <c r="K1760" s="1"/>
      <c r="L1760" s="1"/>
      <c r="M1760" s="1"/>
      <c r="N1760" s="1"/>
      <c r="O1760" s="1"/>
      <c r="P1760" s="1"/>
      <c r="Q1760" s="1"/>
      <c r="R1760" s="1"/>
      <c r="S1760" s="1"/>
      <c r="T1760" s="1"/>
    </row>
    <row r="1761" spans="1:20" ht="33.75" hidden="1" customHeight="1">
      <c r="A1761" s="1" t="s">
        <v>4873</v>
      </c>
      <c r="B1761" s="1" t="s">
        <v>4460</v>
      </c>
      <c r="C1761" s="4">
        <v>39951.279861111114</v>
      </c>
      <c r="D1761" s="1" t="s">
        <v>84</v>
      </c>
      <c r="E1761" s="1" t="s">
        <v>4857</v>
      </c>
      <c r="F1761" s="2" t="s">
        <v>4874</v>
      </c>
      <c r="G1761" s="1">
        <f ca="1">IFERROR(__xludf.DUMMYFUNCTION("COUNTA(SPLIT(F1761,"" ""))"),94)</f>
        <v>94</v>
      </c>
      <c r="H1761" s="1">
        <v>94</v>
      </c>
      <c r="I1761" s="1"/>
      <c r="J1761" s="1"/>
      <c r="K1761" s="1"/>
      <c r="L1761" s="1"/>
      <c r="M1761" s="1"/>
      <c r="N1761" s="1"/>
      <c r="O1761" s="1"/>
      <c r="P1761" s="1"/>
      <c r="Q1761" s="1"/>
      <c r="R1761" s="1"/>
      <c r="S1761" s="1"/>
      <c r="T1761" s="1"/>
    </row>
    <row r="1762" spans="1:20" ht="33.75" customHeight="1">
      <c r="A1762" s="1" t="s">
        <v>4875</v>
      </c>
      <c r="B1762" s="1" t="s">
        <v>4460</v>
      </c>
      <c r="C1762" s="4">
        <v>39951.284722222219</v>
      </c>
      <c r="D1762" s="1" t="s">
        <v>84</v>
      </c>
      <c r="E1762" s="1"/>
      <c r="F1762" s="2" t="s">
        <v>4877</v>
      </c>
      <c r="G1762" s="1">
        <f ca="1">IFERROR(__xludf.DUMMYFUNCTION("COUNTA(SPLIT(F1762,"" ""))"),44)</f>
        <v>44</v>
      </c>
      <c r="H1762" s="1">
        <v>44</v>
      </c>
      <c r="I1762" s="1"/>
      <c r="J1762" s="1"/>
      <c r="K1762" s="1"/>
      <c r="L1762" s="1"/>
      <c r="M1762" s="1"/>
      <c r="N1762" s="1"/>
      <c r="O1762" s="1"/>
      <c r="P1762" s="1"/>
      <c r="Q1762" s="1"/>
      <c r="R1762" s="1"/>
      <c r="S1762" s="1"/>
      <c r="T1762" s="1"/>
    </row>
    <row r="1763" spans="1:20" ht="33.75" customHeight="1">
      <c r="A1763" s="1" t="s">
        <v>4878</v>
      </c>
      <c r="B1763" s="1" t="s">
        <v>4460</v>
      </c>
      <c r="C1763" s="4">
        <v>39951.463194444441</v>
      </c>
      <c r="D1763" s="1" t="s">
        <v>84</v>
      </c>
      <c r="E1763" s="1"/>
      <c r="F1763" s="2" t="s">
        <v>4879</v>
      </c>
      <c r="G1763" s="1">
        <f ca="1">IFERROR(__xludf.DUMMYFUNCTION("COUNTA(SPLIT(F1763,"" ""))"),145)</f>
        <v>145</v>
      </c>
      <c r="H1763" s="1">
        <v>145</v>
      </c>
      <c r="I1763" s="1"/>
      <c r="J1763" s="1"/>
      <c r="K1763" s="1"/>
      <c r="L1763" s="1"/>
      <c r="M1763" s="1"/>
      <c r="N1763" s="1"/>
      <c r="O1763" s="1"/>
      <c r="P1763" s="1"/>
      <c r="Q1763" s="1"/>
      <c r="R1763" s="1"/>
      <c r="S1763" s="1"/>
      <c r="T1763" s="1"/>
    </row>
    <row r="1764" spans="1:20" ht="33.75" hidden="1" customHeight="1">
      <c r="A1764" s="1" t="s">
        <v>4880</v>
      </c>
      <c r="B1764" s="1" t="s">
        <v>4460</v>
      </c>
      <c r="C1764" s="4">
        <v>39951.46875</v>
      </c>
      <c r="D1764" s="1" t="s">
        <v>84</v>
      </c>
      <c r="E1764" s="1" t="s">
        <v>4878</v>
      </c>
      <c r="F1764" s="2" t="s">
        <v>4881</v>
      </c>
      <c r="G1764" s="1">
        <f ca="1">IFERROR(__xludf.DUMMYFUNCTION("COUNTA(SPLIT(F1764,"" ""))"),17)</f>
        <v>17</v>
      </c>
      <c r="H1764" s="1">
        <v>17</v>
      </c>
      <c r="I1764" s="1"/>
      <c r="J1764" s="1"/>
      <c r="K1764" s="1"/>
      <c r="L1764" s="1"/>
      <c r="M1764" s="1"/>
      <c r="N1764" s="1"/>
      <c r="O1764" s="1"/>
      <c r="P1764" s="1"/>
      <c r="Q1764" s="1"/>
      <c r="R1764" s="1"/>
      <c r="S1764" s="1"/>
      <c r="T1764" s="1"/>
    </row>
    <row r="1765" spans="1:20" ht="33.75" customHeight="1">
      <c r="A1765" s="1" t="s">
        <v>4882</v>
      </c>
      <c r="B1765" s="1" t="s">
        <v>3929</v>
      </c>
      <c r="C1765" s="4">
        <v>39951.92083333333</v>
      </c>
      <c r="D1765" s="1" t="s">
        <v>320</v>
      </c>
      <c r="E1765" s="1"/>
      <c r="F1765" s="2" t="s">
        <v>4884</v>
      </c>
      <c r="G1765" s="1">
        <f ca="1">IFERROR(__xludf.DUMMYFUNCTION("COUNTA(SPLIT(F1765,"" ""))"),197)</f>
        <v>197</v>
      </c>
      <c r="H1765" s="1">
        <v>197</v>
      </c>
      <c r="I1765" s="1"/>
      <c r="J1765" s="1"/>
      <c r="K1765" s="1"/>
      <c r="L1765" s="1"/>
      <c r="M1765" s="1"/>
      <c r="N1765" s="1"/>
      <c r="O1765" s="1"/>
      <c r="P1765" s="1"/>
      <c r="Q1765" s="1"/>
      <c r="R1765" s="1"/>
      <c r="S1765" s="1"/>
      <c r="T1765" s="1"/>
    </row>
    <row r="1766" spans="1:20" ht="33.75" hidden="1" customHeight="1">
      <c r="A1766" s="1" t="s">
        <v>4885</v>
      </c>
      <c r="B1766" s="1" t="s">
        <v>3929</v>
      </c>
      <c r="C1766" s="4">
        <v>39951.9375</v>
      </c>
      <c r="D1766" s="1" t="s">
        <v>14</v>
      </c>
      <c r="E1766" s="1" t="s">
        <v>4882</v>
      </c>
      <c r="F1766" s="2" t="s">
        <v>4886</v>
      </c>
      <c r="G1766" s="1">
        <f ca="1">IFERROR(__xludf.DUMMYFUNCTION("COUNTA(SPLIT(F1766,"" ""))"),151)</f>
        <v>151</v>
      </c>
      <c r="H1766" s="1">
        <v>151</v>
      </c>
      <c r="I1766" s="1"/>
      <c r="J1766" s="1"/>
      <c r="K1766" s="1"/>
      <c r="L1766" s="1"/>
      <c r="M1766" s="1"/>
      <c r="N1766" s="1"/>
      <c r="O1766" s="1"/>
      <c r="P1766" s="1"/>
      <c r="Q1766" s="1"/>
      <c r="R1766" s="1"/>
      <c r="S1766" s="1"/>
      <c r="T1766" s="1"/>
    </row>
    <row r="1767" spans="1:20" ht="33.75" hidden="1" customHeight="1">
      <c r="A1767" s="1" t="s">
        <v>4887</v>
      </c>
      <c r="B1767" s="1" t="s">
        <v>3929</v>
      </c>
      <c r="C1767" s="4">
        <v>39952.106249999997</v>
      </c>
      <c r="D1767" s="1" t="s">
        <v>320</v>
      </c>
      <c r="E1767" s="1" t="s">
        <v>4885</v>
      </c>
      <c r="F1767" s="2" t="s">
        <v>4888</v>
      </c>
      <c r="G1767" s="1">
        <f ca="1">IFERROR(__xludf.DUMMYFUNCTION("COUNTA(SPLIT(F1767,"" ""))"),52)</f>
        <v>52</v>
      </c>
      <c r="H1767" s="1">
        <v>52</v>
      </c>
      <c r="I1767" s="1"/>
      <c r="J1767" s="1"/>
      <c r="K1767" s="1"/>
      <c r="L1767" s="1"/>
      <c r="M1767" s="1"/>
      <c r="N1767" s="1"/>
      <c r="O1767" s="1"/>
      <c r="P1767" s="1"/>
      <c r="Q1767" s="1"/>
      <c r="R1767" s="1"/>
      <c r="S1767" s="1"/>
      <c r="T1767" s="1"/>
    </row>
    <row r="1768" spans="1:20" ht="33.75" customHeight="1">
      <c r="A1768" s="1" t="s">
        <v>4889</v>
      </c>
      <c r="B1768" s="1" t="s">
        <v>3929</v>
      </c>
      <c r="C1768" s="4">
        <v>39952.618750000001</v>
      </c>
      <c r="D1768" s="1" t="s">
        <v>320</v>
      </c>
      <c r="E1768" s="1"/>
      <c r="F1768" s="2" t="s">
        <v>4891</v>
      </c>
      <c r="G1768" s="1">
        <f ca="1">IFERROR(__xludf.DUMMYFUNCTION("COUNTA(SPLIT(F1768,"" ""))"),22)</f>
        <v>22</v>
      </c>
      <c r="H1768" s="1">
        <v>22</v>
      </c>
      <c r="I1768" s="1"/>
      <c r="J1768" s="1"/>
      <c r="K1768" s="1"/>
      <c r="L1768" s="1"/>
      <c r="M1768" s="1"/>
      <c r="N1768" s="1"/>
      <c r="O1768" s="1"/>
      <c r="P1768" s="1"/>
      <c r="Q1768" s="1"/>
      <c r="R1768" s="1"/>
      <c r="S1768" s="1"/>
      <c r="T1768" s="1"/>
    </row>
    <row r="1769" spans="1:20" ht="33.75" customHeight="1">
      <c r="A1769" s="1" t="s">
        <v>4892</v>
      </c>
      <c r="B1769" s="1" t="s">
        <v>3929</v>
      </c>
      <c r="C1769" s="4">
        <v>39953.51458333333</v>
      </c>
      <c r="D1769" s="1" t="s">
        <v>14</v>
      </c>
      <c r="E1769" s="1"/>
      <c r="F1769" s="2" t="s">
        <v>4894</v>
      </c>
      <c r="G1769" s="1">
        <f ca="1">IFERROR(__xludf.DUMMYFUNCTION("COUNTA(SPLIT(F1769,"" ""))"),203)</f>
        <v>203</v>
      </c>
      <c r="H1769" s="1">
        <v>203</v>
      </c>
      <c r="I1769" s="1"/>
      <c r="J1769" s="1"/>
      <c r="K1769" s="1"/>
      <c r="L1769" s="1"/>
      <c r="M1769" s="1"/>
      <c r="N1769" s="1"/>
      <c r="O1769" s="1"/>
      <c r="P1769" s="1"/>
      <c r="Q1769" s="1"/>
      <c r="R1769" s="1"/>
      <c r="S1769" s="1"/>
      <c r="T1769" s="1"/>
    </row>
    <row r="1770" spans="1:20" ht="33.75" hidden="1" customHeight="1">
      <c r="A1770" s="1" t="s">
        <v>4895</v>
      </c>
      <c r="B1770" s="1" t="s">
        <v>3929</v>
      </c>
      <c r="C1770" s="4">
        <v>39954.261111111111</v>
      </c>
      <c r="D1770" s="1" t="s">
        <v>320</v>
      </c>
      <c r="E1770" s="1" t="s">
        <v>4892</v>
      </c>
      <c r="F1770" s="2" t="s">
        <v>4896</v>
      </c>
      <c r="G1770" s="1">
        <f ca="1">IFERROR(__xludf.DUMMYFUNCTION("COUNTA(SPLIT(F1770,"" ""))"),3)</f>
        <v>3</v>
      </c>
      <c r="H1770" s="1">
        <v>3</v>
      </c>
      <c r="I1770" s="1"/>
      <c r="J1770" s="1"/>
      <c r="K1770" s="1"/>
      <c r="L1770" s="1"/>
      <c r="M1770" s="1"/>
      <c r="N1770" s="1"/>
      <c r="O1770" s="1"/>
      <c r="P1770" s="1"/>
      <c r="Q1770" s="1"/>
      <c r="R1770" s="1"/>
      <c r="S1770" s="1"/>
      <c r="T1770" s="1"/>
    </row>
    <row r="1771" spans="1:20" ht="33.75" customHeight="1">
      <c r="A1771" s="1" t="s">
        <v>4897</v>
      </c>
      <c r="B1771" s="1" t="s">
        <v>3929</v>
      </c>
      <c r="C1771" s="4">
        <v>39954.42083333333</v>
      </c>
      <c r="D1771" s="1" t="s">
        <v>14</v>
      </c>
      <c r="E1771" s="1"/>
      <c r="F1771" s="2" t="s">
        <v>4898</v>
      </c>
      <c r="G1771" s="1">
        <f ca="1">IFERROR(__xludf.DUMMYFUNCTION("COUNTA(SPLIT(F1771,"" ""))"),139)</f>
        <v>139</v>
      </c>
      <c r="H1771" s="1">
        <v>139</v>
      </c>
      <c r="I1771" s="1"/>
      <c r="J1771" s="1"/>
      <c r="K1771" s="1"/>
      <c r="L1771" s="1"/>
      <c r="M1771" s="1"/>
      <c r="N1771" s="1"/>
      <c r="O1771" s="1"/>
      <c r="P1771" s="1"/>
      <c r="Q1771" s="1"/>
      <c r="R1771" s="1"/>
      <c r="S1771" s="1"/>
      <c r="T1771" s="1"/>
    </row>
    <row r="1772" spans="1:20" ht="33.75" customHeight="1">
      <c r="A1772" s="1" t="s">
        <v>4899</v>
      </c>
      <c r="B1772" s="1" t="s">
        <v>3929</v>
      </c>
      <c r="C1772" s="4">
        <v>39954.476388888892</v>
      </c>
      <c r="D1772" s="1" t="s">
        <v>14</v>
      </c>
      <c r="E1772" s="1"/>
      <c r="F1772" s="2" t="s">
        <v>4900</v>
      </c>
      <c r="G1772" s="1">
        <f ca="1">IFERROR(__xludf.DUMMYFUNCTION("COUNTA(SPLIT(F1772,"" ""))"),49)</f>
        <v>49</v>
      </c>
      <c r="H1772" s="1">
        <v>49</v>
      </c>
      <c r="I1772" s="1"/>
      <c r="J1772" s="1"/>
      <c r="K1772" s="1"/>
      <c r="L1772" s="1"/>
      <c r="M1772" s="1"/>
      <c r="N1772" s="1"/>
      <c r="O1772" s="1"/>
      <c r="P1772" s="1"/>
      <c r="Q1772" s="1"/>
      <c r="R1772" s="1"/>
      <c r="S1772" s="1"/>
      <c r="T1772" s="1"/>
    </row>
    <row r="1773" spans="1:20" ht="33.75" hidden="1" customHeight="1">
      <c r="A1773" s="1" t="s">
        <v>4901</v>
      </c>
      <c r="B1773" s="1" t="s">
        <v>3929</v>
      </c>
      <c r="C1773" s="4">
        <v>39954.661805555559</v>
      </c>
      <c r="D1773" s="1" t="s">
        <v>320</v>
      </c>
      <c r="E1773" s="1" t="s">
        <v>4897</v>
      </c>
      <c r="F1773" s="2" t="s">
        <v>4902</v>
      </c>
      <c r="G1773" s="1">
        <f ca="1">IFERROR(__xludf.DUMMYFUNCTION("COUNTA(SPLIT(F1773,"" ""))"),23)</f>
        <v>23</v>
      </c>
      <c r="H1773" s="1">
        <v>23</v>
      </c>
      <c r="I1773" s="1"/>
      <c r="J1773" s="1"/>
      <c r="K1773" s="1"/>
      <c r="L1773" s="1"/>
      <c r="M1773" s="1"/>
      <c r="N1773" s="1"/>
      <c r="O1773" s="1"/>
      <c r="P1773" s="1"/>
      <c r="Q1773" s="1"/>
      <c r="R1773" s="1"/>
      <c r="S1773" s="1"/>
      <c r="T1773" s="1"/>
    </row>
    <row r="1774" spans="1:20" ht="33.75" customHeight="1">
      <c r="A1774" s="1" t="s">
        <v>4903</v>
      </c>
      <c r="B1774" s="1" t="s">
        <v>4904</v>
      </c>
      <c r="C1774" s="4">
        <v>39955.761805555558</v>
      </c>
      <c r="D1774" s="1" t="s">
        <v>54</v>
      </c>
      <c r="E1774" s="1"/>
      <c r="F1774" s="2" t="s">
        <v>4906</v>
      </c>
      <c r="G1774" s="1">
        <f ca="1">IFERROR(__xludf.DUMMYFUNCTION("COUNTA(SPLIT(F1774,"" ""))"),84)</f>
        <v>84</v>
      </c>
      <c r="H1774" s="1">
        <v>84</v>
      </c>
      <c r="I1774" s="1"/>
      <c r="J1774" s="1"/>
      <c r="K1774" s="1"/>
      <c r="L1774" s="1"/>
      <c r="M1774" s="1"/>
      <c r="N1774" s="1"/>
      <c r="O1774" s="1"/>
      <c r="P1774" s="1"/>
      <c r="Q1774" s="1"/>
      <c r="R1774" s="1"/>
      <c r="S1774" s="1"/>
      <c r="T1774" s="1"/>
    </row>
    <row r="1775" spans="1:20" ht="33.75" customHeight="1">
      <c r="A1775" s="1" t="s">
        <v>12</v>
      </c>
      <c r="B1775" s="1" t="s">
        <v>4904</v>
      </c>
      <c r="C1775" s="4">
        <v>39956.087476851855</v>
      </c>
      <c r="D1775" s="1" t="s">
        <v>175</v>
      </c>
      <c r="E1775" s="1"/>
      <c r="F1775" s="2" t="s">
        <v>4907</v>
      </c>
      <c r="G1775" s="1">
        <f ca="1">IFERROR(__xludf.DUMMYFUNCTION("COUNTA(SPLIT(F1775,"" ""))"),240)</f>
        <v>240</v>
      </c>
      <c r="H1775" s="1">
        <v>240</v>
      </c>
      <c r="I1775" s="1"/>
      <c r="J1775" s="1"/>
      <c r="K1775" s="1"/>
      <c r="L1775" s="1"/>
      <c r="M1775" s="1"/>
      <c r="N1775" s="1"/>
      <c r="O1775" s="1"/>
      <c r="P1775" s="1"/>
      <c r="Q1775" s="1"/>
      <c r="R1775" s="1"/>
      <c r="S1775" s="1"/>
      <c r="T1775" s="1"/>
    </row>
    <row r="1776" spans="1:20" ht="33.75" customHeight="1">
      <c r="A1776" s="1" t="s">
        <v>4908</v>
      </c>
      <c r="B1776" s="1" t="s">
        <v>4460</v>
      </c>
      <c r="C1776" s="4">
        <v>39956.445833333331</v>
      </c>
      <c r="D1776" s="1" t="s">
        <v>760</v>
      </c>
      <c r="E1776" s="1"/>
      <c r="F1776" s="2" t="s">
        <v>4910</v>
      </c>
      <c r="G1776" s="1">
        <f ca="1">IFERROR(__xludf.DUMMYFUNCTION("COUNTA(SPLIT(F1776,"" ""))"),304)</f>
        <v>304</v>
      </c>
      <c r="H1776" s="1">
        <v>304</v>
      </c>
      <c r="I1776" s="1"/>
      <c r="J1776" s="1"/>
      <c r="K1776" s="1"/>
      <c r="L1776" s="1"/>
      <c r="M1776" s="1"/>
      <c r="N1776" s="1"/>
      <c r="O1776" s="1"/>
      <c r="P1776" s="1"/>
      <c r="Q1776" s="1"/>
      <c r="R1776" s="1"/>
      <c r="S1776" s="1"/>
      <c r="T1776" s="1"/>
    </row>
    <row r="1777" spans="1:20" ht="33.75" customHeight="1">
      <c r="A1777" s="1" t="s">
        <v>4911</v>
      </c>
      <c r="B1777" s="1" t="s">
        <v>4904</v>
      </c>
      <c r="C1777" s="4">
        <v>39956.68472222222</v>
      </c>
      <c r="D1777" s="1" t="s">
        <v>772</v>
      </c>
      <c r="E1777" s="1"/>
      <c r="F1777" s="2" t="s">
        <v>4913</v>
      </c>
      <c r="G1777" s="1">
        <f ca="1">IFERROR(__xludf.DUMMYFUNCTION("COUNTA(SPLIT(F1777,"" ""))"),76)</f>
        <v>76</v>
      </c>
      <c r="H1777" s="1">
        <v>76</v>
      </c>
      <c r="I1777" s="1"/>
      <c r="J1777" s="1"/>
      <c r="K1777" s="1"/>
      <c r="L1777" s="1"/>
      <c r="M1777" s="1"/>
      <c r="N1777" s="1"/>
      <c r="O1777" s="1"/>
      <c r="P1777" s="1"/>
      <c r="Q1777" s="1"/>
      <c r="R1777" s="1"/>
      <c r="S1777" s="1"/>
      <c r="T1777" s="1"/>
    </row>
    <row r="1778" spans="1:20" ht="33.75" hidden="1" customHeight="1">
      <c r="A1778" s="1" t="s">
        <v>4914</v>
      </c>
      <c r="B1778" s="1" t="s">
        <v>4904</v>
      </c>
      <c r="C1778" s="4">
        <v>39956.73333333333</v>
      </c>
      <c r="D1778" s="1" t="s">
        <v>54</v>
      </c>
      <c r="E1778" s="1" t="s">
        <v>4915</v>
      </c>
      <c r="F1778" s="2" t="s">
        <v>4916</v>
      </c>
      <c r="G1778" s="1">
        <f ca="1">IFERROR(__xludf.DUMMYFUNCTION("COUNTA(SPLIT(F1778,"" ""))"),293)</f>
        <v>293</v>
      </c>
      <c r="H1778" s="1">
        <v>293</v>
      </c>
      <c r="I1778" s="1"/>
      <c r="J1778" s="1"/>
      <c r="K1778" s="1"/>
      <c r="L1778" s="1"/>
      <c r="M1778" s="1"/>
      <c r="N1778" s="1"/>
      <c r="O1778" s="1"/>
      <c r="P1778" s="1"/>
      <c r="Q1778" s="1"/>
      <c r="R1778" s="1"/>
      <c r="S1778" s="1"/>
      <c r="T1778" s="1"/>
    </row>
    <row r="1779" spans="1:20" ht="33.75" customHeight="1">
      <c r="A1779" s="1" t="s">
        <v>4917</v>
      </c>
      <c r="B1779" s="1" t="s">
        <v>4904</v>
      </c>
      <c r="C1779" s="4">
        <v>39956.745833333334</v>
      </c>
      <c r="D1779" s="1" t="s">
        <v>54</v>
      </c>
      <c r="E1779" s="1"/>
      <c r="F1779" s="2" t="s">
        <v>4918</v>
      </c>
      <c r="G1779" s="1">
        <f ca="1">IFERROR(__xludf.DUMMYFUNCTION("COUNTA(SPLIT(F1779,"" ""))"),215)</f>
        <v>215</v>
      </c>
      <c r="H1779" s="1">
        <v>215</v>
      </c>
      <c r="I1779" s="1"/>
      <c r="J1779" s="1"/>
      <c r="K1779" s="1"/>
      <c r="L1779" s="1"/>
      <c r="M1779" s="1"/>
      <c r="N1779" s="1"/>
      <c r="O1779" s="1"/>
      <c r="P1779" s="1"/>
      <c r="Q1779" s="1"/>
      <c r="R1779" s="1"/>
      <c r="S1779" s="1"/>
      <c r="T1779" s="1"/>
    </row>
    <row r="1780" spans="1:20" ht="33.75" customHeight="1">
      <c r="A1780" s="1" t="s">
        <v>4919</v>
      </c>
      <c r="B1780" s="1" t="s">
        <v>4904</v>
      </c>
      <c r="C1780" s="4">
        <v>39956.792361111111</v>
      </c>
      <c r="D1780" s="1" t="s">
        <v>54</v>
      </c>
      <c r="E1780" s="1"/>
      <c r="F1780" s="2" t="s">
        <v>4921</v>
      </c>
      <c r="G1780" s="1">
        <f ca="1">IFERROR(__xludf.DUMMYFUNCTION("COUNTA(SPLIT(F1780,"" ""))"),90)</f>
        <v>90</v>
      </c>
      <c r="H1780" s="1">
        <v>90</v>
      </c>
      <c r="I1780" s="1"/>
      <c r="J1780" s="1"/>
      <c r="K1780" s="1"/>
      <c r="L1780" s="1"/>
      <c r="M1780" s="1"/>
      <c r="N1780" s="1"/>
      <c r="O1780" s="1"/>
      <c r="P1780" s="1"/>
      <c r="Q1780" s="1"/>
      <c r="R1780" s="1"/>
      <c r="S1780" s="1"/>
      <c r="T1780" s="1"/>
    </row>
    <row r="1781" spans="1:20" ht="33.75" customHeight="1">
      <c r="A1781" s="1" t="s">
        <v>4922</v>
      </c>
      <c r="B1781" s="1" t="s">
        <v>4904</v>
      </c>
      <c r="C1781" s="4">
        <v>39957.578472222223</v>
      </c>
      <c r="D1781" s="1" t="s">
        <v>54</v>
      </c>
      <c r="E1781" s="1"/>
      <c r="F1781" s="2" t="s">
        <v>4924</v>
      </c>
      <c r="G1781" s="1">
        <f ca="1">IFERROR(__xludf.DUMMYFUNCTION("COUNTA(SPLIT(F1781,"" ""))"),281)</f>
        <v>281</v>
      </c>
      <c r="H1781" s="1">
        <v>281</v>
      </c>
      <c r="I1781" s="1"/>
      <c r="J1781" s="1"/>
      <c r="K1781" s="1"/>
      <c r="L1781" s="1"/>
      <c r="M1781" s="1"/>
      <c r="N1781" s="1"/>
      <c r="O1781" s="1"/>
      <c r="P1781" s="1"/>
      <c r="Q1781" s="1"/>
      <c r="R1781" s="1"/>
      <c r="S1781" s="1"/>
      <c r="T1781" s="1"/>
    </row>
    <row r="1782" spans="1:20" ht="33.75" customHeight="1">
      <c r="A1782" s="1" t="s">
        <v>4925</v>
      </c>
      <c r="B1782" s="1" t="s">
        <v>4904</v>
      </c>
      <c r="C1782" s="4">
        <v>39957.579861111109</v>
      </c>
      <c r="D1782" s="1" t="s">
        <v>772</v>
      </c>
      <c r="E1782" s="1"/>
      <c r="F1782" s="2" t="s">
        <v>4927</v>
      </c>
      <c r="G1782" s="1">
        <f ca="1">IFERROR(__xludf.DUMMYFUNCTION("COUNTA(SPLIT(F1782,"" ""))"),61)</f>
        <v>61</v>
      </c>
      <c r="H1782" s="1">
        <v>61</v>
      </c>
      <c r="I1782" s="1"/>
      <c r="J1782" s="1"/>
      <c r="K1782" s="1"/>
      <c r="L1782" s="1"/>
      <c r="M1782" s="1"/>
      <c r="N1782" s="1"/>
      <c r="O1782" s="1"/>
      <c r="P1782" s="1"/>
      <c r="Q1782" s="1"/>
      <c r="R1782" s="1"/>
      <c r="S1782" s="1"/>
      <c r="T1782" s="1"/>
    </row>
    <row r="1783" spans="1:20" ht="33.75" customHeight="1">
      <c r="A1783" s="1" t="s">
        <v>4928</v>
      </c>
      <c r="B1783" s="1" t="s">
        <v>4904</v>
      </c>
      <c r="C1783" s="4">
        <v>39957.591666666667</v>
      </c>
      <c r="D1783" s="1" t="s">
        <v>772</v>
      </c>
      <c r="E1783" s="1"/>
      <c r="F1783" s="2" t="s">
        <v>4929</v>
      </c>
      <c r="G1783" s="1">
        <f ca="1">IFERROR(__xludf.DUMMYFUNCTION("COUNTA(SPLIT(F1783,"" ""))"),33)</f>
        <v>33</v>
      </c>
      <c r="H1783" s="1">
        <v>33</v>
      </c>
      <c r="I1783" s="1"/>
      <c r="J1783" s="1"/>
      <c r="K1783" s="1"/>
      <c r="L1783" s="1"/>
      <c r="M1783" s="1"/>
      <c r="N1783" s="1"/>
      <c r="O1783" s="1"/>
      <c r="P1783" s="1"/>
      <c r="Q1783" s="1"/>
      <c r="R1783" s="1"/>
      <c r="S1783" s="1"/>
      <c r="T1783" s="1"/>
    </row>
    <row r="1784" spans="1:20" ht="33.75" customHeight="1">
      <c r="A1784" s="1" t="s">
        <v>4930</v>
      </c>
      <c r="B1784" s="1" t="s">
        <v>4904</v>
      </c>
      <c r="C1784" s="4">
        <v>39957.618750000001</v>
      </c>
      <c r="D1784" s="1" t="s">
        <v>2893</v>
      </c>
      <c r="E1784" s="1"/>
      <c r="F1784" s="2" t="s">
        <v>4932</v>
      </c>
      <c r="G1784" s="1">
        <f ca="1">IFERROR(__xludf.DUMMYFUNCTION("COUNTA(SPLIT(F1784,"" ""))"),27)</f>
        <v>27</v>
      </c>
      <c r="H1784" s="1">
        <v>27</v>
      </c>
      <c r="I1784" s="1"/>
      <c r="J1784" s="1"/>
      <c r="K1784" s="1"/>
      <c r="L1784" s="1"/>
      <c r="M1784" s="1"/>
      <c r="N1784" s="1"/>
      <c r="O1784" s="1"/>
      <c r="P1784" s="1"/>
      <c r="Q1784" s="1"/>
      <c r="R1784" s="1"/>
      <c r="S1784" s="1"/>
      <c r="T1784" s="1"/>
    </row>
    <row r="1785" spans="1:20" ht="33.75" hidden="1" customHeight="1">
      <c r="A1785" s="1" t="s">
        <v>4933</v>
      </c>
      <c r="B1785" s="1" t="s">
        <v>4904</v>
      </c>
      <c r="C1785" s="4">
        <v>39957.709027777775</v>
      </c>
      <c r="D1785" s="1" t="s">
        <v>54</v>
      </c>
      <c r="E1785" s="1" t="s">
        <v>4930</v>
      </c>
      <c r="F1785" s="2" t="s">
        <v>4934</v>
      </c>
      <c r="G1785" s="1">
        <f ca="1">IFERROR(__xludf.DUMMYFUNCTION("COUNTA(SPLIT(F1785,"" ""))"),102)</f>
        <v>102</v>
      </c>
      <c r="H1785" s="1">
        <v>102</v>
      </c>
      <c r="I1785" s="1"/>
      <c r="J1785" s="1"/>
      <c r="K1785" s="1"/>
      <c r="L1785" s="1"/>
      <c r="M1785" s="1"/>
      <c r="N1785" s="1"/>
      <c r="O1785" s="1"/>
      <c r="P1785" s="1"/>
      <c r="Q1785" s="1"/>
      <c r="R1785" s="1"/>
      <c r="S1785" s="1"/>
      <c r="T1785" s="1"/>
    </row>
    <row r="1786" spans="1:20" ht="33.75" hidden="1" customHeight="1">
      <c r="A1786" s="1" t="s">
        <v>4935</v>
      </c>
      <c r="B1786" s="1" t="s">
        <v>4904</v>
      </c>
      <c r="C1786" s="4">
        <v>39958.212500000001</v>
      </c>
      <c r="D1786" s="1" t="s">
        <v>2893</v>
      </c>
      <c r="E1786" s="1" t="s">
        <v>4933</v>
      </c>
      <c r="F1786" s="2" t="s">
        <v>4937</v>
      </c>
      <c r="G1786" s="1">
        <f ca="1">IFERROR(__xludf.DUMMYFUNCTION("COUNTA(SPLIT(F1786,"" ""))"),19)</f>
        <v>19</v>
      </c>
      <c r="H1786" s="1">
        <v>19</v>
      </c>
      <c r="I1786" s="1"/>
      <c r="J1786" s="1"/>
      <c r="K1786" s="1"/>
      <c r="L1786" s="1"/>
      <c r="M1786" s="1"/>
      <c r="N1786" s="1"/>
      <c r="O1786" s="1"/>
      <c r="P1786" s="1"/>
      <c r="Q1786" s="1"/>
      <c r="R1786" s="1"/>
      <c r="S1786" s="1"/>
      <c r="T1786" s="1"/>
    </row>
    <row r="1787" spans="1:20" ht="33.75" customHeight="1">
      <c r="A1787" s="1" t="s">
        <v>4938</v>
      </c>
      <c r="B1787" s="1" t="s">
        <v>3929</v>
      </c>
      <c r="C1787" s="4">
        <v>39958.243750000001</v>
      </c>
      <c r="D1787" s="1" t="s">
        <v>320</v>
      </c>
      <c r="E1787" s="1"/>
      <c r="F1787" s="2" t="s">
        <v>4940</v>
      </c>
      <c r="G1787" s="1">
        <f ca="1">IFERROR(__xludf.DUMMYFUNCTION("COUNTA(SPLIT(F1787,"" ""))"),135)</f>
        <v>135</v>
      </c>
      <c r="H1787" s="1">
        <v>135</v>
      </c>
      <c r="I1787" s="1"/>
      <c r="J1787" s="1"/>
      <c r="K1787" s="1"/>
      <c r="L1787" s="1"/>
      <c r="M1787" s="1"/>
      <c r="N1787" s="1"/>
      <c r="O1787" s="1"/>
      <c r="P1787" s="1"/>
      <c r="Q1787" s="1"/>
      <c r="R1787" s="1"/>
      <c r="S1787" s="1"/>
      <c r="T1787" s="1"/>
    </row>
    <row r="1788" spans="1:20" ht="33.75" customHeight="1">
      <c r="A1788" s="1" t="s">
        <v>4941</v>
      </c>
      <c r="B1788" s="1" t="s">
        <v>4904</v>
      </c>
      <c r="C1788" s="4">
        <v>39958.256944444445</v>
      </c>
      <c r="D1788" s="1" t="s">
        <v>4942</v>
      </c>
      <c r="E1788" s="1"/>
      <c r="F1788" s="2" t="s">
        <v>4944</v>
      </c>
      <c r="G1788" s="1">
        <f ca="1">IFERROR(__xludf.DUMMYFUNCTION("COUNTA(SPLIT(F1788,"" ""))"),111)</f>
        <v>111</v>
      </c>
      <c r="H1788" s="1">
        <v>111</v>
      </c>
      <c r="I1788" s="1"/>
      <c r="J1788" s="1"/>
      <c r="K1788" s="1"/>
      <c r="L1788" s="1"/>
      <c r="M1788" s="1"/>
      <c r="N1788" s="1"/>
      <c r="O1788" s="1"/>
      <c r="P1788" s="1"/>
      <c r="Q1788" s="1"/>
      <c r="R1788" s="1"/>
      <c r="S1788" s="1"/>
      <c r="T1788" s="1"/>
    </row>
    <row r="1789" spans="1:20" ht="33.75" customHeight="1">
      <c r="A1789" s="1" t="s">
        <v>4945</v>
      </c>
      <c r="B1789" s="1" t="s">
        <v>4904</v>
      </c>
      <c r="C1789" s="4">
        <v>39958.924305555556</v>
      </c>
      <c r="D1789" s="1" t="s">
        <v>54</v>
      </c>
      <c r="E1789" s="1"/>
      <c r="F1789" s="2" t="s">
        <v>4946</v>
      </c>
      <c r="G1789" s="1">
        <f ca="1">IFERROR(__xludf.DUMMYFUNCTION("COUNTA(SPLIT(F1789,"" ""))"),76)</f>
        <v>76</v>
      </c>
      <c r="H1789" s="1">
        <v>76</v>
      </c>
      <c r="I1789" s="1"/>
      <c r="J1789" s="1"/>
      <c r="K1789" s="1"/>
      <c r="L1789" s="1"/>
      <c r="M1789" s="1"/>
      <c r="N1789" s="1"/>
      <c r="O1789" s="1"/>
      <c r="P1789" s="1"/>
      <c r="Q1789" s="1"/>
      <c r="R1789" s="1"/>
      <c r="S1789" s="1"/>
      <c r="T1789" s="1"/>
    </row>
    <row r="1790" spans="1:20" ht="33.75" hidden="1" customHeight="1">
      <c r="A1790" s="1" t="s">
        <v>4947</v>
      </c>
      <c r="B1790" s="1" t="s">
        <v>3255</v>
      </c>
      <c r="C1790" s="4">
        <v>39958.973611111112</v>
      </c>
      <c r="D1790" s="1" t="s">
        <v>4948</v>
      </c>
      <c r="E1790" s="1" t="s">
        <v>4949</v>
      </c>
      <c r="F1790" s="2" t="s">
        <v>4951</v>
      </c>
      <c r="G1790" s="1">
        <f ca="1">IFERROR(__xludf.DUMMYFUNCTION("COUNTA(SPLIT(F1790,"" ""))"),109)</f>
        <v>109</v>
      </c>
      <c r="H1790" s="1">
        <v>109</v>
      </c>
      <c r="I1790" s="1"/>
      <c r="J1790" s="1"/>
      <c r="K1790" s="1"/>
      <c r="L1790" s="1"/>
      <c r="M1790" s="1"/>
      <c r="N1790" s="1"/>
      <c r="O1790" s="1"/>
      <c r="P1790" s="1"/>
      <c r="Q1790" s="1"/>
      <c r="R1790" s="1"/>
      <c r="S1790" s="1"/>
      <c r="T1790" s="1"/>
    </row>
    <row r="1791" spans="1:20" ht="33.75" hidden="1" customHeight="1">
      <c r="A1791" s="1" t="s">
        <v>4952</v>
      </c>
      <c r="B1791" s="1" t="s">
        <v>3929</v>
      </c>
      <c r="C1791" s="4">
        <v>39959.49722222222</v>
      </c>
      <c r="D1791" s="1" t="s">
        <v>14</v>
      </c>
      <c r="E1791" s="1" t="s">
        <v>4938</v>
      </c>
      <c r="F1791" s="2" t="s">
        <v>4953</v>
      </c>
      <c r="G1791" s="1">
        <f ca="1">IFERROR(__xludf.DUMMYFUNCTION("COUNTA(SPLIT(F1791,"" ""))"),58)</f>
        <v>58</v>
      </c>
      <c r="H1791" s="1">
        <v>58</v>
      </c>
      <c r="I1791" s="1"/>
      <c r="J1791" s="1"/>
      <c r="K1791" s="1"/>
      <c r="L1791" s="1"/>
      <c r="M1791" s="1"/>
      <c r="N1791" s="1"/>
      <c r="O1791" s="1"/>
      <c r="P1791" s="1"/>
      <c r="Q1791" s="1"/>
      <c r="R1791" s="1"/>
      <c r="S1791" s="1"/>
      <c r="T1791" s="1"/>
    </row>
    <row r="1792" spans="1:20" ht="33.75" hidden="1" customHeight="1">
      <c r="A1792" s="1" t="s">
        <v>4954</v>
      </c>
      <c r="B1792" s="1" t="s">
        <v>4904</v>
      </c>
      <c r="C1792" s="4">
        <v>39959.545138888891</v>
      </c>
      <c r="D1792" s="1" t="s">
        <v>320</v>
      </c>
      <c r="E1792" s="1" t="s">
        <v>4919</v>
      </c>
      <c r="F1792" s="2" t="s">
        <v>4956</v>
      </c>
      <c r="G1792" s="1">
        <f ca="1">IFERROR(__xludf.DUMMYFUNCTION("COUNTA(SPLIT(F1792,"" ""))"),90)</f>
        <v>90</v>
      </c>
      <c r="H1792" s="1">
        <v>90</v>
      </c>
      <c r="I1792" s="1"/>
      <c r="J1792" s="1"/>
      <c r="K1792" s="1"/>
      <c r="L1792" s="1"/>
      <c r="M1792" s="1"/>
      <c r="N1792" s="1"/>
      <c r="O1792" s="1"/>
      <c r="P1792" s="1"/>
      <c r="Q1792" s="1"/>
      <c r="R1792" s="1"/>
      <c r="S1792" s="1"/>
      <c r="T1792" s="1"/>
    </row>
    <row r="1793" spans="1:20" ht="33.75" customHeight="1">
      <c r="A1793" s="1" t="s">
        <v>4957</v>
      </c>
      <c r="B1793" s="1" t="s">
        <v>4904</v>
      </c>
      <c r="C1793" s="4">
        <v>39960.340277777781</v>
      </c>
      <c r="D1793" s="1" t="s">
        <v>1089</v>
      </c>
      <c r="E1793" s="1"/>
      <c r="F1793" s="2" t="s">
        <v>4958</v>
      </c>
      <c r="G1793" s="1">
        <f ca="1">IFERROR(__xludf.DUMMYFUNCTION("COUNTA(SPLIT(F1793,"" ""))"),36)</f>
        <v>36</v>
      </c>
      <c r="H1793" s="1">
        <v>36</v>
      </c>
      <c r="I1793" s="1"/>
      <c r="J1793" s="1"/>
      <c r="K1793" s="1"/>
      <c r="L1793" s="1"/>
      <c r="M1793" s="1"/>
      <c r="N1793" s="1"/>
      <c r="O1793" s="1"/>
      <c r="P1793" s="1"/>
      <c r="Q1793" s="1"/>
      <c r="R1793" s="1"/>
      <c r="S1793" s="1"/>
      <c r="T1793" s="1"/>
    </row>
    <row r="1794" spans="1:20" ht="33.75" hidden="1" customHeight="1">
      <c r="A1794" s="1" t="s">
        <v>4959</v>
      </c>
      <c r="B1794" s="1" t="s">
        <v>4904</v>
      </c>
      <c r="C1794" s="4">
        <v>39960.490972222222</v>
      </c>
      <c r="D1794" s="1" t="s">
        <v>54</v>
      </c>
      <c r="E1794" s="1" t="s">
        <v>4957</v>
      </c>
      <c r="F1794" s="2" t="s">
        <v>4960</v>
      </c>
      <c r="G1794" s="1">
        <f ca="1">IFERROR(__xludf.DUMMYFUNCTION("COUNTA(SPLIT(F1794,"" ""))"),154)</f>
        <v>154</v>
      </c>
      <c r="H1794" s="1">
        <v>154</v>
      </c>
      <c r="I1794" s="1"/>
      <c r="J1794" s="1"/>
      <c r="K1794" s="1"/>
      <c r="L1794" s="1"/>
      <c r="M1794" s="1"/>
      <c r="N1794" s="1"/>
      <c r="O1794" s="1"/>
      <c r="P1794" s="1"/>
      <c r="Q1794" s="1"/>
      <c r="R1794" s="1"/>
      <c r="S1794" s="1"/>
      <c r="T1794" s="1"/>
    </row>
    <row r="1795" spans="1:20" ht="33.75" customHeight="1">
      <c r="A1795" s="1" t="s">
        <v>4961</v>
      </c>
      <c r="B1795" s="1" t="s">
        <v>4904</v>
      </c>
      <c r="C1795" s="4">
        <v>39961.40347222222</v>
      </c>
      <c r="D1795" s="1" t="s">
        <v>772</v>
      </c>
      <c r="E1795" s="1"/>
      <c r="F1795" s="2" t="s">
        <v>4962</v>
      </c>
      <c r="G1795" s="1">
        <f ca="1">IFERROR(__xludf.DUMMYFUNCTION("COUNTA(SPLIT(F1795,"" ""))"),508)</f>
        <v>508</v>
      </c>
      <c r="H1795" s="1">
        <v>508</v>
      </c>
      <c r="I1795" s="1"/>
      <c r="J1795" s="1"/>
      <c r="K1795" s="1"/>
      <c r="L1795" s="1"/>
      <c r="M1795" s="1"/>
      <c r="N1795" s="1"/>
      <c r="O1795" s="1"/>
      <c r="P1795" s="1"/>
      <c r="Q1795" s="1"/>
      <c r="R1795" s="1"/>
      <c r="S1795" s="1"/>
      <c r="T1795" s="1"/>
    </row>
    <row r="1796" spans="1:20" ht="33.75" hidden="1" customHeight="1">
      <c r="A1796" s="1" t="s">
        <v>4963</v>
      </c>
      <c r="B1796" s="1" t="s">
        <v>4904</v>
      </c>
      <c r="C1796" s="4">
        <v>39961.404861111114</v>
      </c>
      <c r="D1796" s="1" t="s">
        <v>772</v>
      </c>
      <c r="E1796" s="1" t="s">
        <v>4961</v>
      </c>
      <c r="F1796" s="2" t="s">
        <v>4964</v>
      </c>
      <c r="G1796" s="1">
        <f ca="1">IFERROR(__xludf.DUMMYFUNCTION("COUNTA(SPLIT(F1796,"" ""))"),553)</f>
        <v>553</v>
      </c>
      <c r="H1796" s="1">
        <v>553</v>
      </c>
      <c r="I1796" s="1"/>
      <c r="J1796" s="1"/>
      <c r="K1796" s="1"/>
      <c r="L1796" s="1"/>
      <c r="M1796" s="1"/>
      <c r="N1796" s="1"/>
      <c r="O1796" s="1"/>
      <c r="P1796" s="1"/>
      <c r="Q1796" s="1"/>
      <c r="R1796" s="1"/>
      <c r="S1796" s="1"/>
      <c r="T1796" s="1"/>
    </row>
    <row r="1797" spans="1:20" ht="33.75" hidden="1" customHeight="1">
      <c r="A1797" s="1" t="s">
        <v>4965</v>
      </c>
      <c r="B1797" s="1" t="s">
        <v>4904</v>
      </c>
      <c r="C1797" s="4">
        <v>39961.40625</v>
      </c>
      <c r="D1797" s="1" t="s">
        <v>772</v>
      </c>
      <c r="E1797" s="1" t="s">
        <v>4961</v>
      </c>
      <c r="F1797" s="2" t="s">
        <v>4966</v>
      </c>
      <c r="G1797" s="1">
        <f ca="1">IFERROR(__xludf.DUMMYFUNCTION("COUNTA(SPLIT(F1797,"" ""))"),602)</f>
        <v>602</v>
      </c>
      <c r="H1797" s="1">
        <v>602</v>
      </c>
      <c r="I1797" s="1"/>
      <c r="J1797" s="1"/>
      <c r="K1797" s="1"/>
      <c r="L1797" s="1"/>
      <c r="M1797" s="1"/>
      <c r="N1797" s="1"/>
      <c r="O1797" s="1"/>
      <c r="P1797" s="1"/>
      <c r="Q1797" s="1"/>
      <c r="R1797" s="1"/>
      <c r="S1797" s="1"/>
      <c r="T1797" s="1"/>
    </row>
    <row r="1798" spans="1:20" ht="33.75" customHeight="1">
      <c r="A1798" s="1" t="s">
        <v>4967</v>
      </c>
      <c r="B1798" s="1" t="s">
        <v>4904</v>
      </c>
      <c r="C1798" s="4">
        <v>39963.45416666667</v>
      </c>
      <c r="D1798" s="1" t="s">
        <v>772</v>
      </c>
      <c r="E1798" s="1"/>
      <c r="F1798" s="2" t="s">
        <v>4969</v>
      </c>
      <c r="G1798" s="1">
        <f ca="1">IFERROR(__xludf.DUMMYFUNCTION("COUNTA(SPLIT(F1798,"" ""))"),50)</f>
        <v>50</v>
      </c>
      <c r="H1798" s="1">
        <v>50</v>
      </c>
      <c r="I1798" s="1"/>
      <c r="J1798" s="1"/>
      <c r="K1798" s="1"/>
      <c r="L1798" s="1"/>
      <c r="M1798" s="1"/>
      <c r="N1798" s="1"/>
      <c r="O1798" s="1"/>
      <c r="P1798" s="1"/>
      <c r="Q1798" s="1"/>
      <c r="R1798" s="1"/>
      <c r="S1798" s="1"/>
      <c r="T1798" s="1"/>
    </row>
    <row r="1799" spans="1:20" ht="33.75" customHeight="1">
      <c r="A1799" s="1" t="s">
        <v>4970</v>
      </c>
      <c r="B1799" s="1" t="s">
        <v>4904</v>
      </c>
      <c r="C1799" s="4">
        <v>39964.470833333333</v>
      </c>
      <c r="D1799" s="1" t="s">
        <v>772</v>
      </c>
      <c r="E1799" s="1"/>
      <c r="F1799" s="2" t="s">
        <v>4971</v>
      </c>
      <c r="G1799" s="1">
        <f ca="1">IFERROR(__xludf.DUMMYFUNCTION("COUNTA(SPLIT(F1799,"" ""))"),50)</f>
        <v>50</v>
      </c>
      <c r="H1799" s="1">
        <v>50</v>
      </c>
      <c r="I1799" s="1"/>
      <c r="J1799" s="1"/>
      <c r="K1799" s="1"/>
      <c r="L1799" s="1"/>
      <c r="M1799" s="1"/>
      <c r="N1799" s="1"/>
      <c r="O1799" s="1"/>
      <c r="P1799" s="1"/>
      <c r="Q1799" s="1"/>
      <c r="R1799" s="1"/>
      <c r="S1799" s="1"/>
      <c r="T1799" s="1"/>
    </row>
    <row r="1800" spans="1:20" ht="33.75" customHeight="1">
      <c r="A1800" s="1" t="s">
        <v>4972</v>
      </c>
      <c r="B1800" s="1" t="s">
        <v>4904</v>
      </c>
      <c r="C1800" s="4">
        <v>39964.480555555558</v>
      </c>
      <c r="D1800" s="1" t="s">
        <v>54</v>
      </c>
      <c r="E1800" s="1"/>
      <c r="F1800" s="2" t="s">
        <v>4973</v>
      </c>
      <c r="G1800" s="1">
        <f ca="1">IFERROR(__xludf.DUMMYFUNCTION("COUNTA(SPLIT(F1800,"" ""))"),143)</f>
        <v>143</v>
      </c>
      <c r="H1800" s="1">
        <v>143</v>
      </c>
      <c r="I1800" s="1"/>
      <c r="J1800" s="1"/>
      <c r="K1800" s="1"/>
      <c r="L1800" s="1"/>
      <c r="M1800" s="1"/>
      <c r="N1800" s="1"/>
      <c r="O1800" s="1"/>
      <c r="P1800" s="1"/>
      <c r="Q1800" s="1"/>
      <c r="R1800" s="1"/>
      <c r="S1800" s="1"/>
      <c r="T1800" s="1"/>
    </row>
    <row r="1801" spans="1:20" ht="33.75" customHeight="1">
      <c r="A1801" s="1" t="s">
        <v>4974</v>
      </c>
      <c r="B1801" s="1" t="s">
        <v>4904</v>
      </c>
      <c r="C1801" s="4">
        <v>39964.525694444441</v>
      </c>
      <c r="D1801" s="1" t="s">
        <v>1887</v>
      </c>
      <c r="E1801" s="1"/>
      <c r="F1801" s="2" t="s">
        <v>4975</v>
      </c>
      <c r="G1801" s="1">
        <f ca="1">IFERROR(__xludf.DUMMYFUNCTION("COUNTA(SPLIT(F1801,"" ""))"),40)</f>
        <v>40</v>
      </c>
      <c r="H1801" s="1">
        <v>40</v>
      </c>
      <c r="I1801" s="1"/>
      <c r="J1801" s="1"/>
      <c r="K1801" s="1"/>
      <c r="L1801" s="1"/>
      <c r="M1801" s="1"/>
      <c r="N1801" s="1"/>
      <c r="O1801" s="1"/>
      <c r="P1801" s="1"/>
      <c r="Q1801" s="1"/>
      <c r="R1801" s="1"/>
      <c r="S1801" s="1"/>
      <c r="T1801" s="1"/>
    </row>
    <row r="1802" spans="1:20" ht="33.75" customHeight="1">
      <c r="A1802" s="1" t="s">
        <v>4976</v>
      </c>
      <c r="B1802" s="1" t="s">
        <v>4904</v>
      </c>
      <c r="C1802" s="4">
        <v>39964.745833333334</v>
      </c>
      <c r="D1802" s="1" t="s">
        <v>54</v>
      </c>
      <c r="E1802" s="1"/>
      <c r="F1802" s="2" t="s">
        <v>4978</v>
      </c>
      <c r="G1802" s="1">
        <f ca="1">IFERROR(__xludf.DUMMYFUNCTION("COUNTA(SPLIT(F1802,"" ""))"),80)</f>
        <v>80</v>
      </c>
      <c r="H1802" s="1">
        <v>80</v>
      </c>
      <c r="I1802" s="1"/>
      <c r="J1802" s="1"/>
      <c r="K1802" s="1"/>
      <c r="L1802" s="1"/>
      <c r="M1802" s="1"/>
      <c r="N1802" s="1"/>
      <c r="O1802" s="1"/>
      <c r="P1802" s="1"/>
      <c r="Q1802" s="1"/>
      <c r="R1802" s="1"/>
      <c r="S1802" s="1"/>
      <c r="T1802" s="1"/>
    </row>
    <row r="1803" spans="1:20" ht="33.75" customHeight="1">
      <c r="A1803" s="1" t="s">
        <v>4979</v>
      </c>
      <c r="B1803" s="1" t="s">
        <v>4904</v>
      </c>
      <c r="C1803" s="4">
        <v>39964.90347222222</v>
      </c>
      <c r="D1803" s="1" t="s">
        <v>1089</v>
      </c>
      <c r="E1803" s="1"/>
      <c r="F1803" s="2" t="s">
        <v>4980</v>
      </c>
      <c r="G1803" s="1">
        <f ca="1">IFERROR(__xludf.DUMMYFUNCTION("COUNTA(SPLIT(F1803,"" ""))"),107)</f>
        <v>107</v>
      </c>
      <c r="H1803" s="1">
        <v>107</v>
      </c>
      <c r="I1803" s="1"/>
      <c r="J1803" s="1"/>
      <c r="K1803" s="1"/>
      <c r="L1803" s="1"/>
      <c r="M1803" s="1"/>
      <c r="N1803" s="1"/>
      <c r="O1803" s="1"/>
      <c r="P1803" s="1"/>
      <c r="Q1803" s="1"/>
      <c r="R1803" s="1"/>
      <c r="S1803" s="1"/>
      <c r="T1803" s="1"/>
    </row>
    <row r="1804" spans="1:20" ht="33.75" customHeight="1">
      <c r="A1804" s="1" t="s">
        <v>4981</v>
      </c>
      <c r="B1804" s="1" t="s">
        <v>3929</v>
      </c>
      <c r="C1804" s="4">
        <v>39965.427777777775</v>
      </c>
      <c r="D1804" s="1" t="s">
        <v>196</v>
      </c>
      <c r="E1804" s="1"/>
      <c r="F1804" s="2" t="s">
        <v>4983</v>
      </c>
      <c r="G1804" s="1">
        <f ca="1">IFERROR(__xludf.DUMMYFUNCTION("COUNTA(SPLIT(F1804,"" ""))"),81)</f>
        <v>81</v>
      </c>
      <c r="H1804" s="1">
        <v>81</v>
      </c>
      <c r="I1804" s="1"/>
      <c r="J1804" s="1"/>
      <c r="K1804" s="1"/>
      <c r="L1804" s="1"/>
      <c r="M1804" s="1"/>
      <c r="N1804" s="1"/>
      <c r="O1804" s="1"/>
      <c r="P1804" s="1"/>
      <c r="Q1804" s="1"/>
      <c r="R1804" s="1"/>
      <c r="S1804" s="1"/>
      <c r="T1804" s="1"/>
    </row>
    <row r="1805" spans="1:20" ht="33.75" customHeight="1">
      <c r="A1805" s="1" t="s">
        <v>4984</v>
      </c>
      <c r="B1805" s="1" t="s">
        <v>4904</v>
      </c>
      <c r="C1805" s="4">
        <v>39965.498611111114</v>
      </c>
      <c r="D1805" s="1" t="s">
        <v>772</v>
      </c>
      <c r="E1805" s="1"/>
      <c r="F1805" s="2" t="s">
        <v>4985</v>
      </c>
      <c r="G1805" s="1">
        <f ca="1">IFERROR(__xludf.DUMMYFUNCTION("COUNTA(SPLIT(F1805,"" ""))"),43)</f>
        <v>43</v>
      </c>
      <c r="H1805" s="1">
        <v>43</v>
      </c>
      <c r="I1805" s="1"/>
      <c r="J1805" s="1"/>
      <c r="K1805" s="1"/>
      <c r="L1805" s="1"/>
      <c r="M1805" s="1"/>
      <c r="N1805" s="1"/>
      <c r="O1805" s="1"/>
      <c r="P1805" s="1"/>
      <c r="Q1805" s="1"/>
      <c r="R1805" s="1"/>
      <c r="S1805" s="1"/>
      <c r="T1805" s="1"/>
    </row>
    <row r="1806" spans="1:20" ht="33.75" hidden="1" customHeight="1">
      <c r="A1806" s="1" t="s">
        <v>4986</v>
      </c>
      <c r="B1806" s="1" t="s">
        <v>4904</v>
      </c>
      <c r="C1806" s="4">
        <v>39965.525694444441</v>
      </c>
      <c r="D1806" s="1" t="s">
        <v>54</v>
      </c>
      <c r="E1806" s="1" t="s">
        <v>4984</v>
      </c>
      <c r="F1806" s="2" t="s">
        <v>4988</v>
      </c>
      <c r="G1806" s="1">
        <f ca="1">IFERROR(__xludf.DUMMYFUNCTION("COUNTA(SPLIT(F1806,"" ""))"),152)</f>
        <v>152</v>
      </c>
      <c r="H1806" s="1">
        <v>152</v>
      </c>
      <c r="I1806" s="1"/>
      <c r="J1806" s="1"/>
      <c r="K1806" s="1"/>
      <c r="L1806" s="1"/>
      <c r="M1806" s="1"/>
      <c r="N1806" s="1"/>
      <c r="O1806" s="1"/>
      <c r="P1806" s="1"/>
      <c r="Q1806" s="1"/>
      <c r="R1806" s="1"/>
      <c r="S1806" s="1"/>
      <c r="T1806" s="1"/>
    </row>
    <row r="1807" spans="1:20" ht="33.75" customHeight="1">
      <c r="A1807" s="1" t="s">
        <v>4989</v>
      </c>
      <c r="B1807" s="1" t="s">
        <v>4904</v>
      </c>
      <c r="C1807" s="4">
        <v>39965.538888888892</v>
      </c>
      <c r="D1807" s="1" t="s">
        <v>54</v>
      </c>
      <c r="E1807" s="1"/>
      <c r="F1807" s="2" t="s">
        <v>4991</v>
      </c>
      <c r="G1807" s="1">
        <f ca="1">IFERROR(__xludf.DUMMYFUNCTION("COUNTA(SPLIT(F1807,"" ""))"),79)</f>
        <v>79</v>
      </c>
      <c r="H1807" s="1">
        <v>79</v>
      </c>
      <c r="I1807" s="1"/>
      <c r="J1807" s="1"/>
      <c r="K1807" s="1"/>
      <c r="L1807" s="1"/>
      <c r="M1807" s="1"/>
      <c r="N1807" s="1"/>
      <c r="O1807" s="1"/>
      <c r="P1807" s="1"/>
      <c r="Q1807" s="1"/>
      <c r="R1807" s="1"/>
      <c r="S1807" s="1"/>
      <c r="T1807" s="1"/>
    </row>
    <row r="1808" spans="1:20" ht="33.75" customHeight="1">
      <c r="A1808" s="1" t="s">
        <v>4992</v>
      </c>
      <c r="B1808" s="1" t="s">
        <v>4904</v>
      </c>
      <c r="C1808" s="4">
        <v>39965.67291666667</v>
      </c>
      <c r="D1808" s="1" t="s">
        <v>84</v>
      </c>
      <c r="E1808" s="1"/>
      <c r="F1808" s="2" t="s">
        <v>4994</v>
      </c>
      <c r="G1808" s="1">
        <f ca="1">IFERROR(__xludf.DUMMYFUNCTION("COUNTA(SPLIT(F1808,"" ""))"),74)</f>
        <v>74</v>
      </c>
      <c r="H1808" s="1">
        <v>74</v>
      </c>
      <c r="I1808" s="1"/>
      <c r="J1808" s="1"/>
      <c r="K1808" s="1"/>
      <c r="L1808" s="1"/>
      <c r="M1808" s="1"/>
      <c r="N1808" s="1"/>
      <c r="O1808" s="1"/>
      <c r="P1808" s="1"/>
      <c r="Q1808" s="1"/>
      <c r="R1808" s="1"/>
      <c r="S1808" s="1"/>
      <c r="T1808" s="1"/>
    </row>
    <row r="1809" spans="1:20" ht="33.75" customHeight="1">
      <c r="A1809" s="1" t="s">
        <v>4995</v>
      </c>
      <c r="B1809" s="1" t="s">
        <v>4904</v>
      </c>
      <c r="C1809" s="4">
        <v>39965.681944444441</v>
      </c>
      <c r="D1809" s="1" t="s">
        <v>84</v>
      </c>
      <c r="E1809" s="1"/>
      <c r="F1809" s="2" t="s">
        <v>4997</v>
      </c>
      <c r="G1809" s="1">
        <f ca="1">IFERROR(__xludf.DUMMYFUNCTION("COUNTA(SPLIT(F1809,"" ""))"),58)</f>
        <v>58</v>
      </c>
      <c r="H1809" s="1">
        <v>58</v>
      </c>
      <c r="I1809" s="1"/>
      <c r="J1809" s="1"/>
      <c r="K1809" s="1"/>
      <c r="L1809" s="1"/>
      <c r="M1809" s="1"/>
      <c r="N1809" s="1"/>
      <c r="O1809" s="1"/>
      <c r="P1809" s="1"/>
      <c r="Q1809" s="1"/>
      <c r="R1809" s="1"/>
      <c r="S1809" s="1"/>
      <c r="T1809" s="1"/>
    </row>
    <row r="1810" spans="1:20" ht="33.75" hidden="1" customHeight="1">
      <c r="A1810" s="1" t="s">
        <v>4998</v>
      </c>
      <c r="B1810" s="1" t="s">
        <v>4904</v>
      </c>
      <c r="C1810" s="4">
        <v>39965.724999999999</v>
      </c>
      <c r="D1810" s="1" t="s">
        <v>54</v>
      </c>
      <c r="E1810" s="1" t="s">
        <v>4995</v>
      </c>
      <c r="F1810" s="2" t="s">
        <v>5000</v>
      </c>
      <c r="G1810" s="1">
        <f ca="1">IFERROR(__xludf.DUMMYFUNCTION("COUNTA(SPLIT(F1810,"" ""))"),762)</f>
        <v>762</v>
      </c>
      <c r="H1810" s="1">
        <v>762</v>
      </c>
      <c r="I1810" s="1"/>
      <c r="J1810" s="1"/>
      <c r="K1810" s="1"/>
      <c r="L1810" s="1"/>
      <c r="M1810" s="1"/>
      <c r="N1810" s="1"/>
      <c r="O1810" s="1"/>
      <c r="P1810" s="1"/>
      <c r="Q1810" s="1"/>
      <c r="R1810" s="1"/>
      <c r="S1810" s="1"/>
      <c r="T1810" s="1"/>
    </row>
    <row r="1811" spans="1:20" ht="33.75" customHeight="1">
      <c r="A1811" s="1" t="s">
        <v>5001</v>
      </c>
      <c r="B1811" s="1" t="s">
        <v>4904</v>
      </c>
      <c r="C1811" s="4">
        <v>39965.745833333334</v>
      </c>
      <c r="D1811" s="1" t="s">
        <v>54</v>
      </c>
      <c r="E1811" s="1"/>
      <c r="F1811" s="2" t="s">
        <v>5003</v>
      </c>
      <c r="G1811" s="1">
        <f ca="1">IFERROR(__xludf.DUMMYFUNCTION("COUNTA(SPLIT(F1811,"" ""))"),172)</f>
        <v>172</v>
      </c>
      <c r="H1811" s="1">
        <v>172</v>
      </c>
      <c r="I1811" s="1"/>
      <c r="J1811" s="1"/>
      <c r="K1811" s="1"/>
      <c r="L1811" s="1"/>
      <c r="M1811" s="1"/>
      <c r="N1811" s="1"/>
      <c r="O1811" s="1"/>
      <c r="P1811" s="1"/>
      <c r="Q1811" s="1"/>
      <c r="R1811" s="1"/>
      <c r="S1811" s="1"/>
      <c r="T1811" s="1"/>
    </row>
    <row r="1812" spans="1:20" ht="33.75" customHeight="1">
      <c r="A1812" s="1" t="s">
        <v>5004</v>
      </c>
      <c r="B1812" s="1" t="s">
        <v>4904</v>
      </c>
      <c r="C1812" s="4">
        <v>39966.367361111108</v>
      </c>
      <c r="D1812" s="1" t="s">
        <v>772</v>
      </c>
      <c r="E1812" s="1"/>
      <c r="F1812" s="2" t="s">
        <v>5005</v>
      </c>
      <c r="G1812" s="1">
        <f ca="1">IFERROR(__xludf.DUMMYFUNCTION("COUNTA(SPLIT(F1812,"" ""))"),17)</f>
        <v>17</v>
      </c>
      <c r="H1812" s="1">
        <v>17</v>
      </c>
      <c r="I1812" s="1"/>
      <c r="J1812" s="1"/>
      <c r="K1812" s="1"/>
      <c r="L1812" s="1"/>
      <c r="M1812" s="1"/>
      <c r="N1812" s="1"/>
      <c r="O1812" s="1"/>
      <c r="P1812" s="1"/>
      <c r="Q1812" s="1"/>
      <c r="R1812" s="1"/>
      <c r="S1812" s="1"/>
      <c r="T1812" s="1"/>
    </row>
    <row r="1813" spans="1:20" ht="33.75" customHeight="1">
      <c r="A1813" s="1" t="s">
        <v>5006</v>
      </c>
      <c r="B1813" s="1" t="s">
        <v>4904</v>
      </c>
      <c r="C1813" s="4">
        <v>39966.709722222222</v>
      </c>
      <c r="D1813" s="1" t="s">
        <v>2893</v>
      </c>
      <c r="E1813" s="1"/>
      <c r="F1813" s="2" t="s">
        <v>5009</v>
      </c>
      <c r="G1813" s="1">
        <f ca="1">IFERROR(__xludf.DUMMYFUNCTION("COUNTA(SPLIT(F1813,"" ""))"),122)</f>
        <v>122</v>
      </c>
      <c r="H1813" s="1">
        <v>122</v>
      </c>
      <c r="I1813" s="1"/>
      <c r="J1813" s="1"/>
      <c r="K1813" s="1"/>
      <c r="L1813" s="1"/>
      <c r="M1813" s="1"/>
      <c r="N1813" s="1"/>
      <c r="O1813" s="1"/>
      <c r="P1813" s="1"/>
      <c r="Q1813" s="1"/>
      <c r="R1813" s="1"/>
      <c r="S1813" s="1"/>
      <c r="T1813" s="1"/>
    </row>
    <row r="1814" spans="1:20" ht="33.75" customHeight="1">
      <c r="A1814" s="1" t="s">
        <v>5010</v>
      </c>
      <c r="B1814" s="1" t="s">
        <v>4904</v>
      </c>
      <c r="C1814" s="4">
        <v>39966.931250000001</v>
      </c>
      <c r="D1814" s="1" t="s">
        <v>1089</v>
      </c>
      <c r="E1814" s="1"/>
      <c r="F1814" s="2" t="s">
        <v>5011</v>
      </c>
      <c r="G1814" s="1">
        <f ca="1">IFERROR(__xludf.DUMMYFUNCTION("COUNTA(SPLIT(F1814,"" ""))"),66)</f>
        <v>66</v>
      </c>
      <c r="H1814" s="1">
        <v>66</v>
      </c>
      <c r="I1814" s="1"/>
      <c r="J1814" s="1"/>
      <c r="K1814" s="1"/>
      <c r="L1814" s="1"/>
      <c r="M1814" s="1"/>
      <c r="N1814" s="1"/>
      <c r="O1814" s="1"/>
      <c r="P1814" s="1"/>
      <c r="Q1814" s="1"/>
      <c r="R1814" s="1"/>
      <c r="S1814" s="1"/>
      <c r="T1814" s="1"/>
    </row>
    <row r="1815" spans="1:20" ht="33.75" hidden="1" customHeight="1">
      <c r="A1815" s="1" t="s">
        <v>5012</v>
      </c>
      <c r="B1815" s="1" t="s">
        <v>4904</v>
      </c>
      <c r="C1815" s="4">
        <v>39967.300000000003</v>
      </c>
      <c r="D1815" s="1" t="s">
        <v>54</v>
      </c>
      <c r="E1815" s="1" t="s">
        <v>5006</v>
      </c>
      <c r="F1815" s="2" t="s">
        <v>5013</v>
      </c>
      <c r="G1815" s="1">
        <f ca="1">IFERROR(__xludf.DUMMYFUNCTION("COUNTA(SPLIT(F1815,"" ""))"),148)</f>
        <v>148</v>
      </c>
      <c r="H1815" s="1">
        <v>148</v>
      </c>
      <c r="I1815" s="1"/>
      <c r="J1815" s="1"/>
      <c r="K1815" s="1"/>
      <c r="L1815" s="1"/>
      <c r="M1815" s="1"/>
      <c r="N1815" s="1"/>
      <c r="O1815" s="1"/>
      <c r="P1815" s="1"/>
      <c r="Q1815" s="1"/>
      <c r="R1815" s="1"/>
      <c r="S1815" s="1"/>
      <c r="T1815" s="1"/>
    </row>
    <row r="1816" spans="1:20" ht="33.75" customHeight="1">
      <c r="A1816" s="1" t="s">
        <v>5014</v>
      </c>
      <c r="B1816" s="1" t="s">
        <v>4904</v>
      </c>
      <c r="C1816" s="4">
        <v>39967.30972222222</v>
      </c>
      <c r="D1816" s="1" t="s">
        <v>54</v>
      </c>
      <c r="E1816" s="1"/>
      <c r="F1816" s="2" t="s">
        <v>5015</v>
      </c>
      <c r="G1816" s="1">
        <f ca="1">IFERROR(__xludf.DUMMYFUNCTION("COUNTA(SPLIT(F1816,"" ""))"),297)</f>
        <v>297</v>
      </c>
      <c r="H1816" s="1">
        <v>297</v>
      </c>
      <c r="I1816" s="1"/>
      <c r="J1816" s="1"/>
      <c r="K1816" s="1"/>
      <c r="L1816" s="1"/>
      <c r="M1816" s="1"/>
      <c r="N1816" s="1"/>
      <c r="O1816" s="1"/>
      <c r="P1816" s="1"/>
      <c r="Q1816" s="1"/>
      <c r="R1816" s="1"/>
      <c r="S1816" s="1"/>
      <c r="T1816" s="1"/>
    </row>
    <row r="1817" spans="1:20" ht="33.75" customHeight="1">
      <c r="A1817" s="1" t="s">
        <v>5016</v>
      </c>
      <c r="B1817" s="1" t="s">
        <v>4904</v>
      </c>
      <c r="C1817" s="4">
        <v>39967.352777777778</v>
      </c>
      <c r="D1817" s="1" t="s">
        <v>54</v>
      </c>
      <c r="E1817" s="1"/>
      <c r="F1817" s="2" t="s">
        <v>5018</v>
      </c>
      <c r="G1817" s="1">
        <f ca="1">IFERROR(__xludf.DUMMYFUNCTION("COUNTA(SPLIT(F1817,"" ""))"),383)</f>
        <v>383</v>
      </c>
      <c r="H1817" s="1">
        <v>383</v>
      </c>
      <c r="I1817" s="1"/>
      <c r="J1817" s="1"/>
      <c r="K1817" s="1"/>
      <c r="L1817" s="1"/>
      <c r="M1817" s="1"/>
      <c r="N1817" s="1"/>
      <c r="O1817" s="1"/>
      <c r="P1817" s="1"/>
      <c r="Q1817" s="1"/>
      <c r="R1817" s="1"/>
      <c r="S1817" s="1"/>
      <c r="T1817" s="1"/>
    </row>
    <row r="1818" spans="1:20" ht="33.75" customHeight="1">
      <c r="A1818" s="1" t="s">
        <v>5019</v>
      </c>
      <c r="B1818" s="1" t="s">
        <v>4904</v>
      </c>
      <c r="C1818" s="4">
        <v>39967.477777777778</v>
      </c>
      <c r="D1818" s="1" t="s">
        <v>84</v>
      </c>
      <c r="E1818" s="1"/>
      <c r="F1818" s="2" t="s">
        <v>5020</v>
      </c>
      <c r="G1818" s="1">
        <f ca="1">IFERROR(__xludf.DUMMYFUNCTION("COUNTA(SPLIT(F1818,"" ""))"),48)</f>
        <v>48</v>
      </c>
      <c r="H1818" s="1">
        <v>48</v>
      </c>
      <c r="I1818" s="1"/>
      <c r="J1818" s="1"/>
      <c r="K1818" s="1"/>
      <c r="L1818" s="1"/>
      <c r="M1818" s="1"/>
      <c r="N1818" s="1"/>
      <c r="O1818" s="1"/>
      <c r="P1818" s="1"/>
      <c r="Q1818" s="1"/>
      <c r="R1818" s="1"/>
      <c r="S1818" s="1"/>
      <c r="T1818" s="1"/>
    </row>
    <row r="1819" spans="1:20" ht="33.75" customHeight="1">
      <c r="A1819" s="1" t="s">
        <v>5021</v>
      </c>
      <c r="B1819" s="1" t="s">
        <v>3929</v>
      </c>
      <c r="C1819" s="4">
        <v>39967.519444444442</v>
      </c>
      <c r="D1819" s="1" t="s">
        <v>196</v>
      </c>
      <c r="E1819" s="1"/>
      <c r="F1819" s="2" t="s">
        <v>5023</v>
      </c>
      <c r="G1819" s="1">
        <f ca="1">IFERROR(__xludf.DUMMYFUNCTION("COUNTA(SPLIT(F1819,"" ""))"),78)</f>
        <v>78</v>
      </c>
      <c r="H1819" s="1">
        <v>78</v>
      </c>
      <c r="I1819" s="1"/>
      <c r="J1819" s="1"/>
      <c r="K1819" s="1"/>
      <c r="L1819" s="1"/>
      <c r="M1819" s="1"/>
      <c r="N1819" s="1"/>
      <c r="O1819" s="1"/>
      <c r="P1819" s="1"/>
      <c r="Q1819" s="1"/>
      <c r="R1819" s="1"/>
      <c r="S1819" s="1"/>
      <c r="T1819" s="1"/>
    </row>
    <row r="1820" spans="1:20" ht="33.75" customHeight="1">
      <c r="A1820" s="1" t="s">
        <v>5024</v>
      </c>
      <c r="B1820" s="1" t="s">
        <v>4904</v>
      </c>
      <c r="C1820" s="4">
        <v>39967.52847222222</v>
      </c>
      <c r="D1820" s="1" t="s">
        <v>760</v>
      </c>
      <c r="E1820" s="1"/>
      <c r="F1820" s="2" t="s">
        <v>5025</v>
      </c>
      <c r="G1820" s="1">
        <f ca="1">IFERROR(__xludf.DUMMYFUNCTION("COUNTA(SPLIT(F1820,"" ""))"),67)</f>
        <v>67</v>
      </c>
      <c r="H1820" s="1">
        <v>67</v>
      </c>
      <c r="I1820" s="1"/>
      <c r="J1820" s="1"/>
      <c r="K1820" s="1"/>
      <c r="L1820" s="1"/>
      <c r="M1820" s="1"/>
      <c r="N1820" s="1"/>
      <c r="O1820" s="1"/>
      <c r="P1820" s="1"/>
      <c r="Q1820" s="1"/>
      <c r="R1820" s="1"/>
      <c r="S1820" s="1"/>
      <c r="T1820" s="1"/>
    </row>
    <row r="1821" spans="1:20" ht="33.75" customHeight="1">
      <c r="A1821" s="1" t="s">
        <v>5026</v>
      </c>
      <c r="B1821" s="1" t="s">
        <v>4904</v>
      </c>
      <c r="C1821" s="4">
        <v>39967.599999999999</v>
      </c>
      <c r="D1821" s="1" t="s">
        <v>772</v>
      </c>
      <c r="E1821" s="1"/>
      <c r="F1821" s="2" t="s">
        <v>5027</v>
      </c>
      <c r="G1821" s="1">
        <f ca="1">IFERROR(__xludf.DUMMYFUNCTION("COUNTA(SPLIT(F1821,"" ""))"),28)</f>
        <v>28</v>
      </c>
      <c r="H1821" s="1">
        <v>28</v>
      </c>
      <c r="I1821" s="1"/>
      <c r="J1821" s="1"/>
      <c r="K1821" s="1"/>
      <c r="L1821" s="1"/>
      <c r="M1821" s="1"/>
      <c r="N1821" s="1"/>
      <c r="O1821" s="1"/>
      <c r="P1821" s="1"/>
      <c r="Q1821" s="1"/>
      <c r="R1821" s="1"/>
      <c r="S1821" s="1"/>
      <c r="T1821" s="1"/>
    </row>
    <row r="1822" spans="1:20" ht="33.75" customHeight="1">
      <c r="A1822" s="1" t="s">
        <v>5028</v>
      </c>
      <c r="B1822" s="1" t="s">
        <v>4904</v>
      </c>
      <c r="C1822" s="4">
        <v>39968.338194444441</v>
      </c>
      <c r="D1822" s="1" t="s">
        <v>760</v>
      </c>
      <c r="E1822" s="1"/>
      <c r="F1822" s="2" t="s">
        <v>5029</v>
      </c>
      <c r="G1822" s="1">
        <f ca="1">IFERROR(__xludf.DUMMYFUNCTION("COUNTA(SPLIT(F1822,"" ""))"),66)</f>
        <v>66</v>
      </c>
      <c r="H1822" s="1">
        <v>66</v>
      </c>
      <c r="I1822" s="1"/>
      <c r="J1822" s="1"/>
      <c r="K1822" s="1"/>
      <c r="L1822" s="1"/>
      <c r="M1822" s="1"/>
      <c r="N1822" s="1"/>
      <c r="O1822" s="1"/>
      <c r="P1822" s="1"/>
      <c r="Q1822" s="1"/>
      <c r="R1822" s="1"/>
      <c r="S1822" s="1"/>
      <c r="T1822" s="1"/>
    </row>
    <row r="1823" spans="1:20" ht="33.75" customHeight="1">
      <c r="A1823" s="1" t="s">
        <v>5030</v>
      </c>
      <c r="B1823" s="1" t="s">
        <v>4904</v>
      </c>
      <c r="C1823" s="4">
        <v>39968.42291666667</v>
      </c>
      <c r="D1823" s="1" t="s">
        <v>772</v>
      </c>
      <c r="E1823" s="1"/>
      <c r="F1823" s="2" t="s">
        <v>5031</v>
      </c>
      <c r="G1823" s="1">
        <f ca="1">IFERROR(__xludf.DUMMYFUNCTION("COUNTA(SPLIT(F1823,"" ""))"),233)</f>
        <v>233</v>
      </c>
      <c r="H1823" s="1">
        <v>233</v>
      </c>
      <c r="I1823" s="1"/>
      <c r="J1823" s="1"/>
      <c r="K1823" s="1"/>
      <c r="L1823" s="1"/>
      <c r="M1823" s="1"/>
      <c r="N1823" s="1"/>
      <c r="O1823" s="1"/>
      <c r="P1823" s="1"/>
      <c r="Q1823" s="1"/>
      <c r="R1823" s="1"/>
      <c r="S1823" s="1"/>
      <c r="T1823" s="1"/>
    </row>
    <row r="1824" spans="1:20" ht="33.75" customHeight="1">
      <c r="A1824" s="1" t="s">
        <v>5032</v>
      </c>
      <c r="B1824" s="1" t="s">
        <v>4904</v>
      </c>
      <c r="C1824" s="4">
        <v>39968.445833333331</v>
      </c>
      <c r="D1824" s="1" t="s">
        <v>1887</v>
      </c>
      <c r="E1824" s="1"/>
      <c r="F1824" s="2" t="s">
        <v>5034</v>
      </c>
      <c r="G1824" s="1">
        <f ca="1">IFERROR(__xludf.DUMMYFUNCTION("COUNTA(SPLIT(F1824,"" ""))"),94)</f>
        <v>94</v>
      </c>
      <c r="H1824" s="1">
        <v>94</v>
      </c>
      <c r="I1824" s="1"/>
      <c r="J1824" s="1"/>
      <c r="K1824" s="1"/>
      <c r="L1824" s="1"/>
      <c r="M1824" s="1"/>
      <c r="N1824" s="1"/>
      <c r="O1824" s="1"/>
      <c r="P1824" s="1"/>
      <c r="Q1824" s="1"/>
      <c r="R1824" s="1"/>
      <c r="S1824" s="1"/>
      <c r="T1824" s="1"/>
    </row>
    <row r="1825" spans="1:20" ht="33.75" customHeight="1">
      <c r="A1825" s="1" t="s">
        <v>5035</v>
      </c>
      <c r="B1825" s="1" t="s">
        <v>4904</v>
      </c>
      <c r="C1825" s="4">
        <v>39968.53125</v>
      </c>
      <c r="D1825" s="1" t="s">
        <v>772</v>
      </c>
      <c r="E1825" s="1"/>
      <c r="F1825" s="2" t="s">
        <v>5036</v>
      </c>
      <c r="G1825" s="1">
        <f ca="1">IFERROR(__xludf.DUMMYFUNCTION("COUNTA(SPLIT(F1825,"" ""))"),28)</f>
        <v>28</v>
      </c>
      <c r="H1825" s="1">
        <v>28</v>
      </c>
      <c r="I1825" s="1"/>
      <c r="J1825" s="1"/>
      <c r="K1825" s="1"/>
      <c r="L1825" s="1"/>
      <c r="M1825" s="1"/>
      <c r="N1825" s="1"/>
      <c r="O1825" s="1"/>
      <c r="P1825" s="1"/>
      <c r="Q1825" s="1"/>
      <c r="R1825" s="1"/>
      <c r="S1825" s="1"/>
      <c r="T1825" s="1"/>
    </row>
    <row r="1826" spans="1:20" ht="33.75" customHeight="1">
      <c r="A1826" s="1" t="s">
        <v>5037</v>
      </c>
      <c r="B1826" s="1" t="s">
        <v>4904</v>
      </c>
      <c r="C1826" s="4">
        <v>39969.282638888886</v>
      </c>
      <c r="D1826" s="1" t="s">
        <v>381</v>
      </c>
      <c r="E1826" s="1"/>
      <c r="F1826" s="2" t="s">
        <v>5039</v>
      </c>
      <c r="G1826" s="1">
        <f ca="1">IFERROR(__xludf.DUMMYFUNCTION("COUNTA(SPLIT(F1826,"" ""))"),161)</f>
        <v>161</v>
      </c>
      <c r="H1826" s="1">
        <v>161</v>
      </c>
      <c r="I1826" s="1"/>
      <c r="J1826" s="1"/>
      <c r="K1826" s="1"/>
      <c r="L1826" s="1"/>
      <c r="M1826" s="1"/>
      <c r="N1826" s="1"/>
      <c r="O1826" s="1"/>
      <c r="P1826" s="1"/>
      <c r="Q1826" s="1"/>
      <c r="R1826" s="1"/>
      <c r="S1826" s="1"/>
      <c r="T1826" s="1"/>
    </row>
    <row r="1827" spans="1:20" ht="33.75" hidden="1" customHeight="1">
      <c r="A1827" s="1" t="s">
        <v>5040</v>
      </c>
      <c r="B1827" s="1" t="s">
        <v>4904</v>
      </c>
      <c r="C1827" s="4">
        <v>39969.354861111111</v>
      </c>
      <c r="D1827" s="1" t="s">
        <v>2893</v>
      </c>
      <c r="E1827" s="1" t="s">
        <v>5037</v>
      </c>
      <c r="F1827" s="2" t="s">
        <v>5042</v>
      </c>
      <c r="G1827" s="1">
        <f ca="1">IFERROR(__xludf.DUMMYFUNCTION("COUNTA(SPLIT(F1827,"" ""))"),195)</f>
        <v>195</v>
      </c>
      <c r="H1827" s="1">
        <v>195</v>
      </c>
      <c r="I1827" s="1"/>
      <c r="J1827" s="1"/>
      <c r="K1827" s="1"/>
      <c r="L1827" s="1"/>
      <c r="M1827" s="1"/>
      <c r="N1827" s="1"/>
      <c r="O1827" s="1"/>
      <c r="P1827" s="1"/>
      <c r="Q1827" s="1"/>
      <c r="R1827" s="1"/>
      <c r="S1827" s="1"/>
      <c r="T1827" s="1"/>
    </row>
    <row r="1828" spans="1:20" ht="33.75" customHeight="1">
      <c r="A1828" s="1" t="s">
        <v>5043</v>
      </c>
      <c r="B1828" s="1" t="s">
        <v>4904</v>
      </c>
      <c r="C1828" s="4">
        <v>39969.581250000003</v>
      </c>
      <c r="D1828" s="1" t="s">
        <v>772</v>
      </c>
      <c r="E1828" s="1"/>
      <c r="F1828" s="2" t="s">
        <v>5044</v>
      </c>
      <c r="G1828" s="1">
        <f ca="1">IFERROR(__xludf.DUMMYFUNCTION("COUNTA(SPLIT(F1828,"" ""))"),11)</f>
        <v>11</v>
      </c>
      <c r="H1828" s="1">
        <v>11</v>
      </c>
      <c r="I1828" s="1"/>
      <c r="J1828" s="1"/>
      <c r="K1828" s="1"/>
      <c r="L1828" s="1"/>
      <c r="M1828" s="1"/>
      <c r="N1828" s="1"/>
      <c r="O1828" s="1"/>
      <c r="P1828" s="1"/>
      <c r="Q1828" s="1"/>
      <c r="R1828" s="1"/>
      <c r="S1828" s="1"/>
      <c r="T1828" s="1"/>
    </row>
    <row r="1829" spans="1:20" ht="33.75" customHeight="1">
      <c r="A1829" s="1" t="s">
        <v>5045</v>
      </c>
      <c r="B1829" s="1" t="s">
        <v>4904</v>
      </c>
      <c r="C1829" s="4">
        <v>39970.163888888892</v>
      </c>
      <c r="D1829" s="1" t="s">
        <v>1089</v>
      </c>
      <c r="E1829" s="1"/>
      <c r="F1829" s="2" t="s">
        <v>5046</v>
      </c>
      <c r="G1829" s="1">
        <f ca="1">IFERROR(__xludf.DUMMYFUNCTION("COUNTA(SPLIT(F1829,"" ""))"),72)</f>
        <v>72</v>
      </c>
      <c r="H1829" s="1">
        <v>72</v>
      </c>
      <c r="I1829" s="1"/>
      <c r="J1829" s="1"/>
      <c r="K1829" s="1"/>
      <c r="L1829" s="1"/>
      <c r="M1829" s="1"/>
      <c r="N1829" s="1"/>
      <c r="O1829" s="1"/>
      <c r="P1829" s="1"/>
      <c r="Q1829" s="1"/>
      <c r="R1829" s="1"/>
      <c r="S1829" s="1"/>
      <c r="T1829" s="1"/>
    </row>
    <row r="1830" spans="1:20" ht="33.75" customHeight="1">
      <c r="A1830" s="1" t="s">
        <v>5047</v>
      </c>
      <c r="B1830" s="1" t="s">
        <v>4904</v>
      </c>
      <c r="C1830" s="4">
        <v>39970.296527777777</v>
      </c>
      <c r="D1830" s="1" t="s">
        <v>1089</v>
      </c>
      <c r="E1830" s="1"/>
      <c r="F1830" s="2" t="s">
        <v>5049</v>
      </c>
      <c r="G1830" s="1">
        <f ca="1">IFERROR(__xludf.DUMMYFUNCTION("COUNTA(SPLIT(F1830,"" ""))"),40)</f>
        <v>40</v>
      </c>
      <c r="H1830" s="1">
        <v>40</v>
      </c>
      <c r="I1830" s="1"/>
      <c r="J1830" s="1"/>
      <c r="K1830" s="1"/>
      <c r="L1830" s="1"/>
      <c r="M1830" s="1"/>
      <c r="N1830" s="1"/>
      <c r="O1830" s="1"/>
      <c r="P1830" s="1"/>
      <c r="Q1830" s="1"/>
      <c r="R1830" s="1"/>
      <c r="S1830" s="1"/>
      <c r="T1830" s="1"/>
    </row>
    <row r="1831" spans="1:20" ht="33.75" hidden="1" customHeight="1">
      <c r="A1831" s="1" t="s">
        <v>5050</v>
      </c>
      <c r="B1831" s="1" t="s">
        <v>4904</v>
      </c>
      <c r="C1831" s="4">
        <v>39970.32708333333</v>
      </c>
      <c r="D1831" s="1" t="s">
        <v>54</v>
      </c>
      <c r="E1831" s="1" t="s">
        <v>5047</v>
      </c>
      <c r="F1831" s="2" t="s">
        <v>5051</v>
      </c>
      <c r="G1831" s="1">
        <f ca="1">IFERROR(__xludf.DUMMYFUNCTION("COUNTA(SPLIT(F1831,"" ""))"),206)</f>
        <v>206</v>
      </c>
      <c r="H1831" s="1">
        <v>206</v>
      </c>
      <c r="I1831" s="1"/>
      <c r="J1831" s="1"/>
      <c r="K1831" s="1"/>
      <c r="L1831" s="1"/>
      <c r="M1831" s="1"/>
      <c r="N1831" s="1"/>
      <c r="O1831" s="1"/>
      <c r="P1831" s="1"/>
      <c r="Q1831" s="1"/>
      <c r="R1831" s="1"/>
      <c r="S1831" s="1"/>
      <c r="T1831" s="1"/>
    </row>
    <row r="1832" spans="1:20" ht="33.75" customHeight="1">
      <c r="A1832" s="1" t="s">
        <v>5052</v>
      </c>
      <c r="B1832" s="1" t="s">
        <v>4904</v>
      </c>
      <c r="C1832" s="4">
        <v>39970.565972222219</v>
      </c>
      <c r="D1832" s="1" t="s">
        <v>772</v>
      </c>
      <c r="E1832" s="1"/>
      <c r="F1832" s="2" t="s">
        <v>5053</v>
      </c>
      <c r="G1832" s="1">
        <f ca="1">IFERROR(__xludf.DUMMYFUNCTION("COUNTA(SPLIT(F1832,"" ""))"),25)</f>
        <v>25</v>
      </c>
      <c r="H1832" s="1">
        <v>25</v>
      </c>
      <c r="I1832" s="1"/>
      <c r="J1832" s="1"/>
      <c r="K1832" s="1"/>
      <c r="L1832" s="1"/>
      <c r="M1832" s="1"/>
      <c r="N1832" s="1"/>
      <c r="O1832" s="1"/>
      <c r="P1832" s="1"/>
      <c r="Q1832" s="1"/>
      <c r="R1832" s="1"/>
      <c r="S1832" s="1"/>
      <c r="T1832" s="1"/>
    </row>
    <row r="1833" spans="1:20" ht="33.75" customHeight="1">
      <c r="A1833" s="1" t="s">
        <v>5054</v>
      </c>
      <c r="B1833" s="1" t="s">
        <v>4904</v>
      </c>
      <c r="C1833" s="4">
        <v>39971.011805555558</v>
      </c>
      <c r="D1833" s="1" t="s">
        <v>1887</v>
      </c>
      <c r="E1833" s="1"/>
      <c r="F1833" s="2" t="s">
        <v>5055</v>
      </c>
      <c r="G1833" s="1">
        <f ca="1">IFERROR(__xludf.DUMMYFUNCTION("COUNTA(SPLIT(F1833,"" ""))"),29)</f>
        <v>29</v>
      </c>
      <c r="H1833" s="1">
        <v>29</v>
      </c>
      <c r="I1833" s="1"/>
      <c r="J1833" s="1"/>
      <c r="K1833" s="1"/>
      <c r="L1833" s="1"/>
      <c r="M1833" s="1"/>
      <c r="N1833" s="1"/>
      <c r="O1833" s="1"/>
      <c r="P1833" s="1"/>
      <c r="Q1833" s="1"/>
      <c r="R1833" s="1"/>
      <c r="S1833" s="1"/>
      <c r="T1833" s="1"/>
    </row>
    <row r="1834" spans="1:20" ht="33.75" hidden="1" customHeight="1">
      <c r="A1834" s="1" t="s">
        <v>5056</v>
      </c>
      <c r="B1834" s="1" t="s">
        <v>4904</v>
      </c>
      <c r="C1834" s="4">
        <v>39971.215277777781</v>
      </c>
      <c r="D1834" s="1" t="s">
        <v>1089</v>
      </c>
      <c r="E1834" s="1" t="s">
        <v>5054</v>
      </c>
      <c r="F1834" s="2" t="s">
        <v>5058</v>
      </c>
      <c r="G1834" s="1">
        <f ca="1">IFERROR(__xludf.DUMMYFUNCTION("COUNTA(SPLIT(F1834,"" ""))"),99)</f>
        <v>99</v>
      </c>
      <c r="H1834" s="1">
        <v>99</v>
      </c>
      <c r="I1834" s="1"/>
      <c r="J1834" s="1"/>
      <c r="K1834" s="1"/>
      <c r="L1834" s="1"/>
      <c r="M1834" s="1"/>
      <c r="N1834" s="1"/>
      <c r="O1834" s="1"/>
      <c r="P1834" s="1"/>
      <c r="Q1834" s="1"/>
      <c r="R1834" s="1"/>
      <c r="S1834" s="1"/>
      <c r="T1834" s="1"/>
    </row>
    <row r="1835" spans="1:20" ht="33.75" customHeight="1">
      <c r="A1835" s="1" t="s">
        <v>5059</v>
      </c>
      <c r="B1835" s="1" t="s">
        <v>4904</v>
      </c>
      <c r="C1835" s="4">
        <v>39971.429166666669</v>
      </c>
      <c r="D1835" s="1" t="s">
        <v>772</v>
      </c>
      <c r="E1835" s="1"/>
      <c r="F1835" s="2" t="s">
        <v>5060</v>
      </c>
      <c r="G1835" s="1">
        <f ca="1">IFERROR(__xludf.DUMMYFUNCTION("COUNTA(SPLIT(F1835,"" ""))"),19)</f>
        <v>19</v>
      </c>
      <c r="H1835" s="1">
        <v>19</v>
      </c>
      <c r="I1835" s="1"/>
      <c r="J1835" s="1"/>
      <c r="K1835" s="1"/>
      <c r="L1835" s="1"/>
      <c r="M1835" s="1"/>
      <c r="N1835" s="1"/>
      <c r="O1835" s="1"/>
      <c r="P1835" s="1"/>
      <c r="Q1835" s="1"/>
      <c r="R1835" s="1"/>
      <c r="S1835" s="1"/>
      <c r="T1835" s="1"/>
    </row>
    <row r="1836" spans="1:20" ht="33.75" hidden="1" customHeight="1">
      <c r="A1836" s="1" t="s">
        <v>5061</v>
      </c>
      <c r="B1836" s="1" t="s">
        <v>4904</v>
      </c>
      <c r="C1836" s="4">
        <v>39971.543055555558</v>
      </c>
      <c r="D1836" s="1" t="s">
        <v>1887</v>
      </c>
      <c r="E1836" s="1" t="s">
        <v>5056</v>
      </c>
      <c r="F1836" s="2" t="s">
        <v>5062</v>
      </c>
      <c r="G1836" s="1">
        <f ca="1">IFERROR(__xludf.DUMMYFUNCTION("COUNTA(SPLIT(F1836,"" ""))"),48)</f>
        <v>48</v>
      </c>
      <c r="H1836" s="1">
        <v>48</v>
      </c>
      <c r="I1836" s="1"/>
      <c r="J1836" s="1"/>
      <c r="K1836" s="1"/>
      <c r="L1836" s="1"/>
      <c r="M1836" s="1"/>
      <c r="N1836" s="1"/>
      <c r="O1836" s="1"/>
      <c r="P1836" s="1"/>
      <c r="Q1836" s="1"/>
      <c r="R1836" s="1"/>
      <c r="S1836" s="1"/>
      <c r="T1836" s="1"/>
    </row>
    <row r="1837" spans="1:20" ht="33.75" customHeight="1">
      <c r="A1837" s="1" t="s">
        <v>5063</v>
      </c>
      <c r="B1837" s="1" t="s">
        <v>4904</v>
      </c>
      <c r="C1837" s="4">
        <v>39971.589583333334</v>
      </c>
      <c r="D1837" s="1" t="s">
        <v>54</v>
      </c>
      <c r="E1837" s="1"/>
      <c r="F1837" s="2" t="s">
        <v>5064</v>
      </c>
      <c r="G1837" s="1">
        <f ca="1">IFERROR(__xludf.DUMMYFUNCTION("COUNTA(SPLIT(F1837,"" ""))"),258)</f>
        <v>258</v>
      </c>
      <c r="H1837" s="1">
        <v>258</v>
      </c>
      <c r="I1837" s="1"/>
      <c r="J1837" s="1"/>
      <c r="K1837" s="1"/>
      <c r="L1837" s="1"/>
      <c r="M1837" s="1"/>
      <c r="N1837" s="1"/>
      <c r="O1837" s="1"/>
      <c r="P1837" s="1"/>
      <c r="Q1837" s="1"/>
      <c r="R1837" s="1"/>
      <c r="S1837" s="1"/>
      <c r="T1837" s="1"/>
    </row>
    <row r="1838" spans="1:20" ht="33.75" customHeight="1">
      <c r="A1838" s="1" t="s">
        <v>5065</v>
      </c>
      <c r="B1838" s="1" t="s">
        <v>4904</v>
      </c>
      <c r="C1838" s="4">
        <v>39971.785416666666</v>
      </c>
      <c r="D1838" s="1" t="s">
        <v>54</v>
      </c>
      <c r="E1838" s="1"/>
      <c r="F1838" s="2" t="s">
        <v>5066</v>
      </c>
      <c r="G1838" s="1">
        <f ca="1">IFERROR(__xludf.DUMMYFUNCTION("COUNTA(SPLIT(F1838,"" ""))"),471)</f>
        <v>471</v>
      </c>
      <c r="H1838" s="1">
        <v>471</v>
      </c>
      <c r="I1838" s="1"/>
      <c r="J1838" s="1"/>
      <c r="K1838" s="1"/>
      <c r="L1838" s="1"/>
      <c r="M1838" s="1"/>
      <c r="N1838" s="1"/>
      <c r="O1838" s="1"/>
      <c r="P1838" s="1"/>
      <c r="Q1838" s="1"/>
      <c r="R1838" s="1"/>
      <c r="S1838" s="1"/>
      <c r="T1838" s="1"/>
    </row>
    <row r="1839" spans="1:20" ht="33.75" customHeight="1">
      <c r="A1839" s="1" t="s">
        <v>5067</v>
      </c>
      <c r="B1839" s="1" t="s">
        <v>4904</v>
      </c>
      <c r="C1839" s="4">
        <v>39971.925000000003</v>
      </c>
      <c r="D1839" s="1" t="s">
        <v>1089</v>
      </c>
      <c r="E1839" s="1"/>
      <c r="F1839" s="2" t="s">
        <v>5069</v>
      </c>
      <c r="G1839" s="1">
        <f ca="1">IFERROR(__xludf.DUMMYFUNCTION("COUNTA(SPLIT(F1839,"" ""))"),116)</f>
        <v>116</v>
      </c>
      <c r="H1839" s="1">
        <v>116</v>
      </c>
      <c r="I1839" s="1"/>
      <c r="J1839" s="1"/>
      <c r="K1839" s="1"/>
      <c r="L1839" s="1"/>
      <c r="M1839" s="1"/>
      <c r="N1839" s="1"/>
      <c r="O1839" s="1"/>
      <c r="P1839" s="1"/>
      <c r="Q1839" s="1"/>
      <c r="R1839" s="1"/>
      <c r="S1839" s="1"/>
      <c r="T1839" s="1"/>
    </row>
    <row r="1840" spans="1:20" ht="33.75" hidden="1" customHeight="1">
      <c r="A1840" s="1" t="s">
        <v>5070</v>
      </c>
      <c r="B1840" s="1" t="s">
        <v>4904</v>
      </c>
      <c r="C1840" s="4">
        <v>39971.998611111114</v>
      </c>
      <c r="D1840" s="1" t="s">
        <v>54</v>
      </c>
      <c r="E1840" s="1" t="s">
        <v>5067</v>
      </c>
      <c r="F1840" s="2" t="s">
        <v>5072</v>
      </c>
      <c r="G1840" s="1">
        <f ca="1">IFERROR(__xludf.DUMMYFUNCTION("COUNTA(SPLIT(F1840,"" ""))"),82)</f>
        <v>82</v>
      </c>
      <c r="H1840" s="1">
        <v>82</v>
      </c>
      <c r="I1840" s="1"/>
      <c r="J1840" s="1"/>
      <c r="K1840" s="1"/>
      <c r="L1840" s="1"/>
      <c r="M1840" s="1"/>
      <c r="N1840" s="1"/>
      <c r="O1840" s="1"/>
      <c r="P1840" s="1"/>
      <c r="Q1840" s="1"/>
      <c r="R1840" s="1"/>
      <c r="S1840" s="1"/>
      <c r="T1840" s="1"/>
    </row>
    <row r="1841" spans="1:20" ht="33.75" customHeight="1">
      <c r="A1841" s="1" t="s">
        <v>5073</v>
      </c>
      <c r="B1841" s="1" t="s">
        <v>4904</v>
      </c>
      <c r="C1841" s="4">
        <v>39972.063194444447</v>
      </c>
      <c r="D1841" s="1" t="s">
        <v>1089</v>
      </c>
      <c r="E1841" s="1"/>
      <c r="F1841" s="2" t="s">
        <v>5076</v>
      </c>
      <c r="G1841" s="1">
        <f ca="1">IFERROR(__xludf.DUMMYFUNCTION("COUNTA(SPLIT(F1841,"" ""))"),30)</f>
        <v>30</v>
      </c>
      <c r="H1841" s="1">
        <v>30</v>
      </c>
      <c r="I1841" s="1"/>
      <c r="J1841" s="1"/>
      <c r="K1841" s="1"/>
      <c r="L1841" s="1"/>
      <c r="M1841" s="1"/>
      <c r="N1841" s="1"/>
      <c r="O1841" s="1"/>
      <c r="P1841" s="1"/>
      <c r="Q1841" s="1"/>
      <c r="R1841" s="1"/>
      <c r="S1841" s="1"/>
      <c r="T1841" s="1"/>
    </row>
    <row r="1842" spans="1:20" ht="33.75" customHeight="1">
      <c r="A1842" s="1" t="s">
        <v>5077</v>
      </c>
      <c r="B1842" s="1" t="s">
        <v>4904</v>
      </c>
      <c r="C1842" s="4">
        <v>39972.379861111112</v>
      </c>
      <c r="D1842" s="1" t="s">
        <v>54</v>
      </c>
      <c r="E1842" s="1"/>
      <c r="F1842" s="2" t="s">
        <v>5078</v>
      </c>
      <c r="G1842" s="1">
        <f ca="1">IFERROR(__xludf.DUMMYFUNCTION("COUNTA(SPLIT(F1842,"" ""))"),313)</f>
        <v>313</v>
      </c>
      <c r="H1842" s="1">
        <v>313</v>
      </c>
      <c r="I1842" s="1"/>
      <c r="J1842" s="1"/>
      <c r="K1842" s="1"/>
      <c r="L1842" s="1"/>
      <c r="M1842" s="1"/>
      <c r="N1842" s="1"/>
      <c r="O1842" s="1"/>
      <c r="P1842" s="1"/>
      <c r="Q1842" s="1"/>
      <c r="R1842" s="1"/>
      <c r="S1842" s="1"/>
      <c r="T1842" s="1"/>
    </row>
    <row r="1843" spans="1:20" ht="33.75" customHeight="1">
      <c r="A1843" s="1" t="s">
        <v>5079</v>
      </c>
      <c r="B1843" s="1" t="s">
        <v>4904</v>
      </c>
      <c r="C1843" s="4">
        <v>39972.959027777775</v>
      </c>
      <c r="D1843" s="1" t="s">
        <v>1887</v>
      </c>
      <c r="E1843" s="1"/>
      <c r="F1843" s="2" t="s">
        <v>5080</v>
      </c>
      <c r="G1843" s="1">
        <f ca="1">IFERROR(__xludf.DUMMYFUNCTION("COUNTA(SPLIT(F1843,"" ""))"),29)</f>
        <v>29</v>
      </c>
      <c r="H1843" s="1">
        <v>29</v>
      </c>
      <c r="I1843" s="1"/>
      <c r="J1843" s="1"/>
      <c r="K1843" s="1"/>
      <c r="L1843" s="1"/>
      <c r="M1843" s="1"/>
      <c r="N1843" s="1"/>
      <c r="O1843" s="1"/>
      <c r="P1843" s="1"/>
      <c r="Q1843" s="1"/>
      <c r="R1843" s="1"/>
      <c r="S1843" s="1"/>
      <c r="T1843" s="1"/>
    </row>
    <row r="1844" spans="1:20" ht="33.75" customHeight="1">
      <c r="A1844" s="1" t="s">
        <v>5081</v>
      </c>
      <c r="B1844" s="1" t="s">
        <v>4904</v>
      </c>
      <c r="C1844" s="4">
        <v>39973.206944444442</v>
      </c>
      <c r="D1844" s="1" t="s">
        <v>1089</v>
      </c>
      <c r="E1844" s="1"/>
      <c r="F1844" s="2" t="s">
        <v>5083</v>
      </c>
      <c r="G1844" s="1">
        <f ca="1">IFERROR(__xludf.DUMMYFUNCTION("COUNTA(SPLIT(F1844,"" ""))"),198)</f>
        <v>198</v>
      </c>
      <c r="H1844" s="1">
        <v>198</v>
      </c>
      <c r="I1844" s="1"/>
      <c r="J1844" s="1"/>
      <c r="K1844" s="1"/>
      <c r="L1844" s="1"/>
      <c r="M1844" s="1"/>
      <c r="N1844" s="1"/>
      <c r="O1844" s="1"/>
      <c r="P1844" s="1"/>
      <c r="Q1844" s="1"/>
      <c r="R1844" s="1"/>
      <c r="S1844" s="1"/>
      <c r="T1844" s="1"/>
    </row>
    <row r="1845" spans="1:20" ht="33.75" hidden="1" customHeight="1">
      <c r="A1845" s="1" t="s">
        <v>5084</v>
      </c>
      <c r="B1845" s="1" t="s">
        <v>4904</v>
      </c>
      <c r="C1845" s="4">
        <v>39973.299305555556</v>
      </c>
      <c r="D1845" s="1" t="s">
        <v>54</v>
      </c>
      <c r="E1845" s="1" t="s">
        <v>5081</v>
      </c>
      <c r="F1845" s="2" t="s">
        <v>5085</v>
      </c>
      <c r="G1845" s="1">
        <f ca="1">IFERROR(__xludf.DUMMYFUNCTION("COUNTA(SPLIT(F1845,"" ""))"),159)</f>
        <v>159</v>
      </c>
      <c r="H1845" s="1">
        <v>159</v>
      </c>
      <c r="I1845" s="1"/>
      <c r="J1845" s="1"/>
      <c r="K1845" s="1"/>
      <c r="L1845" s="1"/>
      <c r="M1845" s="1"/>
      <c r="N1845" s="1"/>
      <c r="O1845" s="1"/>
      <c r="P1845" s="1"/>
      <c r="Q1845" s="1"/>
      <c r="R1845" s="1"/>
      <c r="S1845" s="1"/>
      <c r="T1845" s="1"/>
    </row>
    <row r="1846" spans="1:20" ht="33.75" customHeight="1">
      <c r="A1846" s="1" t="s">
        <v>5086</v>
      </c>
      <c r="B1846" s="1" t="s">
        <v>4904</v>
      </c>
      <c r="C1846" s="4">
        <v>39973.472916666666</v>
      </c>
      <c r="D1846" s="1" t="s">
        <v>1887</v>
      </c>
      <c r="E1846" s="1"/>
      <c r="F1846" s="2" t="s">
        <v>5087</v>
      </c>
      <c r="G1846" s="1">
        <f ca="1">IFERROR(__xludf.DUMMYFUNCTION("COUNTA(SPLIT(F1846,"" ""))"),133)</f>
        <v>133</v>
      </c>
      <c r="H1846" s="1">
        <v>133</v>
      </c>
      <c r="I1846" s="1"/>
      <c r="J1846" s="1"/>
      <c r="K1846" s="1"/>
      <c r="L1846" s="1"/>
      <c r="M1846" s="1"/>
      <c r="N1846" s="1"/>
      <c r="O1846" s="1"/>
      <c r="P1846" s="1"/>
      <c r="Q1846" s="1"/>
      <c r="R1846" s="1"/>
      <c r="S1846" s="1"/>
      <c r="T1846" s="1"/>
    </row>
    <row r="1847" spans="1:20" ht="33.75" customHeight="1">
      <c r="A1847" s="1" t="s">
        <v>5088</v>
      </c>
      <c r="B1847" s="1" t="s">
        <v>4904</v>
      </c>
      <c r="C1847" s="4">
        <v>39974.323611111111</v>
      </c>
      <c r="D1847" s="1" t="s">
        <v>54</v>
      </c>
      <c r="E1847" s="1"/>
      <c r="F1847" s="2" t="s">
        <v>5090</v>
      </c>
      <c r="G1847" s="1">
        <f ca="1">IFERROR(__xludf.DUMMYFUNCTION("COUNTA(SPLIT(F1847,"" ""))"),189)</f>
        <v>189</v>
      </c>
      <c r="H1847" s="1">
        <v>189</v>
      </c>
      <c r="I1847" s="1"/>
      <c r="J1847" s="1"/>
      <c r="K1847" s="1"/>
      <c r="L1847" s="1"/>
      <c r="M1847" s="1"/>
      <c r="N1847" s="1"/>
      <c r="O1847" s="1"/>
      <c r="P1847" s="1"/>
      <c r="Q1847" s="1"/>
      <c r="R1847" s="1"/>
      <c r="S1847" s="1"/>
      <c r="T1847" s="1"/>
    </row>
    <row r="1848" spans="1:20" ht="33.75" customHeight="1">
      <c r="A1848" s="1" t="s">
        <v>5091</v>
      </c>
      <c r="B1848" s="1" t="s">
        <v>4904</v>
      </c>
      <c r="C1848" s="4">
        <v>39974.512499999997</v>
      </c>
      <c r="D1848" s="1" t="s">
        <v>54</v>
      </c>
      <c r="E1848" s="1"/>
      <c r="F1848" s="2" t="s">
        <v>5093</v>
      </c>
      <c r="G1848" s="1">
        <f ca="1">IFERROR(__xludf.DUMMYFUNCTION("COUNTA(SPLIT(F1848,"" ""))"),328)</f>
        <v>328</v>
      </c>
      <c r="H1848" s="1">
        <v>328</v>
      </c>
      <c r="I1848" s="1"/>
      <c r="J1848" s="1"/>
      <c r="K1848" s="1"/>
      <c r="L1848" s="1"/>
      <c r="M1848" s="1"/>
      <c r="N1848" s="1"/>
      <c r="O1848" s="1"/>
      <c r="P1848" s="1"/>
      <c r="Q1848" s="1"/>
      <c r="R1848" s="1"/>
      <c r="S1848" s="1"/>
      <c r="T1848" s="1"/>
    </row>
    <row r="1849" spans="1:20" ht="33.75" customHeight="1">
      <c r="A1849" s="1" t="s">
        <v>5094</v>
      </c>
      <c r="B1849" s="1" t="s">
        <v>3929</v>
      </c>
      <c r="C1849" s="4">
        <v>39974.776388888888</v>
      </c>
      <c r="D1849" s="1" t="s">
        <v>320</v>
      </c>
      <c r="E1849" s="1"/>
      <c r="F1849" s="2" t="s">
        <v>5095</v>
      </c>
      <c r="G1849" s="1">
        <f ca="1">IFERROR(__xludf.DUMMYFUNCTION("COUNTA(SPLIT(F1849,"" ""))"),223)</f>
        <v>223</v>
      </c>
      <c r="H1849" s="1">
        <v>223</v>
      </c>
      <c r="I1849" s="1"/>
      <c r="J1849" s="1"/>
      <c r="K1849" s="1"/>
      <c r="L1849" s="1"/>
      <c r="M1849" s="1"/>
      <c r="N1849" s="1"/>
      <c r="O1849" s="1"/>
      <c r="P1849" s="1"/>
      <c r="Q1849" s="1"/>
      <c r="R1849" s="1"/>
      <c r="S1849" s="1"/>
      <c r="T1849" s="1"/>
    </row>
    <row r="1850" spans="1:20" ht="33.75" customHeight="1">
      <c r="A1850" s="1" t="s">
        <v>5096</v>
      </c>
      <c r="B1850" s="1" t="s">
        <v>3929</v>
      </c>
      <c r="C1850" s="4">
        <v>39974.788888888892</v>
      </c>
      <c r="D1850" s="1" t="s">
        <v>320</v>
      </c>
      <c r="E1850" s="1"/>
      <c r="F1850" s="2" t="s">
        <v>5098</v>
      </c>
      <c r="G1850" s="1">
        <f ca="1">IFERROR(__xludf.DUMMYFUNCTION("COUNTA(SPLIT(F1850,"" ""))"),37)</f>
        <v>37</v>
      </c>
      <c r="H1850" s="1">
        <v>37</v>
      </c>
      <c r="I1850" s="1"/>
      <c r="J1850" s="1"/>
      <c r="K1850" s="1"/>
      <c r="L1850" s="1"/>
      <c r="M1850" s="1"/>
      <c r="N1850" s="1"/>
      <c r="O1850" s="1"/>
      <c r="P1850" s="1"/>
      <c r="Q1850" s="1"/>
      <c r="R1850" s="1"/>
      <c r="S1850" s="1"/>
      <c r="T1850" s="1"/>
    </row>
    <row r="1851" spans="1:20" ht="33.75" customHeight="1">
      <c r="A1851" s="1" t="s">
        <v>5099</v>
      </c>
      <c r="B1851" s="1" t="s">
        <v>4904</v>
      </c>
      <c r="C1851" s="4">
        <v>39974.95208333333</v>
      </c>
      <c r="D1851" s="1" t="s">
        <v>1887</v>
      </c>
      <c r="E1851" s="1"/>
      <c r="F1851" s="2" t="s">
        <v>5101</v>
      </c>
      <c r="G1851" s="1">
        <f ca="1">IFERROR(__xludf.DUMMYFUNCTION("COUNTA(SPLIT(F1851,"" ""))"),24)</f>
        <v>24</v>
      </c>
      <c r="H1851" s="1">
        <v>24</v>
      </c>
      <c r="I1851" s="1"/>
      <c r="J1851" s="1"/>
      <c r="K1851" s="1"/>
      <c r="L1851" s="1"/>
      <c r="M1851" s="1"/>
      <c r="N1851" s="1"/>
      <c r="O1851" s="1"/>
      <c r="P1851" s="1"/>
      <c r="Q1851" s="1"/>
      <c r="R1851" s="1"/>
      <c r="S1851" s="1"/>
      <c r="T1851" s="1"/>
    </row>
    <row r="1852" spans="1:20" ht="33.75" customHeight="1">
      <c r="A1852" s="1" t="s">
        <v>5102</v>
      </c>
      <c r="B1852" s="1" t="s">
        <v>4904</v>
      </c>
      <c r="C1852" s="4">
        <v>39975.362500000003</v>
      </c>
      <c r="D1852" s="1" t="s">
        <v>772</v>
      </c>
      <c r="E1852" s="1"/>
      <c r="F1852" s="2" t="s">
        <v>5103</v>
      </c>
      <c r="G1852" s="1">
        <f ca="1">IFERROR(__xludf.DUMMYFUNCTION("COUNTA(SPLIT(F1852,"" ""))"),115)</f>
        <v>115</v>
      </c>
      <c r="H1852" s="1">
        <v>115</v>
      </c>
      <c r="I1852" s="1"/>
      <c r="J1852" s="1"/>
      <c r="K1852" s="1"/>
      <c r="L1852" s="1"/>
      <c r="M1852" s="1"/>
      <c r="N1852" s="1"/>
      <c r="O1852" s="1"/>
      <c r="P1852" s="1"/>
      <c r="Q1852" s="1"/>
      <c r="R1852" s="1"/>
      <c r="S1852" s="1"/>
      <c r="T1852" s="1"/>
    </row>
    <row r="1853" spans="1:20" ht="33.75" hidden="1" customHeight="1">
      <c r="A1853" s="1" t="s">
        <v>5104</v>
      </c>
      <c r="B1853" s="1" t="s">
        <v>4904</v>
      </c>
      <c r="C1853" s="4">
        <v>39975.459027777775</v>
      </c>
      <c r="D1853" s="1" t="s">
        <v>54</v>
      </c>
      <c r="E1853" s="1" t="s">
        <v>5099</v>
      </c>
      <c r="F1853" s="2" t="s">
        <v>5106</v>
      </c>
      <c r="G1853" s="1">
        <f ca="1">IFERROR(__xludf.DUMMYFUNCTION("COUNTA(SPLIT(F1853,"" ""))"),229)</f>
        <v>229</v>
      </c>
      <c r="H1853" s="1">
        <v>229</v>
      </c>
      <c r="I1853" s="1"/>
      <c r="J1853" s="1"/>
      <c r="K1853" s="1"/>
      <c r="L1853" s="1"/>
      <c r="M1853" s="1"/>
      <c r="N1853" s="1"/>
      <c r="O1853" s="1"/>
      <c r="P1853" s="1"/>
      <c r="Q1853" s="1"/>
      <c r="R1853" s="1"/>
      <c r="S1853" s="1"/>
      <c r="T1853" s="1"/>
    </row>
    <row r="1854" spans="1:20" ht="33.75" customHeight="1">
      <c r="A1854" s="1" t="s">
        <v>5107</v>
      </c>
      <c r="B1854" s="1" t="s">
        <v>4904</v>
      </c>
      <c r="C1854" s="4">
        <v>39975.478472222225</v>
      </c>
      <c r="D1854" s="1" t="s">
        <v>1887</v>
      </c>
      <c r="E1854" s="1"/>
      <c r="F1854" s="2" t="s">
        <v>5108</v>
      </c>
      <c r="G1854" s="1">
        <f ca="1">IFERROR(__xludf.DUMMYFUNCTION("COUNTA(SPLIT(F1854,"" ""))"),42)</f>
        <v>42</v>
      </c>
      <c r="H1854" s="1">
        <v>42</v>
      </c>
      <c r="I1854" s="1"/>
      <c r="J1854" s="1"/>
      <c r="K1854" s="1"/>
      <c r="L1854" s="1"/>
      <c r="M1854" s="1"/>
      <c r="N1854" s="1"/>
      <c r="O1854" s="1"/>
      <c r="P1854" s="1"/>
      <c r="Q1854" s="1"/>
      <c r="R1854" s="1"/>
      <c r="S1854" s="1"/>
      <c r="T1854" s="1"/>
    </row>
    <row r="1855" spans="1:20" ht="33.75" customHeight="1">
      <c r="A1855" s="1" t="s">
        <v>5109</v>
      </c>
      <c r="B1855" s="1" t="s">
        <v>4904</v>
      </c>
      <c r="C1855" s="4">
        <v>39975.527777777781</v>
      </c>
      <c r="D1855" s="1" t="s">
        <v>2893</v>
      </c>
      <c r="E1855" s="1"/>
      <c r="F1855" s="2" t="s">
        <v>5110</v>
      </c>
      <c r="G1855" s="1">
        <f ca="1">IFERROR(__xludf.DUMMYFUNCTION("COUNTA(SPLIT(F1855,"" ""))"),109)</f>
        <v>109</v>
      </c>
      <c r="H1855" s="1">
        <v>109</v>
      </c>
      <c r="I1855" s="1"/>
      <c r="J1855" s="1"/>
      <c r="K1855" s="1"/>
      <c r="L1855" s="1"/>
      <c r="M1855" s="1"/>
      <c r="N1855" s="1"/>
      <c r="O1855" s="1"/>
      <c r="P1855" s="1"/>
      <c r="Q1855" s="1"/>
      <c r="R1855" s="1"/>
      <c r="S1855" s="1"/>
      <c r="T1855" s="1"/>
    </row>
    <row r="1856" spans="1:20" ht="33.75" customHeight="1">
      <c r="A1856" s="1" t="s">
        <v>5111</v>
      </c>
      <c r="B1856" s="1" t="s">
        <v>4904</v>
      </c>
      <c r="C1856" s="4">
        <v>39975.661805555559</v>
      </c>
      <c r="D1856" s="1" t="s">
        <v>54</v>
      </c>
      <c r="E1856" s="1"/>
      <c r="F1856" s="2" t="s">
        <v>5112</v>
      </c>
      <c r="G1856" s="1">
        <f ca="1">IFERROR(__xludf.DUMMYFUNCTION("COUNTA(SPLIT(F1856,"" ""))"),521)</f>
        <v>521</v>
      </c>
      <c r="H1856" s="1">
        <v>521</v>
      </c>
      <c r="I1856" s="1"/>
      <c r="J1856" s="1"/>
      <c r="K1856" s="1"/>
      <c r="L1856" s="1"/>
      <c r="M1856" s="1"/>
      <c r="N1856" s="1"/>
      <c r="O1856" s="1"/>
      <c r="P1856" s="1"/>
      <c r="Q1856" s="1"/>
      <c r="R1856" s="1"/>
      <c r="S1856" s="1"/>
      <c r="T1856" s="1"/>
    </row>
    <row r="1857" spans="1:20" ht="33.75" customHeight="1">
      <c r="A1857" s="1" t="s">
        <v>5113</v>
      </c>
      <c r="B1857" s="1" t="s">
        <v>4904</v>
      </c>
      <c r="C1857" s="4">
        <v>39975.844444444447</v>
      </c>
      <c r="D1857" s="1" t="s">
        <v>1089</v>
      </c>
      <c r="E1857" s="1"/>
      <c r="F1857" s="2" t="s">
        <v>5114</v>
      </c>
      <c r="G1857" s="1">
        <f ca="1">IFERROR(__xludf.DUMMYFUNCTION("COUNTA(SPLIT(F1857,"" ""))"),44)</f>
        <v>44</v>
      </c>
      <c r="H1857" s="1">
        <v>44</v>
      </c>
      <c r="I1857" s="1"/>
      <c r="J1857" s="1"/>
      <c r="K1857" s="1"/>
      <c r="L1857" s="1"/>
      <c r="M1857" s="1"/>
      <c r="N1857" s="1"/>
      <c r="O1857" s="1"/>
      <c r="P1857" s="1"/>
      <c r="Q1857" s="1"/>
      <c r="R1857" s="1"/>
      <c r="S1857" s="1"/>
      <c r="T1857" s="1"/>
    </row>
    <row r="1858" spans="1:20" ht="33.75" customHeight="1">
      <c r="A1858" s="1" t="s">
        <v>5115</v>
      </c>
      <c r="B1858" s="1" t="s">
        <v>4904</v>
      </c>
      <c r="C1858" s="4">
        <v>39975.87222222222</v>
      </c>
      <c r="D1858" s="1" t="s">
        <v>54</v>
      </c>
      <c r="E1858" s="1"/>
      <c r="F1858" s="2" t="s">
        <v>5117</v>
      </c>
      <c r="G1858" s="1">
        <f ca="1">IFERROR(__xludf.DUMMYFUNCTION("COUNTA(SPLIT(F1858,"" ""))"),261)</f>
        <v>261</v>
      </c>
      <c r="H1858" s="1">
        <v>261</v>
      </c>
      <c r="I1858" s="1"/>
      <c r="J1858" s="1"/>
      <c r="K1858" s="1"/>
      <c r="L1858" s="1"/>
      <c r="M1858" s="1"/>
      <c r="N1858" s="1"/>
      <c r="O1858" s="1"/>
      <c r="P1858" s="1"/>
      <c r="Q1858" s="1"/>
      <c r="R1858" s="1"/>
      <c r="S1858" s="1"/>
      <c r="T1858" s="1"/>
    </row>
    <row r="1859" spans="1:20" ht="33.75" customHeight="1">
      <c r="A1859" s="1" t="s">
        <v>5118</v>
      </c>
      <c r="B1859" s="1" t="s">
        <v>4904</v>
      </c>
      <c r="C1859" s="4">
        <v>39975.875</v>
      </c>
      <c r="D1859" s="1" t="s">
        <v>1089</v>
      </c>
      <c r="E1859" s="1"/>
      <c r="F1859" s="2" t="s">
        <v>5119</v>
      </c>
      <c r="G1859" s="1">
        <f ca="1">IFERROR(__xludf.DUMMYFUNCTION("COUNTA(SPLIT(F1859,"" ""))"),92)</f>
        <v>92</v>
      </c>
      <c r="H1859" s="1">
        <v>92</v>
      </c>
      <c r="I1859" s="1"/>
      <c r="J1859" s="1"/>
      <c r="K1859" s="1"/>
      <c r="L1859" s="1"/>
      <c r="M1859" s="1"/>
      <c r="N1859" s="1"/>
      <c r="O1859" s="1"/>
      <c r="P1859" s="1"/>
      <c r="Q1859" s="1"/>
      <c r="R1859" s="1"/>
      <c r="S1859" s="1"/>
      <c r="T1859" s="1"/>
    </row>
    <row r="1860" spans="1:20" ht="33.75" customHeight="1">
      <c r="A1860" s="1" t="s">
        <v>5120</v>
      </c>
      <c r="B1860" s="1" t="s">
        <v>4904</v>
      </c>
      <c r="C1860" s="4">
        <v>39975.884027777778</v>
      </c>
      <c r="D1860" s="1" t="s">
        <v>54</v>
      </c>
      <c r="E1860" s="1"/>
      <c r="F1860" s="2" t="s">
        <v>5123</v>
      </c>
      <c r="G1860" s="1">
        <f ca="1">IFERROR(__xludf.DUMMYFUNCTION("COUNTA(SPLIT(F1860,"" ""))"),227)</f>
        <v>227</v>
      </c>
      <c r="H1860" s="1">
        <v>227</v>
      </c>
      <c r="I1860" s="1"/>
      <c r="J1860" s="1"/>
      <c r="K1860" s="1"/>
      <c r="L1860" s="1"/>
      <c r="M1860" s="1"/>
      <c r="N1860" s="1"/>
      <c r="O1860" s="1"/>
      <c r="P1860" s="1"/>
      <c r="Q1860" s="1"/>
      <c r="R1860" s="1"/>
      <c r="S1860" s="1"/>
      <c r="T1860" s="1"/>
    </row>
    <row r="1861" spans="1:20" ht="33.75" customHeight="1">
      <c r="A1861" s="1" t="s">
        <v>5124</v>
      </c>
      <c r="B1861" s="1" t="s">
        <v>3929</v>
      </c>
      <c r="C1861" s="4">
        <v>39975.888194444444</v>
      </c>
      <c r="D1861" s="1" t="s">
        <v>320</v>
      </c>
      <c r="E1861" s="1"/>
      <c r="F1861" s="2" t="s">
        <v>5125</v>
      </c>
      <c r="G1861" s="1">
        <f ca="1">IFERROR(__xludf.DUMMYFUNCTION("COUNTA(SPLIT(F1861,"" ""))"),262)</f>
        <v>262</v>
      </c>
      <c r="H1861" s="1">
        <v>262</v>
      </c>
      <c r="I1861" s="1"/>
      <c r="J1861" s="1"/>
      <c r="K1861" s="1"/>
      <c r="L1861" s="1"/>
      <c r="M1861" s="1"/>
      <c r="N1861" s="1"/>
      <c r="O1861" s="1"/>
      <c r="P1861" s="1"/>
      <c r="Q1861" s="1"/>
      <c r="R1861" s="1"/>
      <c r="S1861" s="1"/>
      <c r="T1861" s="1"/>
    </row>
    <row r="1862" spans="1:20" ht="33.75" customHeight="1">
      <c r="A1862" s="1" t="s">
        <v>5126</v>
      </c>
      <c r="B1862" s="1" t="s">
        <v>4904</v>
      </c>
      <c r="C1862" s="4">
        <v>39975.888194444444</v>
      </c>
      <c r="D1862" s="1" t="s">
        <v>1089</v>
      </c>
      <c r="E1862" s="1"/>
      <c r="F1862" s="2" t="s">
        <v>5127</v>
      </c>
      <c r="G1862" s="1">
        <f ca="1">IFERROR(__xludf.DUMMYFUNCTION("COUNTA(SPLIT(F1862,"" ""))"),34)</f>
        <v>34</v>
      </c>
      <c r="H1862" s="1">
        <v>34</v>
      </c>
      <c r="I1862" s="1"/>
      <c r="J1862" s="1"/>
      <c r="K1862" s="1"/>
      <c r="L1862" s="1"/>
      <c r="M1862" s="1"/>
      <c r="N1862" s="1"/>
      <c r="O1862" s="1"/>
      <c r="P1862" s="1"/>
      <c r="Q1862" s="1"/>
      <c r="R1862" s="1"/>
      <c r="S1862" s="1"/>
      <c r="T1862" s="1"/>
    </row>
    <row r="1863" spans="1:20" ht="33.75" customHeight="1">
      <c r="A1863" s="1" t="s">
        <v>5128</v>
      </c>
      <c r="B1863" s="1" t="s">
        <v>4904</v>
      </c>
      <c r="C1863" s="4">
        <v>39975.893750000003</v>
      </c>
      <c r="D1863" s="1" t="s">
        <v>54</v>
      </c>
      <c r="E1863" s="1"/>
      <c r="F1863" s="2" t="s">
        <v>5130</v>
      </c>
      <c r="G1863" s="1">
        <f ca="1">IFERROR(__xludf.DUMMYFUNCTION("COUNTA(SPLIT(F1863,"" ""))"),194)</f>
        <v>194</v>
      </c>
      <c r="H1863" s="1">
        <v>194</v>
      </c>
      <c r="I1863" s="1"/>
      <c r="J1863" s="1"/>
      <c r="K1863" s="1"/>
      <c r="L1863" s="1"/>
      <c r="M1863" s="1"/>
      <c r="N1863" s="1"/>
      <c r="O1863" s="1"/>
      <c r="P1863" s="1"/>
      <c r="Q1863" s="1"/>
      <c r="R1863" s="1"/>
      <c r="S1863" s="1"/>
      <c r="T1863" s="1"/>
    </row>
    <row r="1864" spans="1:20" ht="33.75" customHeight="1">
      <c r="A1864" s="1" t="s">
        <v>5131</v>
      </c>
      <c r="B1864" s="1" t="s">
        <v>3929</v>
      </c>
      <c r="C1864" s="4">
        <v>39975.949305555558</v>
      </c>
      <c r="D1864" s="1" t="s">
        <v>320</v>
      </c>
      <c r="E1864" s="1"/>
      <c r="F1864" s="2" t="s">
        <v>5132</v>
      </c>
      <c r="G1864" s="1">
        <f ca="1">IFERROR(__xludf.DUMMYFUNCTION("COUNTA(SPLIT(F1864,"" ""))"),464)</f>
        <v>464</v>
      </c>
      <c r="H1864" s="1">
        <v>464</v>
      </c>
      <c r="I1864" s="1"/>
      <c r="J1864" s="1"/>
      <c r="K1864" s="1"/>
      <c r="L1864" s="1"/>
      <c r="M1864" s="1"/>
      <c r="N1864" s="1"/>
      <c r="O1864" s="1"/>
      <c r="P1864" s="1"/>
      <c r="Q1864" s="1"/>
      <c r="R1864" s="1"/>
      <c r="S1864" s="1"/>
      <c r="T1864" s="1"/>
    </row>
    <row r="1865" spans="1:20" ht="33.75" hidden="1" customHeight="1">
      <c r="A1865" s="1" t="s">
        <v>5133</v>
      </c>
      <c r="B1865" s="1" t="s">
        <v>3929</v>
      </c>
      <c r="C1865" s="4">
        <v>39975.999305555553</v>
      </c>
      <c r="D1865" s="1" t="s">
        <v>14</v>
      </c>
      <c r="E1865" s="1" t="s">
        <v>5131</v>
      </c>
      <c r="F1865" s="2" t="s">
        <v>5134</v>
      </c>
      <c r="G1865" s="1">
        <f ca="1">IFERROR(__xludf.DUMMYFUNCTION("COUNTA(SPLIT(F1865,"" ""))"),45)</f>
        <v>45</v>
      </c>
      <c r="H1865" s="1">
        <v>45</v>
      </c>
      <c r="I1865" s="1"/>
      <c r="J1865" s="1"/>
      <c r="K1865" s="1"/>
      <c r="L1865" s="1"/>
      <c r="M1865" s="1"/>
      <c r="N1865" s="1"/>
      <c r="O1865" s="1"/>
      <c r="P1865" s="1"/>
      <c r="Q1865" s="1"/>
      <c r="R1865" s="1"/>
      <c r="S1865" s="1"/>
      <c r="T1865" s="1"/>
    </row>
    <row r="1866" spans="1:20" ht="33.75" customHeight="1">
      <c r="A1866" s="1" t="s">
        <v>5135</v>
      </c>
      <c r="B1866" s="1" t="s">
        <v>4904</v>
      </c>
      <c r="C1866" s="4">
        <v>39976.177777777775</v>
      </c>
      <c r="D1866" s="1" t="s">
        <v>1887</v>
      </c>
      <c r="E1866" s="1"/>
      <c r="F1866" s="2" t="s">
        <v>5136</v>
      </c>
      <c r="G1866" s="1">
        <f ca="1">IFERROR(__xludf.DUMMYFUNCTION("COUNTA(SPLIT(F1866,"" ""))"),82)</f>
        <v>82</v>
      </c>
      <c r="H1866" s="1">
        <v>82</v>
      </c>
      <c r="I1866" s="1"/>
      <c r="J1866" s="1"/>
      <c r="K1866" s="1"/>
      <c r="L1866" s="1"/>
      <c r="M1866" s="1"/>
      <c r="N1866" s="1"/>
      <c r="O1866" s="1"/>
      <c r="P1866" s="1"/>
      <c r="Q1866" s="1"/>
      <c r="R1866" s="1"/>
      <c r="S1866" s="1"/>
      <c r="T1866" s="1"/>
    </row>
    <row r="1867" spans="1:20" ht="33.75" hidden="1" customHeight="1">
      <c r="A1867" s="1" t="s">
        <v>5137</v>
      </c>
      <c r="B1867" s="1" t="s">
        <v>4904</v>
      </c>
      <c r="C1867" s="4">
        <v>39976.209722222222</v>
      </c>
      <c r="D1867" s="1" t="s">
        <v>1887</v>
      </c>
      <c r="E1867" s="1" t="s">
        <v>5135</v>
      </c>
      <c r="F1867" s="2" t="s">
        <v>5138</v>
      </c>
      <c r="G1867" s="1">
        <f ca="1">IFERROR(__xludf.DUMMYFUNCTION("COUNTA(SPLIT(F1867,"" ""))"),10)</f>
        <v>10</v>
      </c>
      <c r="H1867" s="1">
        <v>10</v>
      </c>
      <c r="I1867" s="1"/>
      <c r="J1867" s="1"/>
      <c r="K1867" s="1"/>
      <c r="L1867" s="1"/>
      <c r="M1867" s="1"/>
      <c r="N1867" s="1"/>
      <c r="O1867" s="1"/>
      <c r="P1867" s="1"/>
      <c r="Q1867" s="1"/>
      <c r="R1867" s="1"/>
      <c r="S1867" s="1"/>
      <c r="T1867" s="1"/>
    </row>
    <row r="1868" spans="1:20" ht="33.75" customHeight="1">
      <c r="A1868" s="1" t="s">
        <v>5139</v>
      </c>
      <c r="B1868" s="1" t="s">
        <v>4904</v>
      </c>
      <c r="C1868" s="4">
        <v>39976.288888888892</v>
      </c>
      <c r="D1868" s="1" t="s">
        <v>1089</v>
      </c>
      <c r="E1868" s="1"/>
      <c r="F1868" s="2" t="s">
        <v>5141</v>
      </c>
      <c r="G1868" s="1">
        <f ca="1">IFERROR(__xludf.DUMMYFUNCTION("COUNTA(SPLIT(F1868,"" ""))"),16)</f>
        <v>16</v>
      </c>
      <c r="H1868" s="1">
        <v>16</v>
      </c>
      <c r="I1868" s="1"/>
      <c r="J1868" s="1"/>
      <c r="K1868" s="1"/>
      <c r="L1868" s="1"/>
      <c r="M1868" s="1"/>
      <c r="N1868" s="1"/>
      <c r="O1868" s="1"/>
      <c r="P1868" s="1"/>
      <c r="Q1868" s="1"/>
      <c r="R1868" s="1"/>
      <c r="S1868" s="1"/>
      <c r="T1868" s="1"/>
    </row>
    <row r="1869" spans="1:20" ht="33.75" hidden="1" customHeight="1">
      <c r="A1869" s="1" t="s">
        <v>5142</v>
      </c>
      <c r="B1869" s="1" t="s">
        <v>3929</v>
      </c>
      <c r="C1869" s="4">
        <v>39976.296527777777</v>
      </c>
      <c r="D1869" s="1" t="s">
        <v>54</v>
      </c>
      <c r="E1869" s="1" t="s">
        <v>5131</v>
      </c>
      <c r="F1869" s="2" t="s">
        <v>5143</v>
      </c>
      <c r="G1869" s="1">
        <f ca="1">IFERROR(__xludf.DUMMYFUNCTION("COUNTA(SPLIT(F1869,"" ""))"),346)</f>
        <v>346</v>
      </c>
      <c r="H1869" s="1">
        <v>346</v>
      </c>
      <c r="I1869" s="1"/>
      <c r="J1869" s="1"/>
      <c r="K1869" s="1"/>
      <c r="L1869" s="1"/>
      <c r="M1869" s="1"/>
      <c r="N1869" s="1"/>
      <c r="O1869" s="1"/>
      <c r="P1869" s="1"/>
      <c r="Q1869" s="1"/>
      <c r="R1869" s="1"/>
      <c r="S1869" s="1"/>
      <c r="T1869" s="1"/>
    </row>
    <row r="1870" spans="1:20" ht="33.75" customHeight="1">
      <c r="A1870" s="1" t="s">
        <v>5144</v>
      </c>
      <c r="B1870" s="1" t="s">
        <v>4904</v>
      </c>
      <c r="C1870" s="4">
        <v>39976.365972222222</v>
      </c>
      <c r="D1870" s="1" t="s">
        <v>54</v>
      </c>
      <c r="E1870" s="1"/>
      <c r="F1870" s="2" t="s">
        <v>5145</v>
      </c>
      <c r="G1870" s="1">
        <f ca="1">IFERROR(__xludf.DUMMYFUNCTION("COUNTA(SPLIT(F1870,"" ""))"),215)</f>
        <v>215</v>
      </c>
      <c r="H1870" s="1">
        <v>215</v>
      </c>
      <c r="I1870" s="1"/>
      <c r="J1870" s="1"/>
      <c r="K1870" s="1"/>
      <c r="L1870" s="1"/>
      <c r="M1870" s="1"/>
      <c r="N1870" s="1"/>
      <c r="O1870" s="1"/>
      <c r="P1870" s="1"/>
      <c r="Q1870" s="1"/>
      <c r="R1870" s="1"/>
      <c r="S1870" s="1"/>
      <c r="T1870" s="1"/>
    </row>
    <row r="1871" spans="1:20" ht="33.75" customHeight="1">
      <c r="A1871" s="1" t="s">
        <v>5146</v>
      </c>
      <c r="B1871" s="1" t="s">
        <v>4904</v>
      </c>
      <c r="C1871" s="4">
        <v>39976.440972222219</v>
      </c>
      <c r="D1871" s="1" t="s">
        <v>772</v>
      </c>
      <c r="E1871" s="1"/>
      <c r="F1871" s="2" t="s">
        <v>5149</v>
      </c>
      <c r="G1871" s="1">
        <f ca="1">IFERROR(__xludf.DUMMYFUNCTION("COUNTA(SPLIT(F1871,"" ""))"),7)</f>
        <v>7</v>
      </c>
      <c r="H1871" s="1">
        <v>7</v>
      </c>
      <c r="I1871" s="1"/>
      <c r="J1871" s="1"/>
      <c r="K1871" s="1"/>
      <c r="L1871" s="1"/>
      <c r="M1871" s="1"/>
      <c r="N1871" s="1"/>
      <c r="O1871" s="1"/>
      <c r="P1871" s="1"/>
      <c r="Q1871" s="1"/>
      <c r="R1871" s="1"/>
      <c r="S1871" s="1"/>
      <c r="T1871" s="1"/>
    </row>
    <row r="1872" spans="1:20" ht="33.75" hidden="1" customHeight="1">
      <c r="A1872" s="1" t="s">
        <v>5150</v>
      </c>
      <c r="B1872" s="1" t="s">
        <v>4904</v>
      </c>
      <c r="C1872" s="4">
        <v>39976.62777777778</v>
      </c>
      <c r="D1872" s="1" t="s">
        <v>1089</v>
      </c>
      <c r="E1872" s="1" t="s">
        <v>5146</v>
      </c>
      <c r="F1872" s="2" t="s">
        <v>5151</v>
      </c>
      <c r="G1872" s="1">
        <f ca="1">IFERROR(__xludf.DUMMYFUNCTION("COUNTA(SPLIT(F1872,"" ""))"),19)</f>
        <v>19</v>
      </c>
      <c r="H1872" s="1">
        <v>19</v>
      </c>
      <c r="I1872" s="1"/>
      <c r="J1872" s="1"/>
      <c r="K1872" s="1"/>
      <c r="L1872" s="1"/>
      <c r="M1872" s="1"/>
      <c r="N1872" s="1"/>
      <c r="O1872" s="1"/>
      <c r="P1872" s="1"/>
      <c r="Q1872" s="1"/>
      <c r="R1872" s="1"/>
      <c r="S1872" s="1"/>
      <c r="T1872" s="1"/>
    </row>
    <row r="1873" spans="1:20" ht="33.75" customHeight="1">
      <c r="A1873" s="1" t="s">
        <v>5152</v>
      </c>
      <c r="B1873" s="1" t="s">
        <v>4904</v>
      </c>
      <c r="C1873" s="4">
        <v>39976.651388888888</v>
      </c>
      <c r="D1873" s="1" t="s">
        <v>54</v>
      </c>
      <c r="E1873" s="1"/>
      <c r="F1873" s="2" t="s">
        <v>5155</v>
      </c>
      <c r="G1873" s="1">
        <f ca="1">IFERROR(__xludf.DUMMYFUNCTION("COUNTA(SPLIT(F1873,"" ""))"),147)</f>
        <v>147</v>
      </c>
      <c r="H1873" s="1">
        <v>147</v>
      </c>
      <c r="I1873" s="1"/>
      <c r="J1873" s="1"/>
      <c r="K1873" s="1"/>
      <c r="L1873" s="1"/>
      <c r="M1873" s="1"/>
      <c r="N1873" s="1"/>
      <c r="O1873" s="1"/>
      <c r="P1873" s="1"/>
      <c r="Q1873" s="1"/>
      <c r="R1873" s="1"/>
      <c r="S1873" s="1"/>
      <c r="T1873" s="1"/>
    </row>
    <row r="1874" spans="1:20" ht="33.75" customHeight="1">
      <c r="A1874" s="1" t="s">
        <v>5156</v>
      </c>
      <c r="B1874" s="1" t="s">
        <v>4904</v>
      </c>
      <c r="C1874" s="4">
        <v>39976.720833333333</v>
      </c>
      <c r="D1874" s="1" t="s">
        <v>54</v>
      </c>
      <c r="E1874" s="1"/>
      <c r="F1874" s="2" t="s">
        <v>5157</v>
      </c>
      <c r="G1874" s="1">
        <f ca="1">IFERROR(__xludf.DUMMYFUNCTION("COUNTA(SPLIT(F1874,"" ""))"),31)</f>
        <v>31</v>
      </c>
      <c r="H1874" s="1">
        <v>31</v>
      </c>
      <c r="I1874" s="1"/>
      <c r="J1874" s="1"/>
      <c r="K1874" s="1"/>
      <c r="L1874" s="1"/>
      <c r="M1874" s="1"/>
      <c r="N1874" s="1"/>
      <c r="O1874" s="1"/>
      <c r="P1874" s="1"/>
      <c r="Q1874" s="1"/>
      <c r="R1874" s="1"/>
      <c r="S1874" s="1"/>
      <c r="T1874" s="1"/>
    </row>
    <row r="1875" spans="1:20" ht="33.75" customHeight="1">
      <c r="A1875" s="1" t="s">
        <v>5158</v>
      </c>
      <c r="B1875" s="1" t="s">
        <v>4904</v>
      </c>
      <c r="C1875" s="4">
        <v>39976.734027777777</v>
      </c>
      <c r="D1875" s="1" t="s">
        <v>54</v>
      </c>
      <c r="E1875" s="1"/>
      <c r="F1875" s="2" t="s">
        <v>5160</v>
      </c>
      <c r="G1875" s="1">
        <f ca="1">IFERROR(__xludf.DUMMYFUNCTION("COUNTA(SPLIT(F1875,"" ""))"),179)</f>
        <v>179</v>
      </c>
      <c r="H1875" s="1">
        <v>179</v>
      </c>
      <c r="I1875" s="1"/>
      <c r="J1875" s="1"/>
      <c r="K1875" s="1"/>
      <c r="L1875" s="1"/>
      <c r="M1875" s="1"/>
      <c r="N1875" s="1"/>
      <c r="O1875" s="1"/>
      <c r="P1875" s="1"/>
      <c r="Q1875" s="1"/>
      <c r="R1875" s="1"/>
      <c r="S1875" s="1"/>
      <c r="T1875" s="1"/>
    </row>
    <row r="1876" spans="1:20" ht="33.75" hidden="1" customHeight="1">
      <c r="A1876" s="1" t="s">
        <v>5161</v>
      </c>
      <c r="B1876" s="1" t="s">
        <v>4904</v>
      </c>
      <c r="C1876" s="4">
        <v>39976.839583333334</v>
      </c>
      <c r="D1876" s="1" t="s">
        <v>772</v>
      </c>
      <c r="E1876" s="1" t="s">
        <v>5162</v>
      </c>
      <c r="F1876" s="2" t="s">
        <v>5163</v>
      </c>
      <c r="G1876" s="1">
        <f ca="1">IFERROR(__xludf.DUMMYFUNCTION("COUNTA(SPLIT(F1876,"" ""))"),50)</f>
        <v>50</v>
      </c>
      <c r="H1876" s="1">
        <v>50</v>
      </c>
      <c r="I1876" s="1"/>
      <c r="J1876" s="1"/>
      <c r="K1876" s="1"/>
      <c r="L1876" s="1"/>
      <c r="M1876" s="1"/>
      <c r="N1876" s="1"/>
      <c r="O1876" s="1"/>
      <c r="P1876" s="1"/>
      <c r="Q1876" s="1"/>
      <c r="R1876" s="1"/>
      <c r="S1876" s="1"/>
      <c r="T1876" s="1"/>
    </row>
    <row r="1877" spans="1:20" ht="33.75" customHeight="1">
      <c r="A1877" s="1" t="s">
        <v>5164</v>
      </c>
      <c r="B1877" s="1" t="s">
        <v>4904</v>
      </c>
      <c r="C1877" s="4">
        <v>39976.866666666669</v>
      </c>
      <c r="D1877" s="1" t="s">
        <v>772</v>
      </c>
      <c r="E1877" s="1"/>
      <c r="F1877" s="2" t="s">
        <v>5166</v>
      </c>
      <c r="G1877" s="1">
        <f ca="1">IFERROR(__xludf.DUMMYFUNCTION("COUNTA(SPLIT(F1877,"" ""))"),84)</f>
        <v>84</v>
      </c>
      <c r="H1877" s="1">
        <v>84</v>
      </c>
      <c r="I1877" s="1"/>
      <c r="J1877" s="1"/>
      <c r="K1877" s="1"/>
      <c r="L1877" s="1"/>
      <c r="M1877" s="1"/>
      <c r="N1877" s="1"/>
      <c r="O1877" s="1"/>
      <c r="P1877" s="1"/>
      <c r="Q1877" s="1"/>
      <c r="R1877" s="1"/>
      <c r="S1877" s="1"/>
      <c r="T1877" s="1"/>
    </row>
    <row r="1878" spans="1:20" ht="33.75" customHeight="1">
      <c r="A1878" s="1" t="s">
        <v>5167</v>
      </c>
      <c r="B1878" s="1" t="s">
        <v>3929</v>
      </c>
      <c r="C1878" s="4">
        <v>39976.875</v>
      </c>
      <c r="D1878" s="1" t="s">
        <v>320</v>
      </c>
      <c r="E1878" s="1"/>
      <c r="F1878" s="2" t="s">
        <v>5168</v>
      </c>
      <c r="G1878" s="1">
        <f ca="1">IFERROR(__xludf.DUMMYFUNCTION("COUNTA(SPLIT(F1878,"" ""))"),12)</f>
        <v>12</v>
      </c>
      <c r="H1878" s="1">
        <v>12</v>
      </c>
      <c r="I1878" s="1"/>
      <c r="J1878" s="1"/>
      <c r="K1878" s="1"/>
      <c r="L1878" s="1"/>
      <c r="M1878" s="1"/>
      <c r="N1878" s="1"/>
      <c r="O1878" s="1"/>
      <c r="P1878" s="1"/>
      <c r="Q1878" s="1"/>
      <c r="R1878" s="1"/>
      <c r="S1878" s="1"/>
      <c r="T1878" s="1"/>
    </row>
    <row r="1879" spans="1:20" ht="33.75" customHeight="1">
      <c r="A1879" s="1" t="s">
        <v>5169</v>
      </c>
      <c r="B1879" s="1" t="s">
        <v>4904</v>
      </c>
      <c r="C1879" s="4">
        <v>39977.116666666669</v>
      </c>
      <c r="D1879" s="1" t="s">
        <v>1887</v>
      </c>
      <c r="E1879" s="1"/>
      <c r="F1879" s="2" t="s">
        <v>5171</v>
      </c>
      <c r="G1879" s="1">
        <f ca="1">IFERROR(__xludf.DUMMYFUNCTION("COUNTA(SPLIT(F1879,"" ""))"),70)</f>
        <v>70</v>
      </c>
      <c r="H1879" s="1">
        <v>70</v>
      </c>
      <c r="I1879" s="1"/>
      <c r="J1879" s="1"/>
      <c r="K1879" s="1"/>
      <c r="L1879" s="1"/>
      <c r="M1879" s="1"/>
      <c r="N1879" s="1"/>
      <c r="O1879" s="1"/>
      <c r="P1879" s="1"/>
      <c r="Q1879" s="1"/>
      <c r="R1879" s="1"/>
      <c r="S1879" s="1"/>
      <c r="T1879" s="1"/>
    </row>
    <row r="1880" spans="1:20" ht="33.75" customHeight="1">
      <c r="A1880" s="1" t="s">
        <v>5172</v>
      </c>
      <c r="B1880" s="1" t="s">
        <v>4904</v>
      </c>
      <c r="C1880" s="4">
        <v>39977.179166666669</v>
      </c>
      <c r="D1880" s="1" t="s">
        <v>1089</v>
      </c>
      <c r="E1880" s="1"/>
      <c r="F1880" s="2" t="s">
        <v>5173</v>
      </c>
      <c r="G1880" s="1">
        <f ca="1">IFERROR(__xludf.DUMMYFUNCTION("COUNTA(SPLIT(F1880,"" ""))"),14)</f>
        <v>14</v>
      </c>
      <c r="H1880" s="1">
        <v>14</v>
      </c>
      <c r="I1880" s="1"/>
      <c r="J1880" s="1"/>
      <c r="K1880" s="1"/>
      <c r="L1880" s="1"/>
      <c r="M1880" s="1"/>
      <c r="N1880" s="1"/>
      <c r="O1880" s="1"/>
      <c r="P1880" s="1"/>
      <c r="Q1880" s="1"/>
      <c r="R1880" s="1"/>
      <c r="S1880" s="1"/>
      <c r="T1880" s="1"/>
    </row>
    <row r="1881" spans="1:20" ht="33.75" customHeight="1">
      <c r="A1881" s="1" t="s">
        <v>5174</v>
      </c>
      <c r="B1881" s="1" t="s">
        <v>4904</v>
      </c>
      <c r="C1881" s="4">
        <v>39977.335416666669</v>
      </c>
      <c r="D1881" s="1" t="s">
        <v>54</v>
      </c>
      <c r="E1881" s="1"/>
      <c r="F1881" s="2" t="s">
        <v>5175</v>
      </c>
      <c r="G1881" s="1">
        <f ca="1">IFERROR(__xludf.DUMMYFUNCTION("COUNTA(SPLIT(F1881,"" ""))"),73)</f>
        <v>73</v>
      </c>
      <c r="H1881" s="1">
        <v>73</v>
      </c>
      <c r="I1881" s="1"/>
      <c r="J1881" s="1"/>
      <c r="K1881" s="1"/>
      <c r="L1881" s="1"/>
      <c r="M1881" s="1"/>
      <c r="N1881" s="1"/>
      <c r="O1881" s="1"/>
      <c r="P1881" s="1"/>
      <c r="Q1881" s="1"/>
      <c r="R1881" s="1"/>
      <c r="S1881" s="1"/>
      <c r="T1881" s="1"/>
    </row>
    <row r="1882" spans="1:20" ht="33.75" customHeight="1">
      <c r="A1882" s="1" t="s">
        <v>5176</v>
      </c>
      <c r="B1882" s="1" t="s">
        <v>4904</v>
      </c>
      <c r="C1882" s="4">
        <v>39977.347916666666</v>
      </c>
      <c r="D1882" s="1" t="s">
        <v>54</v>
      </c>
      <c r="E1882" s="1"/>
      <c r="F1882" s="2" t="s">
        <v>5178</v>
      </c>
      <c r="G1882" s="1">
        <f ca="1">IFERROR(__xludf.DUMMYFUNCTION("COUNTA(SPLIT(F1882,"" ""))"),38)</f>
        <v>38</v>
      </c>
      <c r="H1882" s="1">
        <v>38</v>
      </c>
      <c r="I1882" s="1"/>
      <c r="J1882" s="1"/>
      <c r="K1882" s="1"/>
      <c r="L1882" s="1"/>
      <c r="M1882" s="1"/>
      <c r="N1882" s="1"/>
      <c r="O1882" s="1"/>
      <c r="P1882" s="1"/>
      <c r="Q1882" s="1"/>
      <c r="R1882" s="1"/>
      <c r="S1882" s="1"/>
      <c r="T1882" s="1"/>
    </row>
    <row r="1883" spans="1:20" ht="33.75" customHeight="1">
      <c r="A1883" s="1" t="s">
        <v>5179</v>
      </c>
      <c r="B1883" s="1" t="s">
        <v>4904</v>
      </c>
      <c r="C1883" s="4">
        <v>39977.356944444444</v>
      </c>
      <c r="D1883" s="1" t="s">
        <v>1089</v>
      </c>
      <c r="E1883" s="1"/>
      <c r="F1883" s="2" t="s">
        <v>5182</v>
      </c>
      <c r="G1883" s="1">
        <f ca="1">IFERROR(__xludf.DUMMYFUNCTION("COUNTA(SPLIT(F1883,"" ""))"),111)</f>
        <v>111</v>
      </c>
      <c r="H1883" s="1">
        <v>111</v>
      </c>
      <c r="I1883" s="1"/>
      <c r="J1883" s="1"/>
      <c r="K1883" s="1"/>
      <c r="L1883" s="1"/>
      <c r="M1883" s="1"/>
      <c r="N1883" s="1"/>
      <c r="O1883" s="1"/>
      <c r="P1883" s="1"/>
      <c r="Q1883" s="1"/>
      <c r="R1883" s="1"/>
      <c r="S1883" s="1"/>
      <c r="T1883" s="1"/>
    </row>
    <row r="1884" spans="1:20" ht="33.75" customHeight="1">
      <c r="A1884" s="1" t="s">
        <v>5183</v>
      </c>
      <c r="B1884" s="1" t="s">
        <v>4904</v>
      </c>
      <c r="C1884" s="4">
        <v>39977.395833333336</v>
      </c>
      <c r="D1884" s="1" t="s">
        <v>54</v>
      </c>
      <c r="E1884" s="1"/>
      <c r="F1884" s="2" t="s">
        <v>5186</v>
      </c>
      <c r="G1884" s="1">
        <f ca="1">IFERROR(__xludf.DUMMYFUNCTION("COUNTA(SPLIT(F1884,"" ""))"),87)</f>
        <v>87</v>
      </c>
      <c r="H1884" s="1">
        <v>87</v>
      </c>
      <c r="I1884" s="1"/>
      <c r="J1884" s="1"/>
      <c r="K1884" s="1"/>
      <c r="L1884" s="1"/>
      <c r="M1884" s="1"/>
      <c r="N1884" s="1"/>
      <c r="O1884" s="1"/>
      <c r="P1884" s="1"/>
      <c r="Q1884" s="1"/>
      <c r="R1884" s="1"/>
      <c r="S1884" s="1"/>
      <c r="T1884" s="1"/>
    </row>
    <row r="1885" spans="1:20" ht="33.75" hidden="1" customHeight="1">
      <c r="A1885" s="1" t="s">
        <v>5187</v>
      </c>
      <c r="B1885" s="1" t="s">
        <v>4904</v>
      </c>
      <c r="C1885" s="4">
        <v>39977.40625</v>
      </c>
      <c r="D1885" s="1" t="s">
        <v>54</v>
      </c>
      <c r="E1885" s="1" t="s">
        <v>5183</v>
      </c>
      <c r="F1885" s="2" t="s">
        <v>5188</v>
      </c>
      <c r="G1885" s="1">
        <f ca="1">IFERROR(__xludf.DUMMYFUNCTION("COUNTA(SPLIT(F1885,"" ""))"),41)</f>
        <v>41</v>
      </c>
      <c r="H1885" s="1">
        <v>41</v>
      </c>
      <c r="I1885" s="1"/>
      <c r="J1885" s="1"/>
      <c r="K1885" s="1"/>
      <c r="L1885" s="1"/>
      <c r="M1885" s="1"/>
      <c r="N1885" s="1"/>
      <c r="O1885" s="1"/>
      <c r="P1885" s="1"/>
      <c r="Q1885" s="1"/>
      <c r="R1885" s="1"/>
      <c r="S1885" s="1"/>
      <c r="T1885" s="1"/>
    </row>
    <row r="1886" spans="1:20" ht="33.75" hidden="1" customHeight="1">
      <c r="A1886" s="1" t="s">
        <v>5189</v>
      </c>
      <c r="B1886" s="1" t="s">
        <v>4904</v>
      </c>
      <c r="C1886" s="4">
        <v>39977.423611111109</v>
      </c>
      <c r="D1886" s="1" t="s">
        <v>54</v>
      </c>
      <c r="E1886" s="1" t="s">
        <v>5183</v>
      </c>
      <c r="F1886" s="2" t="s">
        <v>5190</v>
      </c>
      <c r="G1886" s="1">
        <f ca="1">IFERROR(__xludf.DUMMYFUNCTION("COUNTA(SPLIT(F1886,"" ""))"),68)</f>
        <v>68</v>
      </c>
      <c r="H1886" s="1">
        <v>68</v>
      </c>
      <c r="I1886" s="1"/>
      <c r="J1886" s="1"/>
      <c r="K1886" s="1"/>
      <c r="L1886" s="1"/>
      <c r="M1886" s="1"/>
      <c r="N1886" s="1"/>
      <c r="O1886" s="1"/>
      <c r="P1886" s="1"/>
      <c r="Q1886" s="1"/>
      <c r="R1886" s="1"/>
      <c r="S1886" s="1"/>
      <c r="T1886" s="1"/>
    </row>
    <row r="1887" spans="1:20" ht="33.75" customHeight="1">
      <c r="A1887" s="1" t="s">
        <v>5191</v>
      </c>
      <c r="B1887" s="1" t="s">
        <v>4904</v>
      </c>
      <c r="C1887" s="4">
        <v>39977.434027777781</v>
      </c>
      <c r="D1887" s="1" t="s">
        <v>54</v>
      </c>
      <c r="E1887" s="1"/>
      <c r="F1887" s="2" t="s">
        <v>5192</v>
      </c>
      <c r="G1887" s="1">
        <f ca="1">IFERROR(__xludf.DUMMYFUNCTION("COUNTA(SPLIT(F1887,"" ""))"),142)</f>
        <v>142</v>
      </c>
      <c r="H1887" s="1">
        <v>142</v>
      </c>
      <c r="I1887" s="1"/>
      <c r="J1887" s="1"/>
      <c r="K1887" s="1"/>
      <c r="L1887" s="1"/>
      <c r="M1887" s="1"/>
      <c r="N1887" s="1"/>
      <c r="O1887" s="1"/>
      <c r="P1887" s="1"/>
      <c r="Q1887" s="1"/>
      <c r="R1887" s="1"/>
      <c r="S1887" s="1"/>
      <c r="T1887" s="1"/>
    </row>
    <row r="1888" spans="1:20" ht="33.75" customHeight="1">
      <c r="A1888" s="1" t="s">
        <v>5193</v>
      </c>
      <c r="B1888" s="1" t="s">
        <v>4904</v>
      </c>
      <c r="C1888" s="4">
        <v>39977.443055555559</v>
      </c>
      <c r="D1888" s="1" t="s">
        <v>54</v>
      </c>
      <c r="E1888" s="1"/>
      <c r="F1888" s="2" t="s">
        <v>5195</v>
      </c>
      <c r="G1888" s="1">
        <f ca="1">IFERROR(__xludf.DUMMYFUNCTION("COUNTA(SPLIT(F1888,"" ""))"),71)</f>
        <v>71</v>
      </c>
      <c r="H1888" s="1">
        <v>71</v>
      </c>
      <c r="I1888" s="1"/>
      <c r="J1888" s="1"/>
      <c r="K1888" s="1"/>
      <c r="L1888" s="1"/>
      <c r="M1888" s="1"/>
      <c r="N1888" s="1"/>
      <c r="O1888" s="1"/>
      <c r="P1888" s="1"/>
      <c r="Q1888" s="1"/>
      <c r="R1888" s="1"/>
      <c r="S1888" s="1"/>
      <c r="T1888" s="1"/>
    </row>
    <row r="1889" spans="1:20" ht="33.75" customHeight="1">
      <c r="A1889" s="1" t="s">
        <v>5196</v>
      </c>
      <c r="B1889" s="1" t="s">
        <v>4904</v>
      </c>
      <c r="C1889" s="4">
        <v>39977.448611111111</v>
      </c>
      <c r="D1889" s="1" t="s">
        <v>54</v>
      </c>
      <c r="E1889" s="1"/>
      <c r="F1889" s="2" t="s">
        <v>5197</v>
      </c>
      <c r="G1889" s="1">
        <f ca="1">IFERROR(__xludf.DUMMYFUNCTION("COUNTA(SPLIT(F1889,"" ""))"),28)</f>
        <v>28</v>
      </c>
      <c r="H1889" s="1">
        <v>28</v>
      </c>
      <c r="I1889" s="1"/>
      <c r="J1889" s="1"/>
      <c r="K1889" s="1"/>
      <c r="L1889" s="1"/>
      <c r="M1889" s="1"/>
      <c r="N1889" s="1"/>
      <c r="O1889" s="1"/>
      <c r="P1889" s="1"/>
      <c r="Q1889" s="1"/>
      <c r="R1889" s="1"/>
      <c r="S1889" s="1"/>
      <c r="T1889" s="1"/>
    </row>
    <row r="1890" spans="1:20" ht="33.75" customHeight="1">
      <c r="A1890" s="1" t="s">
        <v>5198</v>
      </c>
      <c r="B1890" s="1" t="s">
        <v>3929</v>
      </c>
      <c r="C1890" s="4">
        <v>39977.515277777777</v>
      </c>
      <c r="D1890" s="1" t="s">
        <v>14</v>
      </c>
      <c r="E1890" s="1"/>
      <c r="F1890" s="2" t="s">
        <v>5201</v>
      </c>
      <c r="G1890" s="1">
        <f ca="1">IFERROR(__xludf.DUMMYFUNCTION("COUNTA(SPLIT(F1890,"" ""))"),271)</f>
        <v>271</v>
      </c>
      <c r="H1890" s="1">
        <v>271</v>
      </c>
      <c r="I1890" s="1"/>
      <c r="J1890" s="1"/>
      <c r="K1890" s="1"/>
      <c r="L1890" s="1"/>
      <c r="M1890" s="1"/>
      <c r="N1890" s="1"/>
      <c r="O1890" s="1"/>
      <c r="P1890" s="1"/>
      <c r="Q1890" s="1"/>
      <c r="R1890" s="1"/>
      <c r="S1890" s="1"/>
      <c r="T1890" s="1"/>
    </row>
    <row r="1891" spans="1:20" ht="33.75" customHeight="1">
      <c r="A1891" s="1" t="s">
        <v>5202</v>
      </c>
      <c r="B1891" s="1" t="s">
        <v>4904</v>
      </c>
      <c r="C1891" s="4">
        <v>39977.527083333334</v>
      </c>
      <c r="D1891" s="1" t="s">
        <v>54</v>
      </c>
      <c r="E1891" s="1"/>
      <c r="F1891" s="2" t="s">
        <v>5205</v>
      </c>
      <c r="G1891" s="1">
        <f ca="1">IFERROR(__xludf.DUMMYFUNCTION("COUNTA(SPLIT(F1891,"" ""))"),98)</f>
        <v>98</v>
      </c>
      <c r="H1891" s="1">
        <v>98</v>
      </c>
      <c r="I1891" s="1"/>
      <c r="J1891" s="1"/>
      <c r="K1891" s="1"/>
      <c r="L1891" s="1"/>
      <c r="M1891" s="1"/>
      <c r="N1891" s="1"/>
      <c r="O1891" s="1"/>
      <c r="P1891" s="1"/>
      <c r="Q1891" s="1"/>
      <c r="R1891" s="1"/>
      <c r="S1891" s="1"/>
      <c r="T1891" s="1"/>
    </row>
    <row r="1892" spans="1:20" ht="33.75" customHeight="1">
      <c r="A1892" s="1" t="s">
        <v>5206</v>
      </c>
      <c r="B1892" s="1" t="s">
        <v>4904</v>
      </c>
      <c r="C1892" s="4">
        <v>39977.706250000003</v>
      </c>
      <c r="D1892" s="1" t="s">
        <v>772</v>
      </c>
      <c r="E1892" s="1"/>
      <c r="F1892" s="2" t="s">
        <v>5207</v>
      </c>
      <c r="G1892" s="1">
        <f ca="1">IFERROR(__xludf.DUMMYFUNCTION("COUNTA(SPLIT(F1892,"" ""))"),57)</f>
        <v>57</v>
      </c>
      <c r="H1892" s="1">
        <v>57</v>
      </c>
      <c r="I1892" s="1"/>
      <c r="J1892" s="1"/>
      <c r="K1892" s="1"/>
      <c r="L1892" s="1"/>
      <c r="M1892" s="1"/>
      <c r="N1892" s="1"/>
      <c r="O1892" s="1"/>
      <c r="P1892" s="1"/>
      <c r="Q1892" s="1"/>
      <c r="R1892" s="1"/>
      <c r="S1892" s="1"/>
      <c r="T1892" s="1"/>
    </row>
    <row r="1893" spans="1:20" ht="33.75" customHeight="1">
      <c r="A1893" s="1" t="s">
        <v>5208</v>
      </c>
      <c r="B1893" s="1" t="s">
        <v>4904</v>
      </c>
      <c r="C1893" s="4">
        <v>39977.84097222222</v>
      </c>
      <c r="D1893" s="1" t="s">
        <v>54</v>
      </c>
      <c r="E1893" s="1"/>
      <c r="F1893" s="2" t="s">
        <v>5210</v>
      </c>
      <c r="G1893" s="1">
        <f ca="1">IFERROR(__xludf.DUMMYFUNCTION("COUNTA(SPLIT(F1893,"" ""))"),404)</f>
        <v>404</v>
      </c>
      <c r="H1893" s="1">
        <v>404</v>
      </c>
      <c r="I1893" s="1"/>
      <c r="J1893" s="1"/>
      <c r="K1893" s="1"/>
      <c r="L1893" s="1"/>
      <c r="M1893" s="1"/>
      <c r="N1893" s="1"/>
      <c r="O1893" s="1"/>
      <c r="P1893" s="1"/>
      <c r="Q1893" s="1"/>
      <c r="R1893" s="1"/>
      <c r="S1893" s="1"/>
      <c r="T1893" s="1"/>
    </row>
    <row r="1894" spans="1:20" ht="33.75" customHeight="1">
      <c r="A1894" s="1" t="s">
        <v>5211</v>
      </c>
      <c r="B1894" s="1" t="s">
        <v>4904</v>
      </c>
      <c r="C1894" s="4">
        <v>39978.029861111114</v>
      </c>
      <c r="D1894" s="1" t="s">
        <v>1089</v>
      </c>
      <c r="E1894" s="1"/>
      <c r="F1894" s="2" t="s">
        <v>5212</v>
      </c>
      <c r="G1894" s="1">
        <f ca="1">IFERROR(__xludf.DUMMYFUNCTION("COUNTA(SPLIT(F1894,"" ""))"),61)</f>
        <v>61</v>
      </c>
      <c r="H1894" s="1">
        <v>61</v>
      </c>
      <c r="I1894" s="1"/>
      <c r="J1894" s="1"/>
      <c r="K1894" s="1"/>
      <c r="L1894" s="1"/>
      <c r="M1894" s="1"/>
      <c r="N1894" s="1"/>
      <c r="O1894" s="1"/>
      <c r="P1894" s="1"/>
      <c r="Q1894" s="1"/>
      <c r="R1894" s="1"/>
      <c r="S1894" s="1"/>
      <c r="T1894" s="1"/>
    </row>
    <row r="1895" spans="1:20" ht="33.75" hidden="1" customHeight="1">
      <c r="A1895" s="1" t="s">
        <v>5213</v>
      </c>
      <c r="B1895" s="1" t="s">
        <v>4904</v>
      </c>
      <c r="C1895" s="4">
        <v>39978.043055555558</v>
      </c>
      <c r="D1895" s="1" t="s">
        <v>54</v>
      </c>
      <c r="E1895" s="1" t="s">
        <v>5211</v>
      </c>
      <c r="F1895" s="2" t="s">
        <v>5214</v>
      </c>
      <c r="G1895" s="1">
        <f ca="1">IFERROR(__xludf.DUMMYFUNCTION("COUNTA(SPLIT(F1895,"" ""))"),184)</f>
        <v>184</v>
      </c>
      <c r="H1895" s="1">
        <v>184</v>
      </c>
      <c r="I1895" s="1"/>
      <c r="J1895" s="1"/>
      <c r="K1895" s="1"/>
      <c r="L1895" s="1"/>
      <c r="M1895" s="1"/>
      <c r="N1895" s="1"/>
      <c r="O1895" s="1"/>
      <c r="P1895" s="1"/>
      <c r="Q1895" s="1"/>
      <c r="R1895" s="1"/>
      <c r="S1895" s="1"/>
      <c r="T1895" s="1"/>
    </row>
    <row r="1896" spans="1:20" ht="33.75" customHeight="1">
      <c r="A1896" s="1" t="s">
        <v>5215</v>
      </c>
      <c r="B1896" s="1" t="s">
        <v>4904</v>
      </c>
      <c r="C1896" s="4">
        <v>39978.058333333334</v>
      </c>
      <c r="D1896" s="1" t="s">
        <v>54</v>
      </c>
      <c r="E1896" s="1"/>
      <c r="F1896" s="2" t="s">
        <v>5216</v>
      </c>
      <c r="G1896" s="1">
        <f ca="1">IFERROR(__xludf.DUMMYFUNCTION("COUNTA(SPLIT(F1896,"" ""))"),31)</f>
        <v>31</v>
      </c>
      <c r="H1896" s="1">
        <v>31</v>
      </c>
      <c r="I1896" s="1"/>
      <c r="J1896" s="1"/>
      <c r="K1896" s="1"/>
      <c r="L1896" s="1"/>
      <c r="M1896" s="1"/>
      <c r="N1896" s="1"/>
      <c r="O1896" s="1"/>
      <c r="P1896" s="1"/>
      <c r="Q1896" s="1"/>
      <c r="R1896" s="1"/>
      <c r="S1896" s="1"/>
      <c r="T1896" s="1"/>
    </row>
    <row r="1897" spans="1:20" ht="33.75" customHeight="1">
      <c r="A1897" s="1" t="s">
        <v>12</v>
      </c>
      <c r="B1897" s="1" t="s">
        <v>5217</v>
      </c>
      <c r="C1897" s="4">
        <v>39978.390648148146</v>
      </c>
      <c r="D1897" s="1" t="s">
        <v>175</v>
      </c>
      <c r="E1897" s="1"/>
      <c r="F1897" s="2" t="s">
        <v>5218</v>
      </c>
      <c r="G1897" s="1">
        <f ca="1">IFERROR(__xludf.DUMMYFUNCTION("COUNTA(SPLIT(F1897,"" ""))"),159)</f>
        <v>159</v>
      </c>
      <c r="H1897" s="1">
        <v>159</v>
      </c>
      <c r="I1897" s="1"/>
      <c r="J1897" s="1"/>
      <c r="K1897" s="1"/>
      <c r="L1897" s="1"/>
      <c r="M1897" s="1"/>
      <c r="N1897" s="1"/>
      <c r="O1897" s="1"/>
      <c r="P1897" s="1"/>
      <c r="Q1897" s="1"/>
      <c r="R1897" s="1"/>
      <c r="S1897" s="1"/>
      <c r="T1897" s="1"/>
    </row>
    <row r="1898" spans="1:20" ht="33.75" customHeight="1">
      <c r="A1898" s="1" t="s">
        <v>5219</v>
      </c>
      <c r="B1898" s="1" t="s">
        <v>5217</v>
      </c>
      <c r="C1898" s="4">
        <v>39978.465277777781</v>
      </c>
      <c r="D1898" s="1" t="s">
        <v>772</v>
      </c>
      <c r="E1898" s="1"/>
      <c r="F1898" s="2" t="s">
        <v>5220</v>
      </c>
      <c r="G1898" s="1">
        <f ca="1">IFERROR(__xludf.DUMMYFUNCTION("COUNTA(SPLIT(F1898,"" ""))"),471)</f>
        <v>471</v>
      </c>
      <c r="H1898" s="1">
        <v>471</v>
      </c>
      <c r="I1898" s="1"/>
      <c r="J1898" s="1"/>
      <c r="K1898" s="1"/>
      <c r="L1898" s="1"/>
      <c r="M1898" s="1"/>
      <c r="N1898" s="1"/>
      <c r="O1898" s="1"/>
      <c r="P1898" s="1"/>
      <c r="Q1898" s="1"/>
      <c r="R1898" s="1"/>
      <c r="S1898" s="1"/>
      <c r="T1898" s="1"/>
    </row>
    <row r="1899" spans="1:20" ht="33.75" hidden="1" customHeight="1">
      <c r="A1899" s="1" t="s">
        <v>5221</v>
      </c>
      <c r="B1899" s="1" t="s">
        <v>5217</v>
      </c>
      <c r="C1899" s="4">
        <v>39978.521527777775</v>
      </c>
      <c r="D1899" s="1" t="s">
        <v>772</v>
      </c>
      <c r="E1899" s="1" t="s">
        <v>5213</v>
      </c>
      <c r="F1899" s="2" t="s">
        <v>5223</v>
      </c>
      <c r="G1899" s="1">
        <f ca="1">IFERROR(__xludf.DUMMYFUNCTION("COUNTA(SPLIT(F1899,"" ""))"),70)</f>
        <v>70</v>
      </c>
      <c r="H1899" s="1">
        <v>70</v>
      </c>
      <c r="I1899" s="1"/>
      <c r="J1899" s="1"/>
      <c r="K1899" s="1"/>
      <c r="L1899" s="1"/>
      <c r="M1899" s="1"/>
      <c r="N1899" s="1"/>
      <c r="O1899" s="1"/>
      <c r="P1899" s="1"/>
      <c r="Q1899" s="1"/>
      <c r="R1899" s="1"/>
      <c r="S1899" s="1"/>
      <c r="T1899" s="1"/>
    </row>
    <row r="1900" spans="1:20" ht="33.75" hidden="1" customHeight="1">
      <c r="A1900" s="1" t="s">
        <v>5224</v>
      </c>
      <c r="B1900" s="1" t="s">
        <v>5217</v>
      </c>
      <c r="C1900" s="4">
        <v>39978.634722222225</v>
      </c>
      <c r="D1900" s="1" t="s">
        <v>54</v>
      </c>
      <c r="E1900" s="1" t="s">
        <v>5225</v>
      </c>
      <c r="F1900" s="2" t="s">
        <v>5226</v>
      </c>
      <c r="G1900" s="1">
        <f ca="1">IFERROR(__xludf.DUMMYFUNCTION("COUNTA(SPLIT(F1900,"" ""))"),72)</f>
        <v>72</v>
      </c>
      <c r="H1900" s="1">
        <v>72</v>
      </c>
      <c r="I1900" s="1"/>
      <c r="J1900" s="1"/>
      <c r="K1900" s="1"/>
      <c r="L1900" s="1"/>
      <c r="M1900" s="1"/>
      <c r="N1900" s="1"/>
      <c r="O1900" s="1"/>
      <c r="P1900" s="1"/>
      <c r="Q1900" s="1"/>
      <c r="R1900" s="1"/>
      <c r="S1900" s="1"/>
      <c r="T1900" s="1"/>
    </row>
    <row r="1901" spans="1:20" ht="33.75" hidden="1" customHeight="1">
      <c r="A1901" s="1" t="s">
        <v>5227</v>
      </c>
      <c r="B1901" s="1" t="s">
        <v>5217</v>
      </c>
      <c r="C1901" s="4">
        <v>39978.675000000003</v>
      </c>
      <c r="D1901" s="1" t="s">
        <v>772</v>
      </c>
      <c r="E1901" s="1" t="s">
        <v>5224</v>
      </c>
      <c r="F1901" s="2" t="s">
        <v>5228</v>
      </c>
      <c r="G1901" s="1">
        <f ca="1">IFERROR(__xludf.DUMMYFUNCTION("COUNTA(SPLIT(F1901,"" ""))"),49)</f>
        <v>49</v>
      </c>
      <c r="H1901" s="1">
        <v>49</v>
      </c>
      <c r="I1901" s="1"/>
      <c r="J1901" s="1"/>
      <c r="K1901" s="1"/>
      <c r="L1901" s="1"/>
      <c r="M1901" s="1"/>
      <c r="N1901" s="1"/>
      <c r="O1901" s="1"/>
      <c r="P1901" s="1"/>
      <c r="Q1901" s="1"/>
      <c r="R1901" s="1"/>
      <c r="S1901" s="1"/>
      <c r="T1901" s="1"/>
    </row>
    <row r="1902" spans="1:20" ht="33.75" hidden="1" customHeight="1">
      <c r="A1902" s="1" t="s">
        <v>5229</v>
      </c>
      <c r="B1902" s="1" t="s">
        <v>5217</v>
      </c>
      <c r="C1902" s="4">
        <v>39978.699305555558</v>
      </c>
      <c r="D1902" s="1" t="s">
        <v>54</v>
      </c>
      <c r="E1902" s="1" t="s">
        <v>5227</v>
      </c>
      <c r="F1902" s="2" t="s">
        <v>5230</v>
      </c>
      <c r="G1902" s="1">
        <f ca="1">IFERROR(__xludf.DUMMYFUNCTION("COUNTA(SPLIT(F1902,"" ""))"),54)</f>
        <v>54</v>
      </c>
      <c r="H1902" s="1">
        <v>54</v>
      </c>
      <c r="I1902" s="1"/>
      <c r="J1902" s="1"/>
      <c r="K1902" s="1"/>
      <c r="L1902" s="1"/>
      <c r="M1902" s="1"/>
      <c r="N1902" s="1"/>
      <c r="O1902" s="1"/>
      <c r="P1902" s="1"/>
      <c r="Q1902" s="1"/>
      <c r="R1902" s="1"/>
      <c r="S1902" s="1"/>
      <c r="T1902" s="1"/>
    </row>
    <row r="1903" spans="1:20" ht="33.75" customHeight="1">
      <c r="A1903" s="1" t="s">
        <v>5231</v>
      </c>
      <c r="B1903" s="1" t="s">
        <v>5217</v>
      </c>
      <c r="C1903" s="4">
        <v>39978.737500000003</v>
      </c>
      <c r="D1903" s="1" t="s">
        <v>772</v>
      </c>
      <c r="E1903" s="1"/>
      <c r="F1903" s="2" t="s">
        <v>5232</v>
      </c>
      <c r="G1903" s="1">
        <f ca="1">IFERROR(__xludf.DUMMYFUNCTION("COUNTA(SPLIT(F1903,"" ""))"),54)</f>
        <v>54</v>
      </c>
      <c r="H1903" s="1">
        <v>54</v>
      </c>
      <c r="I1903" s="1"/>
      <c r="J1903" s="1"/>
      <c r="K1903" s="1"/>
      <c r="L1903" s="1"/>
      <c r="M1903" s="1"/>
      <c r="N1903" s="1"/>
      <c r="O1903" s="1"/>
      <c r="P1903" s="1"/>
      <c r="Q1903" s="1"/>
      <c r="R1903" s="1"/>
      <c r="S1903" s="1"/>
      <c r="T1903" s="1"/>
    </row>
    <row r="1904" spans="1:20" ht="33.75" hidden="1" customHeight="1">
      <c r="A1904" s="1" t="s">
        <v>5233</v>
      </c>
      <c r="B1904" s="1" t="s">
        <v>5217</v>
      </c>
      <c r="C1904" s="4">
        <v>39978.800000000003</v>
      </c>
      <c r="D1904" s="1" t="s">
        <v>1089</v>
      </c>
      <c r="E1904" s="1" t="s">
        <v>5234</v>
      </c>
      <c r="F1904" s="2" t="s">
        <v>5236</v>
      </c>
      <c r="G1904" s="1">
        <f ca="1">IFERROR(__xludf.DUMMYFUNCTION("COUNTA(SPLIT(F1904,"" ""))"),76)</f>
        <v>76</v>
      </c>
      <c r="H1904" s="1">
        <v>76</v>
      </c>
      <c r="I1904" s="1"/>
      <c r="J1904" s="1"/>
      <c r="K1904" s="1"/>
      <c r="L1904" s="1"/>
      <c r="M1904" s="1"/>
      <c r="N1904" s="1"/>
      <c r="O1904" s="1"/>
      <c r="P1904" s="1"/>
      <c r="Q1904" s="1"/>
      <c r="R1904" s="1"/>
      <c r="S1904" s="1"/>
      <c r="T1904" s="1"/>
    </row>
    <row r="1905" spans="1:20" ht="33.75" hidden="1" customHeight="1">
      <c r="A1905" s="1" t="s">
        <v>5237</v>
      </c>
      <c r="B1905" s="1" t="s">
        <v>5217</v>
      </c>
      <c r="C1905" s="4">
        <v>39978.895833333336</v>
      </c>
      <c r="D1905" s="1" t="s">
        <v>54</v>
      </c>
      <c r="E1905" s="1" t="s">
        <v>5238</v>
      </c>
      <c r="F1905" s="2" t="s">
        <v>5241</v>
      </c>
      <c r="G1905" s="1">
        <f ca="1">IFERROR(__xludf.DUMMYFUNCTION("COUNTA(SPLIT(F1905,"" ""))"),182)</f>
        <v>182</v>
      </c>
      <c r="H1905" s="1">
        <v>182</v>
      </c>
      <c r="I1905" s="1"/>
      <c r="J1905" s="1"/>
      <c r="K1905" s="1"/>
      <c r="L1905" s="1"/>
      <c r="M1905" s="1"/>
      <c r="N1905" s="1"/>
      <c r="O1905" s="1"/>
      <c r="P1905" s="1"/>
      <c r="Q1905" s="1"/>
      <c r="R1905" s="1"/>
      <c r="S1905" s="1"/>
      <c r="T1905" s="1"/>
    </row>
    <row r="1906" spans="1:20" ht="33.75" customHeight="1">
      <c r="A1906" s="1" t="s">
        <v>5242</v>
      </c>
      <c r="B1906" s="1" t="s">
        <v>5217</v>
      </c>
      <c r="C1906" s="4">
        <v>39979.507638888892</v>
      </c>
      <c r="D1906" s="1" t="s">
        <v>772</v>
      </c>
      <c r="E1906" s="1"/>
      <c r="F1906" s="2" t="s">
        <v>5245</v>
      </c>
      <c r="G1906" s="1">
        <f ca="1">IFERROR(__xludf.DUMMYFUNCTION("COUNTA(SPLIT(F1906,"" ""))"),256)</f>
        <v>256</v>
      </c>
      <c r="H1906" s="1">
        <v>256</v>
      </c>
      <c r="I1906" s="1"/>
      <c r="J1906" s="1"/>
      <c r="K1906" s="1"/>
      <c r="L1906" s="1"/>
      <c r="M1906" s="1"/>
      <c r="N1906" s="1"/>
      <c r="O1906" s="1"/>
      <c r="P1906" s="1"/>
      <c r="Q1906" s="1"/>
      <c r="R1906" s="1"/>
      <c r="S1906" s="1"/>
      <c r="T1906" s="1"/>
    </row>
    <row r="1907" spans="1:20" ht="33.75" hidden="1" customHeight="1">
      <c r="A1907" s="1" t="s">
        <v>5246</v>
      </c>
      <c r="B1907" s="1" t="s">
        <v>5217</v>
      </c>
      <c r="C1907" s="4">
        <v>39979.509027777778</v>
      </c>
      <c r="D1907" s="1" t="s">
        <v>772</v>
      </c>
      <c r="E1907" s="1" t="s">
        <v>5242</v>
      </c>
      <c r="F1907" s="2" t="s">
        <v>5248</v>
      </c>
      <c r="G1907" s="1">
        <f ca="1">IFERROR(__xludf.DUMMYFUNCTION("COUNTA(SPLIT(F1907,"" ""))"),279)</f>
        <v>279</v>
      </c>
      <c r="H1907" s="1">
        <v>279</v>
      </c>
      <c r="I1907" s="1"/>
      <c r="J1907" s="1"/>
      <c r="K1907" s="1"/>
      <c r="L1907" s="1"/>
      <c r="M1907" s="1"/>
      <c r="N1907" s="1"/>
      <c r="O1907" s="1"/>
      <c r="P1907" s="1"/>
      <c r="Q1907" s="1"/>
      <c r="R1907" s="1"/>
      <c r="S1907" s="1"/>
      <c r="T1907" s="1"/>
    </row>
    <row r="1908" spans="1:20" ht="33.75" hidden="1" customHeight="1">
      <c r="A1908" s="1" t="s">
        <v>5249</v>
      </c>
      <c r="B1908" s="1" t="s">
        <v>5217</v>
      </c>
      <c r="C1908" s="4">
        <v>39979.509722222225</v>
      </c>
      <c r="D1908" s="1" t="s">
        <v>772</v>
      </c>
      <c r="E1908" s="1" t="s">
        <v>5242</v>
      </c>
      <c r="F1908" s="2" t="s">
        <v>5251</v>
      </c>
      <c r="G1908" s="1">
        <f ca="1">IFERROR(__xludf.DUMMYFUNCTION("COUNTA(SPLIT(F1908,"" ""))"),272)</f>
        <v>272</v>
      </c>
      <c r="H1908" s="1">
        <v>272</v>
      </c>
      <c r="I1908" s="1"/>
      <c r="J1908" s="1"/>
      <c r="K1908" s="1"/>
      <c r="L1908" s="1"/>
      <c r="M1908" s="1"/>
      <c r="N1908" s="1"/>
      <c r="O1908" s="1"/>
      <c r="P1908" s="1"/>
      <c r="Q1908" s="1"/>
      <c r="R1908" s="1"/>
      <c r="S1908" s="1"/>
      <c r="T1908" s="1"/>
    </row>
    <row r="1909" spans="1:20" ht="33.75" customHeight="1">
      <c r="A1909" s="1" t="s">
        <v>5252</v>
      </c>
      <c r="B1909" s="1" t="s">
        <v>5217</v>
      </c>
      <c r="C1909" s="4">
        <v>39979.522916666669</v>
      </c>
      <c r="D1909" s="1" t="s">
        <v>1887</v>
      </c>
      <c r="E1909" s="1"/>
      <c r="F1909" s="2" t="s">
        <v>5253</v>
      </c>
      <c r="G1909" s="1">
        <f ca="1">IFERROR(__xludf.DUMMYFUNCTION("COUNTA(SPLIT(F1909,"" ""))"),50)</f>
        <v>50</v>
      </c>
      <c r="H1909" s="1">
        <v>50</v>
      </c>
      <c r="I1909" s="1"/>
      <c r="J1909" s="1"/>
      <c r="K1909" s="1"/>
      <c r="L1909" s="1"/>
      <c r="M1909" s="1"/>
      <c r="N1909" s="1"/>
      <c r="O1909" s="1"/>
      <c r="P1909" s="1"/>
      <c r="Q1909" s="1"/>
      <c r="R1909" s="1"/>
      <c r="S1909" s="1"/>
      <c r="T1909" s="1"/>
    </row>
    <row r="1910" spans="1:20" ht="33.75" customHeight="1">
      <c r="A1910" s="1" t="s">
        <v>5254</v>
      </c>
      <c r="B1910" s="1" t="s">
        <v>5217</v>
      </c>
      <c r="C1910" s="4">
        <v>39979.89166666667</v>
      </c>
      <c r="D1910" s="1" t="s">
        <v>5255</v>
      </c>
      <c r="E1910" s="1"/>
      <c r="F1910" s="2" t="s">
        <v>5257</v>
      </c>
      <c r="G1910" s="1">
        <f ca="1">IFERROR(__xludf.DUMMYFUNCTION("COUNTA(SPLIT(F1910,"" ""))"),12)</f>
        <v>12</v>
      </c>
      <c r="H1910" s="1">
        <v>12</v>
      </c>
      <c r="I1910" s="1"/>
      <c r="J1910" s="1"/>
      <c r="K1910" s="1"/>
      <c r="L1910" s="1"/>
      <c r="M1910" s="1"/>
      <c r="N1910" s="1"/>
      <c r="O1910" s="1"/>
      <c r="P1910" s="1"/>
      <c r="Q1910" s="1"/>
      <c r="R1910" s="1"/>
      <c r="S1910" s="1"/>
      <c r="T1910" s="1"/>
    </row>
    <row r="1911" spans="1:20" ht="33.75" hidden="1" customHeight="1">
      <c r="A1911" s="1" t="s">
        <v>5258</v>
      </c>
      <c r="B1911" s="1" t="s">
        <v>5217</v>
      </c>
      <c r="C1911" s="4">
        <v>39979.94027777778</v>
      </c>
      <c r="D1911" s="1" t="s">
        <v>54</v>
      </c>
      <c r="E1911" s="1" t="s">
        <v>5259</v>
      </c>
      <c r="F1911" s="2" t="s">
        <v>5260</v>
      </c>
      <c r="G1911" s="1">
        <f ca="1">IFERROR(__xludf.DUMMYFUNCTION("COUNTA(SPLIT(F1911,"" ""))"),383)</f>
        <v>383</v>
      </c>
      <c r="H1911" s="1">
        <v>383</v>
      </c>
      <c r="I1911" s="1"/>
      <c r="J1911" s="1"/>
      <c r="K1911" s="1"/>
      <c r="L1911" s="1"/>
      <c r="M1911" s="1"/>
      <c r="N1911" s="1"/>
      <c r="O1911" s="1"/>
      <c r="P1911" s="1"/>
      <c r="Q1911" s="1"/>
      <c r="R1911" s="1"/>
      <c r="S1911" s="1"/>
      <c r="T1911" s="1"/>
    </row>
    <row r="1912" spans="1:20" ht="33.75" customHeight="1">
      <c r="A1912" s="1" t="s">
        <v>5261</v>
      </c>
      <c r="B1912" s="1" t="s">
        <v>5217</v>
      </c>
      <c r="C1912" s="4">
        <v>39980.057638888888</v>
      </c>
      <c r="D1912" s="1" t="s">
        <v>1887</v>
      </c>
      <c r="E1912" s="1"/>
      <c r="F1912" s="2" t="s">
        <v>5262</v>
      </c>
      <c r="G1912" s="1">
        <f ca="1">IFERROR(__xludf.DUMMYFUNCTION("COUNTA(SPLIT(F1912,"" ""))"),61)</f>
        <v>61</v>
      </c>
      <c r="H1912" s="1">
        <v>61</v>
      </c>
      <c r="I1912" s="1"/>
      <c r="J1912" s="1"/>
      <c r="K1912" s="1"/>
      <c r="L1912" s="1"/>
      <c r="M1912" s="1"/>
      <c r="N1912" s="1"/>
      <c r="O1912" s="1"/>
      <c r="P1912" s="1"/>
      <c r="Q1912" s="1"/>
      <c r="R1912" s="1"/>
      <c r="S1912" s="1"/>
      <c r="T1912" s="1"/>
    </row>
    <row r="1913" spans="1:20" ht="33.75" hidden="1" customHeight="1">
      <c r="A1913" s="1" t="s">
        <v>5263</v>
      </c>
      <c r="B1913" s="1" t="s">
        <v>5217</v>
      </c>
      <c r="C1913" s="4">
        <v>39980.09652777778</v>
      </c>
      <c r="D1913" s="1" t="s">
        <v>1089</v>
      </c>
      <c r="E1913" s="1" t="s">
        <v>5264</v>
      </c>
      <c r="F1913" s="2" t="s">
        <v>5265</v>
      </c>
      <c r="G1913" s="1">
        <f ca="1">IFERROR(__xludf.DUMMYFUNCTION("COUNTA(SPLIT(F1913,"" ""))"),34)</f>
        <v>34</v>
      </c>
      <c r="H1913" s="1">
        <v>34</v>
      </c>
      <c r="I1913" s="1"/>
      <c r="J1913" s="1"/>
      <c r="K1913" s="1"/>
      <c r="L1913" s="1"/>
      <c r="M1913" s="1"/>
      <c r="N1913" s="1"/>
      <c r="O1913" s="1"/>
      <c r="P1913" s="1"/>
      <c r="Q1913" s="1"/>
      <c r="R1913" s="1"/>
      <c r="S1913" s="1"/>
      <c r="T1913" s="1"/>
    </row>
    <row r="1914" spans="1:20" ht="33.75" customHeight="1">
      <c r="A1914" s="1" t="s">
        <v>5266</v>
      </c>
      <c r="B1914" s="1" t="s">
        <v>5217</v>
      </c>
      <c r="C1914" s="4">
        <v>39980.130555555559</v>
      </c>
      <c r="D1914" s="1" t="s">
        <v>1089</v>
      </c>
      <c r="E1914" s="1"/>
      <c r="F1914" s="2" t="s">
        <v>5268</v>
      </c>
      <c r="G1914" s="1">
        <f ca="1">IFERROR(__xludf.DUMMYFUNCTION("COUNTA(SPLIT(F1914,"" ""))"),11)</f>
        <v>11</v>
      </c>
      <c r="H1914" s="1">
        <v>11</v>
      </c>
      <c r="I1914" s="1"/>
      <c r="J1914" s="1"/>
      <c r="K1914" s="1"/>
      <c r="L1914" s="1"/>
      <c r="M1914" s="1"/>
      <c r="N1914" s="1"/>
      <c r="O1914" s="1"/>
      <c r="P1914" s="1"/>
      <c r="Q1914" s="1"/>
      <c r="R1914" s="1"/>
      <c r="S1914" s="1"/>
      <c r="T1914" s="1"/>
    </row>
    <row r="1915" spans="1:20" ht="33.75" hidden="1" customHeight="1">
      <c r="A1915" s="1" t="s">
        <v>5269</v>
      </c>
      <c r="B1915" s="1" t="s">
        <v>5217</v>
      </c>
      <c r="C1915" s="4">
        <v>39980.177083333336</v>
      </c>
      <c r="D1915" s="1" t="s">
        <v>1768</v>
      </c>
      <c r="E1915" s="1" t="s">
        <v>5266</v>
      </c>
      <c r="F1915" s="2" t="s">
        <v>5271</v>
      </c>
      <c r="G1915" s="1">
        <f ca="1">IFERROR(__xludf.DUMMYFUNCTION("COUNTA(SPLIT(F1915,"" ""))"),61)</f>
        <v>61</v>
      </c>
      <c r="H1915" s="1">
        <v>61</v>
      </c>
      <c r="I1915" s="1"/>
      <c r="J1915" s="1"/>
      <c r="K1915" s="1"/>
      <c r="L1915" s="1"/>
      <c r="M1915" s="1"/>
      <c r="N1915" s="1"/>
      <c r="O1915" s="1"/>
      <c r="P1915" s="1"/>
      <c r="Q1915" s="1"/>
      <c r="R1915" s="1"/>
      <c r="S1915" s="1"/>
      <c r="T1915" s="1"/>
    </row>
    <row r="1916" spans="1:20" ht="33.75" customHeight="1">
      <c r="A1916" s="1" t="s">
        <v>5272</v>
      </c>
      <c r="B1916" s="1" t="s">
        <v>5217</v>
      </c>
      <c r="C1916" s="4">
        <v>39980.265972222223</v>
      </c>
      <c r="D1916" s="1" t="s">
        <v>2893</v>
      </c>
      <c r="E1916" s="1"/>
      <c r="F1916" s="2" t="s">
        <v>5274</v>
      </c>
      <c r="G1916" s="1">
        <f ca="1">IFERROR(__xludf.DUMMYFUNCTION("COUNTA(SPLIT(F1916,"" ""))"),39)</f>
        <v>39</v>
      </c>
      <c r="H1916" s="1">
        <v>39</v>
      </c>
      <c r="I1916" s="1"/>
      <c r="J1916" s="1"/>
      <c r="K1916" s="1"/>
      <c r="L1916" s="1"/>
      <c r="M1916" s="1"/>
      <c r="N1916" s="1"/>
      <c r="O1916" s="1"/>
      <c r="P1916" s="1"/>
      <c r="Q1916" s="1"/>
      <c r="R1916" s="1"/>
      <c r="S1916" s="1"/>
      <c r="T1916" s="1"/>
    </row>
    <row r="1917" spans="1:20" ht="33.75" customHeight="1">
      <c r="A1917" s="1" t="s">
        <v>5275</v>
      </c>
      <c r="B1917" s="1" t="s">
        <v>5217</v>
      </c>
      <c r="C1917" s="4">
        <v>39980.273611111108</v>
      </c>
      <c r="D1917" s="1" t="s">
        <v>54</v>
      </c>
      <c r="E1917" s="1"/>
      <c r="F1917" s="2" t="s">
        <v>5278</v>
      </c>
      <c r="G1917" s="1">
        <f ca="1">IFERROR(__xludf.DUMMYFUNCTION("COUNTA(SPLIT(F1917,"" ""))"),520)</f>
        <v>520</v>
      </c>
      <c r="H1917" s="1">
        <v>520</v>
      </c>
      <c r="I1917" s="1"/>
      <c r="J1917" s="1"/>
      <c r="K1917" s="1"/>
      <c r="L1917" s="1"/>
      <c r="M1917" s="1"/>
      <c r="N1917" s="1"/>
      <c r="O1917" s="1"/>
      <c r="P1917" s="1"/>
      <c r="Q1917" s="1"/>
      <c r="R1917" s="1"/>
      <c r="S1917" s="1"/>
      <c r="T1917" s="1"/>
    </row>
    <row r="1918" spans="1:20" ht="33.75" customHeight="1">
      <c r="A1918" s="1" t="s">
        <v>5279</v>
      </c>
      <c r="B1918" s="1" t="s">
        <v>5217</v>
      </c>
      <c r="C1918" s="4">
        <v>39980.27847222222</v>
      </c>
      <c r="D1918" s="1" t="s">
        <v>54</v>
      </c>
      <c r="E1918" s="1"/>
      <c r="F1918" s="2" t="s">
        <v>5280</v>
      </c>
      <c r="G1918" s="1">
        <f ca="1">IFERROR(__xludf.DUMMYFUNCTION("COUNTA(SPLIT(F1918,"" ""))"),131)</f>
        <v>131</v>
      </c>
      <c r="H1918" s="1">
        <v>131</v>
      </c>
      <c r="I1918" s="1"/>
      <c r="J1918" s="1"/>
      <c r="K1918" s="1"/>
      <c r="L1918" s="1"/>
      <c r="M1918" s="1"/>
      <c r="N1918" s="1"/>
      <c r="O1918" s="1"/>
      <c r="P1918" s="1"/>
      <c r="Q1918" s="1"/>
      <c r="R1918" s="1"/>
      <c r="S1918" s="1"/>
      <c r="T1918" s="1"/>
    </row>
    <row r="1919" spans="1:20" ht="33.75" customHeight="1">
      <c r="A1919" s="1" t="s">
        <v>5281</v>
      </c>
      <c r="B1919" s="1" t="s">
        <v>5217</v>
      </c>
      <c r="C1919" s="4">
        <v>39980.287499999999</v>
      </c>
      <c r="D1919" s="1" t="s">
        <v>54</v>
      </c>
      <c r="E1919" s="1"/>
      <c r="F1919" s="2" t="s">
        <v>5284</v>
      </c>
      <c r="G1919" s="1">
        <f ca="1">IFERROR(__xludf.DUMMYFUNCTION("COUNTA(SPLIT(F1919,"" ""))"),92)</f>
        <v>92</v>
      </c>
      <c r="H1919" s="1">
        <v>92</v>
      </c>
      <c r="I1919" s="1"/>
      <c r="J1919" s="1"/>
      <c r="K1919" s="1"/>
      <c r="L1919" s="1"/>
      <c r="M1919" s="1"/>
      <c r="N1919" s="1"/>
      <c r="O1919" s="1"/>
      <c r="P1919" s="1"/>
      <c r="Q1919" s="1"/>
      <c r="R1919" s="1"/>
      <c r="S1919" s="1"/>
      <c r="T1919" s="1"/>
    </row>
    <row r="1920" spans="1:20" ht="33.75" customHeight="1">
      <c r="A1920" s="1" t="s">
        <v>5285</v>
      </c>
      <c r="B1920" s="1" t="s">
        <v>5217</v>
      </c>
      <c r="C1920" s="4">
        <v>39980.335416666669</v>
      </c>
      <c r="D1920" s="1" t="s">
        <v>1887</v>
      </c>
      <c r="E1920" s="1"/>
      <c r="F1920" s="2" t="s">
        <v>5287</v>
      </c>
      <c r="G1920" s="1">
        <f ca="1">IFERROR(__xludf.DUMMYFUNCTION("COUNTA(SPLIT(F1920,"" ""))"),60)</f>
        <v>60</v>
      </c>
      <c r="H1920" s="1">
        <v>60</v>
      </c>
      <c r="I1920" s="1"/>
      <c r="J1920" s="1"/>
      <c r="K1920" s="1"/>
      <c r="L1920" s="1"/>
      <c r="M1920" s="1"/>
      <c r="N1920" s="1"/>
      <c r="O1920" s="1"/>
      <c r="P1920" s="1"/>
      <c r="Q1920" s="1"/>
      <c r="R1920" s="1"/>
      <c r="S1920" s="1"/>
      <c r="T1920" s="1"/>
    </row>
    <row r="1921" spans="1:20" ht="33.75" customHeight="1">
      <c r="A1921" s="1" t="s">
        <v>5288</v>
      </c>
      <c r="B1921" s="1" t="s">
        <v>5217</v>
      </c>
      <c r="C1921" s="4">
        <v>39980.355555555558</v>
      </c>
      <c r="D1921" s="1" t="s">
        <v>2893</v>
      </c>
      <c r="E1921" s="1"/>
      <c r="F1921" s="2" t="s">
        <v>5289</v>
      </c>
      <c r="G1921" s="1">
        <f ca="1">IFERROR(__xludf.DUMMYFUNCTION("COUNTA(SPLIT(F1921,"" ""))"),19)</f>
        <v>19</v>
      </c>
      <c r="H1921" s="1">
        <v>19</v>
      </c>
      <c r="I1921" s="1"/>
      <c r="J1921" s="1"/>
      <c r="K1921" s="1"/>
      <c r="L1921" s="1"/>
      <c r="M1921" s="1"/>
      <c r="N1921" s="1"/>
      <c r="O1921" s="1"/>
      <c r="P1921" s="1"/>
      <c r="Q1921" s="1"/>
      <c r="R1921" s="1"/>
      <c r="S1921" s="1"/>
      <c r="T1921" s="1"/>
    </row>
    <row r="1922" spans="1:20" ht="33.75" customHeight="1">
      <c r="A1922" s="1" t="s">
        <v>5290</v>
      </c>
      <c r="B1922" s="1" t="s">
        <v>5217</v>
      </c>
      <c r="C1922" s="4">
        <v>39980.436111111114</v>
      </c>
      <c r="D1922" s="1" t="s">
        <v>1089</v>
      </c>
      <c r="E1922" s="1"/>
      <c r="F1922" s="2" t="s">
        <v>5292</v>
      </c>
      <c r="G1922" s="1">
        <f ca="1">IFERROR(__xludf.DUMMYFUNCTION("COUNTA(SPLIT(F1922,"" ""))"),16)</f>
        <v>16</v>
      </c>
      <c r="H1922" s="1">
        <v>16</v>
      </c>
      <c r="I1922" s="1"/>
      <c r="J1922" s="1"/>
      <c r="K1922" s="1"/>
      <c r="L1922" s="1"/>
      <c r="M1922" s="1"/>
      <c r="N1922" s="1"/>
      <c r="O1922" s="1"/>
      <c r="P1922" s="1"/>
      <c r="Q1922" s="1"/>
      <c r="R1922" s="1"/>
      <c r="S1922" s="1"/>
      <c r="T1922" s="1"/>
    </row>
    <row r="1923" spans="1:20" ht="33.75" customHeight="1">
      <c r="A1923" s="1" t="s">
        <v>5293</v>
      </c>
      <c r="B1923" s="1" t="s">
        <v>5217</v>
      </c>
      <c r="C1923" s="4">
        <v>39980.478472222225</v>
      </c>
      <c r="D1923" s="1" t="s">
        <v>1089</v>
      </c>
      <c r="E1923" s="1"/>
      <c r="F1923" s="2" t="s">
        <v>5295</v>
      </c>
      <c r="G1923" s="1">
        <f ca="1">IFERROR(__xludf.DUMMYFUNCTION("COUNTA(SPLIT(F1923,"" ""))"),87)</f>
        <v>87</v>
      </c>
      <c r="H1923" s="1">
        <v>87</v>
      </c>
      <c r="I1923" s="1"/>
      <c r="J1923" s="1"/>
      <c r="K1923" s="1"/>
      <c r="L1923" s="1"/>
      <c r="M1923" s="1"/>
      <c r="N1923" s="1"/>
      <c r="O1923" s="1"/>
      <c r="P1923" s="1"/>
      <c r="Q1923" s="1"/>
      <c r="R1923" s="1"/>
      <c r="S1923" s="1"/>
      <c r="T1923" s="1"/>
    </row>
    <row r="1924" spans="1:20" ht="33.75" hidden="1" customHeight="1">
      <c r="A1924" s="1" t="s">
        <v>5296</v>
      </c>
      <c r="B1924" s="1" t="s">
        <v>5217</v>
      </c>
      <c r="C1924" s="4">
        <v>39980.489583333336</v>
      </c>
      <c r="D1924" s="1" t="s">
        <v>54</v>
      </c>
      <c r="E1924" s="1" t="s">
        <v>5293</v>
      </c>
      <c r="F1924" s="2" t="s">
        <v>5298</v>
      </c>
      <c r="G1924" s="1">
        <f ca="1">IFERROR(__xludf.DUMMYFUNCTION("COUNTA(SPLIT(F1924,"" ""))"),251)</f>
        <v>251</v>
      </c>
      <c r="H1924" s="1">
        <v>251</v>
      </c>
      <c r="I1924" s="1"/>
      <c r="J1924" s="1"/>
      <c r="K1924" s="1"/>
      <c r="L1924" s="1"/>
      <c r="M1924" s="1"/>
      <c r="N1924" s="1"/>
      <c r="O1924" s="1"/>
      <c r="P1924" s="1"/>
      <c r="Q1924" s="1"/>
      <c r="R1924" s="1"/>
      <c r="S1924" s="1"/>
      <c r="T1924" s="1"/>
    </row>
    <row r="1925" spans="1:20" ht="33.75" hidden="1" customHeight="1">
      <c r="A1925" s="1" t="s">
        <v>5299</v>
      </c>
      <c r="B1925" s="1" t="s">
        <v>5217</v>
      </c>
      <c r="C1925" s="4">
        <v>39980.492361111108</v>
      </c>
      <c r="D1925" s="1" t="s">
        <v>54</v>
      </c>
      <c r="E1925" s="1" t="s">
        <v>5288</v>
      </c>
      <c r="F1925" s="2" t="s">
        <v>5301</v>
      </c>
      <c r="G1925" s="1">
        <f ca="1">IFERROR(__xludf.DUMMYFUNCTION("COUNTA(SPLIT(F1925,"" ""))"),127)</f>
        <v>127</v>
      </c>
      <c r="H1925" s="1">
        <v>127</v>
      </c>
      <c r="I1925" s="1"/>
      <c r="J1925" s="1"/>
      <c r="K1925" s="1"/>
      <c r="L1925" s="1"/>
      <c r="M1925" s="1"/>
      <c r="N1925" s="1"/>
      <c r="O1925" s="1"/>
      <c r="P1925" s="1"/>
      <c r="Q1925" s="1"/>
      <c r="R1925" s="1"/>
      <c r="S1925" s="1"/>
      <c r="T1925" s="1"/>
    </row>
    <row r="1926" spans="1:20" ht="33.75" customHeight="1">
      <c r="A1926" s="1" t="s">
        <v>5302</v>
      </c>
      <c r="B1926" s="1" t="s">
        <v>5217</v>
      </c>
      <c r="C1926" s="4">
        <v>39980.503472222219</v>
      </c>
      <c r="D1926" s="1" t="s">
        <v>1887</v>
      </c>
      <c r="E1926" s="1"/>
      <c r="F1926" s="2" t="s">
        <v>5304</v>
      </c>
      <c r="G1926" s="1">
        <f ca="1">IFERROR(__xludf.DUMMYFUNCTION("COUNTA(SPLIT(F1926,"" ""))"),59)</f>
        <v>59</v>
      </c>
      <c r="H1926" s="1">
        <v>59</v>
      </c>
      <c r="I1926" s="1"/>
      <c r="J1926" s="1"/>
      <c r="K1926" s="1"/>
      <c r="L1926" s="1"/>
      <c r="M1926" s="1"/>
      <c r="N1926" s="1"/>
      <c r="O1926" s="1"/>
      <c r="P1926" s="1"/>
      <c r="Q1926" s="1"/>
      <c r="R1926" s="1"/>
      <c r="S1926" s="1"/>
      <c r="T1926" s="1"/>
    </row>
    <row r="1927" spans="1:20" ht="33.75" customHeight="1">
      <c r="A1927" s="1" t="s">
        <v>5305</v>
      </c>
      <c r="B1927" s="1" t="s">
        <v>5217</v>
      </c>
      <c r="C1927" s="4">
        <v>39980.513194444444</v>
      </c>
      <c r="D1927" s="1" t="s">
        <v>772</v>
      </c>
      <c r="E1927" s="1"/>
      <c r="F1927" s="2" t="s">
        <v>5307</v>
      </c>
      <c r="G1927" s="1">
        <f ca="1">IFERROR(__xludf.DUMMYFUNCTION("COUNTA(SPLIT(F1927,"" ""))"),11)</f>
        <v>11</v>
      </c>
      <c r="H1927" s="1">
        <v>11</v>
      </c>
      <c r="I1927" s="1"/>
      <c r="J1927" s="1"/>
      <c r="K1927" s="1"/>
      <c r="L1927" s="1"/>
      <c r="M1927" s="1"/>
      <c r="N1927" s="1"/>
      <c r="O1927" s="1"/>
      <c r="P1927" s="1"/>
      <c r="Q1927" s="1"/>
      <c r="R1927" s="1"/>
      <c r="S1927" s="1"/>
      <c r="T1927" s="1"/>
    </row>
    <row r="1928" spans="1:20" ht="33.75" hidden="1" customHeight="1">
      <c r="A1928" s="1" t="s">
        <v>5308</v>
      </c>
      <c r="B1928" s="1" t="s">
        <v>5217</v>
      </c>
      <c r="C1928" s="4">
        <v>39980.59375</v>
      </c>
      <c r="D1928" s="1" t="s">
        <v>2893</v>
      </c>
      <c r="E1928" s="1" t="s">
        <v>5299</v>
      </c>
      <c r="F1928" s="2" t="s">
        <v>5309</v>
      </c>
      <c r="G1928" s="1">
        <f ca="1">IFERROR(__xludf.DUMMYFUNCTION("COUNTA(SPLIT(F1928,"" ""))"),23)</f>
        <v>23</v>
      </c>
      <c r="H1928" s="1">
        <v>23</v>
      </c>
      <c r="I1928" s="1"/>
      <c r="J1928" s="1"/>
      <c r="K1928" s="1"/>
      <c r="L1928" s="1"/>
      <c r="M1928" s="1"/>
      <c r="N1928" s="1"/>
      <c r="O1928" s="1"/>
      <c r="P1928" s="1"/>
      <c r="Q1928" s="1"/>
      <c r="R1928" s="1"/>
      <c r="S1928" s="1"/>
      <c r="T1928" s="1"/>
    </row>
    <row r="1929" spans="1:20" ht="33.75" customHeight="1">
      <c r="A1929" s="1" t="s">
        <v>5310</v>
      </c>
      <c r="B1929" s="1" t="s">
        <v>5217</v>
      </c>
      <c r="C1929" s="4">
        <v>39981.046527777777</v>
      </c>
      <c r="D1929" s="1" t="s">
        <v>1887</v>
      </c>
      <c r="E1929" s="1"/>
      <c r="F1929" s="2" t="s">
        <v>5312</v>
      </c>
      <c r="G1929" s="1">
        <f ca="1">IFERROR(__xludf.DUMMYFUNCTION("COUNTA(SPLIT(F1929,"" ""))"),52)</f>
        <v>52</v>
      </c>
      <c r="H1929" s="1">
        <v>52</v>
      </c>
      <c r="I1929" s="1"/>
      <c r="J1929" s="1"/>
      <c r="K1929" s="1"/>
      <c r="L1929" s="1"/>
      <c r="M1929" s="1"/>
      <c r="N1929" s="1"/>
      <c r="O1929" s="1"/>
      <c r="P1929" s="1"/>
      <c r="Q1929" s="1"/>
      <c r="R1929" s="1"/>
      <c r="S1929" s="1"/>
      <c r="T1929" s="1"/>
    </row>
    <row r="1930" spans="1:20" ht="33.75" hidden="1" customHeight="1">
      <c r="A1930" s="1" t="s">
        <v>5313</v>
      </c>
      <c r="B1930" s="1" t="s">
        <v>5217</v>
      </c>
      <c r="C1930" s="4">
        <v>39981.079861111109</v>
      </c>
      <c r="D1930" s="1" t="s">
        <v>1089</v>
      </c>
      <c r="E1930" s="1" t="s">
        <v>5310</v>
      </c>
      <c r="F1930" s="2" t="s">
        <v>5314</v>
      </c>
      <c r="G1930" s="1">
        <f ca="1">IFERROR(__xludf.DUMMYFUNCTION("COUNTA(SPLIT(F1930,"" ""))"),26)</f>
        <v>26</v>
      </c>
      <c r="H1930" s="1">
        <v>26</v>
      </c>
      <c r="I1930" s="1"/>
      <c r="J1930" s="1"/>
      <c r="K1930" s="1"/>
      <c r="L1930" s="1"/>
      <c r="M1930" s="1"/>
      <c r="N1930" s="1"/>
      <c r="O1930" s="1"/>
      <c r="P1930" s="1"/>
      <c r="Q1930" s="1"/>
      <c r="R1930" s="1"/>
      <c r="S1930" s="1"/>
      <c r="T1930" s="1"/>
    </row>
    <row r="1931" spans="1:20" ht="33.75" customHeight="1">
      <c r="A1931" s="1" t="s">
        <v>5315</v>
      </c>
      <c r="B1931" s="1" t="s">
        <v>5217</v>
      </c>
      <c r="C1931" s="4">
        <v>39981.151388888888</v>
      </c>
      <c r="D1931" s="1" t="s">
        <v>1887</v>
      </c>
      <c r="E1931" s="1"/>
      <c r="F1931" s="2" t="s">
        <v>5317</v>
      </c>
      <c r="G1931" s="1">
        <f ca="1">IFERROR(__xludf.DUMMYFUNCTION("COUNTA(SPLIT(F1931,"" ""))"),38)</f>
        <v>38</v>
      </c>
      <c r="H1931" s="1">
        <v>38</v>
      </c>
      <c r="I1931" s="1"/>
      <c r="J1931" s="1"/>
      <c r="K1931" s="1"/>
      <c r="L1931" s="1"/>
      <c r="M1931" s="1"/>
      <c r="N1931" s="1"/>
      <c r="O1931" s="1"/>
      <c r="P1931" s="1"/>
      <c r="Q1931" s="1"/>
      <c r="R1931" s="1"/>
      <c r="S1931" s="1"/>
      <c r="T1931" s="1"/>
    </row>
    <row r="1932" spans="1:20" ht="33.75" customHeight="1">
      <c r="A1932" s="1" t="s">
        <v>5318</v>
      </c>
      <c r="B1932" s="1" t="s">
        <v>5217</v>
      </c>
      <c r="C1932" s="4">
        <v>39981.234027777777</v>
      </c>
      <c r="D1932" s="1" t="s">
        <v>1089</v>
      </c>
      <c r="E1932" s="1"/>
      <c r="F1932" s="2" t="s">
        <v>5320</v>
      </c>
      <c r="G1932" s="1">
        <f ca="1">IFERROR(__xludf.DUMMYFUNCTION("COUNTA(SPLIT(F1932,"" ""))"),15)</f>
        <v>15</v>
      </c>
      <c r="H1932" s="1">
        <v>15</v>
      </c>
      <c r="I1932" s="1"/>
      <c r="J1932" s="1"/>
      <c r="K1932" s="1"/>
      <c r="L1932" s="1"/>
      <c r="M1932" s="1"/>
      <c r="N1932" s="1"/>
      <c r="O1932" s="1"/>
      <c r="P1932" s="1"/>
      <c r="Q1932" s="1"/>
      <c r="R1932" s="1"/>
      <c r="S1932" s="1"/>
      <c r="T1932" s="1"/>
    </row>
    <row r="1933" spans="1:20" ht="33.75" customHeight="1">
      <c r="A1933" s="1" t="s">
        <v>5321</v>
      </c>
      <c r="B1933" s="1" t="s">
        <v>5217</v>
      </c>
      <c r="C1933" s="4">
        <v>39981.375</v>
      </c>
      <c r="D1933" s="1" t="s">
        <v>1887</v>
      </c>
      <c r="E1933" s="1"/>
      <c r="F1933" s="2" t="s">
        <v>5322</v>
      </c>
      <c r="G1933" s="1">
        <f ca="1">IFERROR(__xludf.DUMMYFUNCTION("COUNTA(SPLIT(F1933,"" ""))"),72)</f>
        <v>72</v>
      </c>
      <c r="H1933" s="1">
        <v>72</v>
      </c>
      <c r="I1933" s="1"/>
      <c r="J1933" s="1"/>
      <c r="K1933" s="1"/>
      <c r="L1933" s="1"/>
      <c r="M1933" s="1"/>
      <c r="N1933" s="1"/>
      <c r="O1933" s="1"/>
      <c r="P1933" s="1"/>
      <c r="Q1933" s="1"/>
      <c r="R1933" s="1"/>
      <c r="S1933" s="1"/>
      <c r="T1933" s="1"/>
    </row>
    <row r="1934" spans="1:20" ht="33.75" customHeight="1">
      <c r="A1934" s="1" t="s">
        <v>5323</v>
      </c>
      <c r="B1934" s="1" t="s">
        <v>5217</v>
      </c>
      <c r="C1934" s="4">
        <v>39981.404861111114</v>
      </c>
      <c r="D1934" s="1" t="s">
        <v>54</v>
      </c>
      <c r="E1934" s="1"/>
      <c r="F1934" s="2" t="s">
        <v>5324</v>
      </c>
      <c r="G1934" s="1">
        <f ca="1">IFERROR(__xludf.DUMMYFUNCTION("COUNTA(SPLIT(F1934,"" ""))"),247)</f>
        <v>247</v>
      </c>
      <c r="H1934" s="1">
        <v>247</v>
      </c>
      <c r="I1934" s="1"/>
      <c r="J1934" s="1"/>
      <c r="K1934" s="1"/>
      <c r="L1934" s="1"/>
      <c r="M1934" s="1"/>
      <c r="N1934" s="1"/>
      <c r="O1934" s="1"/>
      <c r="P1934" s="1"/>
      <c r="Q1934" s="1"/>
      <c r="R1934" s="1"/>
      <c r="S1934" s="1"/>
      <c r="T1934" s="1"/>
    </row>
    <row r="1935" spans="1:20" ht="33.75" customHeight="1">
      <c r="A1935" s="1" t="s">
        <v>5325</v>
      </c>
      <c r="B1935" s="1" t="s">
        <v>5217</v>
      </c>
      <c r="C1935" s="4">
        <v>39982.109027777777</v>
      </c>
      <c r="D1935" s="1" t="s">
        <v>1089</v>
      </c>
      <c r="E1935" s="1"/>
      <c r="F1935" s="2" t="s">
        <v>5326</v>
      </c>
      <c r="G1935" s="1">
        <f ca="1">IFERROR(__xludf.DUMMYFUNCTION("COUNTA(SPLIT(F1935,"" ""))"),17)</f>
        <v>17</v>
      </c>
      <c r="H1935" s="1">
        <v>17</v>
      </c>
      <c r="I1935" s="1"/>
      <c r="J1935" s="1"/>
      <c r="K1935" s="1"/>
      <c r="L1935" s="1"/>
      <c r="M1935" s="1"/>
      <c r="N1935" s="1"/>
      <c r="O1935" s="1"/>
      <c r="P1935" s="1"/>
      <c r="Q1935" s="1"/>
      <c r="R1935" s="1"/>
      <c r="S1935" s="1"/>
      <c r="T1935" s="1"/>
    </row>
    <row r="1936" spans="1:20" ht="33.75" hidden="1" customHeight="1">
      <c r="A1936" s="1" t="s">
        <v>5327</v>
      </c>
      <c r="B1936" s="1" t="s">
        <v>5217</v>
      </c>
      <c r="C1936" s="4">
        <v>39982.149305555555</v>
      </c>
      <c r="D1936" s="1" t="s">
        <v>1887</v>
      </c>
      <c r="E1936" s="1" t="s">
        <v>5325</v>
      </c>
      <c r="F1936" s="2" t="s">
        <v>5328</v>
      </c>
      <c r="G1936" s="1">
        <f ca="1">IFERROR(__xludf.DUMMYFUNCTION("COUNTA(SPLIT(F1936,"" ""))"),56)</f>
        <v>56</v>
      </c>
      <c r="H1936" s="1">
        <v>56</v>
      </c>
      <c r="I1936" s="1"/>
      <c r="J1936" s="1"/>
      <c r="K1936" s="1"/>
      <c r="L1936" s="1"/>
      <c r="M1936" s="1"/>
      <c r="N1936" s="1"/>
      <c r="O1936" s="1"/>
      <c r="P1936" s="1"/>
      <c r="Q1936" s="1"/>
      <c r="R1936" s="1"/>
      <c r="S1936" s="1"/>
      <c r="T1936" s="1"/>
    </row>
    <row r="1937" spans="1:20" ht="33.75" customHeight="1">
      <c r="A1937" s="1" t="s">
        <v>5329</v>
      </c>
      <c r="B1937" s="1" t="s">
        <v>5217</v>
      </c>
      <c r="C1937" s="4">
        <v>39982.165277777778</v>
      </c>
      <c r="D1937" s="1" t="s">
        <v>1887</v>
      </c>
      <c r="E1937" s="1"/>
      <c r="F1937" s="2" t="s">
        <v>5330</v>
      </c>
      <c r="G1937" s="1">
        <f ca="1">IFERROR(__xludf.DUMMYFUNCTION("COUNTA(SPLIT(F1937,"" ""))"),24)</f>
        <v>24</v>
      </c>
      <c r="H1937" s="1">
        <v>24</v>
      </c>
      <c r="I1937" s="1"/>
      <c r="J1937" s="1"/>
      <c r="K1937" s="1"/>
      <c r="L1937" s="1"/>
      <c r="M1937" s="1"/>
      <c r="N1937" s="1"/>
      <c r="O1937" s="1"/>
      <c r="P1937" s="1"/>
      <c r="Q1937" s="1"/>
      <c r="R1937" s="1"/>
      <c r="S1937" s="1"/>
      <c r="T1937" s="1"/>
    </row>
    <row r="1938" spans="1:20" ht="33.75" customHeight="1">
      <c r="A1938" s="1" t="s">
        <v>5331</v>
      </c>
      <c r="B1938" s="1" t="s">
        <v>5217</v>
      </c>
      <c r="C1938" s="4">
        <v>39982.188888888886</v>
      </c>
      <c r="D1938" s="1" t="s">
        <v>1887</v>
      </c>
      <c r="E1938" s="1"/>
      <c r="F1938" s="2" t="s">
        <v>5332</v>
      </c>
      <c r="G1938" s="1">
        <f ca="1">IFERROR(__xludf.DUMMYFUNCTION("COUNTA(SPLIT(F1938,"" ""))"),181)</f>
        <v>181</v>
      </c>
      <c r="H1938" s="1">
        <v>181</v>
      </c>
      <c r="I1938" s="1"/>
      <c r="J1938" s="1"/>
      <c r="K1938" s="1"/>
      <c r="L1938" s="1"/>
      <c r="M1938" s="1"/>
      <c r="N1938" s="1"/>
      <c r="O1938" s="1"/>
      <c r="P1938" s="1"/>
      <c r="Q1938" s="1"/>
      <c r="R1938" s="1"/>
      <c r="S1938" s="1"/>
      <c r="T1938" s="1"/>
    </row>
    <row r="1939" spans="1:20" ht="33.75" customHeight="1">
      <c r="A1939" s="1" t="s">
        <v>5333</v>
      </c>
      <c r="B1939" s="1" t="s">
        <v>5217</v>
      </c>
      <c r="C1939" s="4">
        <v>39982.204861111109</v>
      </c>
      <c r="D1939" s="1" t="s">
        <v>1887</v>
      </c>
      <c r="E1939" s="1"/>
      <c r="F1939" s="2" t="s">
        <v>5334</v>
      </c>
      <c r="G1939" s="1">
        <f ca="1">IFERROR(__xludf.DUMMYFUNCTION("COUNTA(SPLIT(F1939,"" ""))"),34)</f>
        <v>34</v>
      </c>
      <c r="H1939" s="1">
        <v>34</v>
      </c>
      <c r="I1939" s="1"/>
      <c r="J1939" s="1"/>
      <c r="K1939" s="1"/>
      <c r="L1939" s="1"/>
      <c r="M1939" s="1"/>
      <c r="N1939" s="1"/>
      <c r="O1939" s="1"/>
      <c r="P1939" s="1"/>
      <c r="Q1939" s="1"/>
      <c r="R1939" s="1"/>
      <c r="S1939" s="1"/>
      <c r="T1939" s="1"/>
    </row>
    <row r="1940" spans="1:20" ht="33.75" hidden="1" customHeight="1">
      <c r="A1940" s="1" t="s">
        <v>5335</v>
      </c>
      <c r="B1940" s="1" t="s">
        <v>5217</v>
      </c>
      <c r="C1940" s="4">
        <v>39982.365972222222</v>
      </c>
      <c r="D1940" s="1" t="s">
        <v>1089</v>
      </c>
      <c r="E1940" s="1" t="s">
        <v>5327</v>
      </c>
      <c r="F1940" s="2" t="s">
        <v>5336</v>
      </c>
      <c r="G1940" s="1">
        <f ca="1">IFERROR(__xludf.DUMMYFUNCTION("COUNTA(SPLIT(F1940,"" ""))"),54)</f>
        <v>54</v>
      </c>
      <c r="H1940" s="1">
        <v>54</v>
      </c>
      <c r="I1940" s="1"/>
      <c r="J1940" s="1"/>
      <c r="K1940" s="1"/>
      <c r="L1940" s="1"/>
      <c r="M1940" s="1"/>
      <c r="N1940" s="1"/>
      <c r="O1940" s="1"/>
      <c r="P1940" s="1"/>
      <c r="Q1940" s="1"/>
      <c r="R1940" s="1"/>
      <c r="S1940" s="1"/>
      <c r="T1940" s="1"/>
    </row>
    <row r="1941" spans="1:20" ht="33.75" customHeight="1">
      <c r="A1941" s="1" t="s">
        <v>5337</v>
      </c>
      <c r="B1941" s="1" t="s">
        <v>5217</v>
      </c>
      <c r="C1941" s="4">
        <v>39982.448611111111</v>
      </c>
      <c r="D1941" s="1" t="s">
        <v>1089</v>
      </c>
      <c r="E1941" s="1"/>
      <c r="F1941" s="2" t="s">
        <v>5338</v>
      </c>
      <c r="G1941" s="1">
        <f ca="1">IFERROR(__xludf.DUMMYFUNCTION("COUNTA(SPLIT(F1941,"" ""))"),24)</f>
        <v>24</v>
      </c>
      <c r="H1941" s="1">
        <v>24</v>
      </c>
      <c r="I1941" s="1"/>
      <c r="J1941" s="1"/>
      <c r="K1941" s="1"/>
      <c r="L1941" s="1"/>
      <c r="M1941" s="1"/>
      <c r="N1941" s="1"/>
      <c r="O1941" s="1"/>
      <c r="P1941" s="1"/>
      <c r="Q1941" s="1"/>
      <c r="R1941" s="1"/>
      <c r="S1941" s="1"/>
      <c r="T1941" s="1"/>
    </row>
    <row r="1942" spans="1:20" ht="33.75" customHeight="1">
      <c r="A1942" s="1" t="s">
        <v>5339</v>
      </c>
      <c r="B1942" s="1" t="s">
        <v>5217</v>
      </c>
      <c r="C1942" s="4">
        <v>39982.456250000003</v>
      </c>
      <c r="D1942" s="1" t="s">
        <v>54</v>
      </c>
      <c r="E1942" s="1"/>
      <c r="F1942" s="2" t="s">
        <v>5340</v>
      </c>
      <c r="G1942" s="1">
        <f ca="1">IFERROR(__xludf.DUMMYFUNCTION("COUNTA(SPLIT(F1942,"" ""))"),109)</f>
        <v>109</v>
      </c>
      <c r="H1942" s="1">
        <v>109</v>
      </c>
      <c r="I1942" s="1"/>
      <c r="J1942" s="1"/>
      <c r="K1942" s="1"/>
      <c r="L1942" s="1"/>
      <c r="M1942" s="1"/>
      <c r="N1942" s="1"/>
      <c r="O1942" s="1"/>
      <c r="P1942" s="1"/>
      <c r="Q1942" s="1"/>
      <c r="R1942" s="1"/>
      <c r="S1942" s="1"/>
      <c r="T1942" s="1"/>
    </row>
    <row r="1943" spans="1:20" ht="33.75" customHeight="1">
      <c r="A1943" s="1" t="s">
        <v>5341</v>
      </c>
      <c r="B1943" s="1" t="s">
        <v>5217</v>
      </c>
      <c r="C1943" s="4">
        <v>39983.115277777775</v>
      </c>
      <c r="D1943" s="1" t="s">
        <v>1089</v>
      </c>
      <c r="E1943" s="1"/>
      <c r="F1943" s="2" t="s">
        <v>5342</v>
      </c>
      <c r="G1943" s="1">
        <f ca="1">IFERROR(__xludf.DUMMYFUNCTION("COUNTA(SPLIT(F1943,"" ""))"),56)</f>
        <v>56</v>
      </c>
      <c r="H1943" s="1">
        <v>56</v>
      </c>
      <c r="I1943" s="1"/>
      <c r="J1943" s="1"/>
      <c r="K1943" s="1"/>
      <c r="L1943" s="1"/>
      <c r="M1943" s="1"/>
      <c r="N1943" s="1"/>
      <c r="O1943" s="1"/>
      <c r="P1943" s="1"/>
      <c r="Q1943" s="1"/>
      <c r="R1943" s="1"/>
      <c r="S1943" s="1"/>
      <c r="T1943" s="1"/>
    </row>
    <row r="1944" spans="1:20" ht="33.75" customHeight="1">
      <c r="A1944" s="1" t="s">
        <v>5343</v>
      </c>
      <c r="B1944" s="1" t="s">
        <v>5217</v>
      </c>
      <c r="C1944" s="4">
        <v>39983.131249999999</v>
      </c>
      <c r="D1944" s="1" t="s">
        <v>1887</v>
      </c>
      <c r="E1944" s="1"/>
      <c r="F1944" s="2" t="s">
        <v>5344</v>
      </c>
      <c r="G1944" s="1">
        <f ca="1">IFERROR(__xludf.DUMMYFUNCTION("COUNTA(SPLIT(F1944,"" ""))"),123)</f>
        <v>123</v>
      </c>
      <c r="H1944" s="1">
        <v>123</v>
      </c>
      <c r="I1944" s="1"/>
      <c r="J1944" s="1"/>
      <c r="K1944" s="1"/>
      <c r="L1944" s="1"/>
      <c r="M1944" s="1"/>
      <c r="N1944" s="1"/>
      <c r="O1944" s="1"/>
      <c r="P1944" s="1"/>
      <c r="Q1944" s="1"/>
      <c r="R1944" s="1"/>
      <c r="S1944" s="1"/>
      <c r="T1944" s="1"/>
    </row>
    <row r="1945" spans="1:20" ht="33.75" hidden="1" customHeight="1">
      <c r="A1945" s="1" t="s">
        <v>5345</v>
      </c>
      <c r="B1945" s="1" t="s">
        <v>5217</v>
      </c>
      <c r="C1945" s="4">
        <v>39983.133333333331</v>
      </c>
      <c r="D1945" s="1" t="s">
        <v>1089</v>
      </c>
      <c r="E1945" s="1" t="s">
        <v>5346</v>
      </c>
      <c r="F1945" s="2" t="s">
        <v>5348</v>
      </c>
      <c r="G1945" s="1">
        <f ca="1">IFERROR(__xludf.DUMMYFUNCTION("COUNTA(SPLIT(F1945,"" ""))"),6)</f>
        <v>6</v>
      </c>
      <c r="H1945" s="1">
        <v>6</v>
      </c>
      <c r="I1945" s="1"/>
      <c r="J1945" s="1"/>
      <c r="K1945" s="1"/>
      <c r="L1945" s="1"/>
      <c r="M1945" s="1"/>
      <c r="N1945" s="1"/>
      <c r="O1945" s="1"/>
      <c r="P1945" s="1"/>
      <c r="Q1945" s="1"/>
      <c r="R1945" s="1"/>
      <c r="S1945" s="1"/>
      <c r="T1945" s="1"/>
    </row>
    <row r="1946" spans="1:20" ht="33.75" customHeight="1">
      <c r="A1946" s="1" t="s">
        <v>5349</v>
      </c>
      <c r="B1946" s="1" t="s">
        <v>5217</v>
      </c>
      <c r="C1946" s="4">
        <v>39983.14166666667</v>
      </c>
      <c r="D1946" s="1" t="s">
        <v>1089</v>
      </c>
      <c r="E1946" s="1"/>
      <c r="F1946" s="2" t="s">
        <v>5351</v>
      </c>
      <c r="G1946" s="1">
        <f ca="1">IFERROR(__xludf.DUMMYFUNCTION("COUNTA(SPLIT(F1946,"" ""))"),13)</f>
        <v>13</v>
      </c>
      <c r="H1946" s="1">
        <v>13</v>
      </c>
      <c r="I1946" s="1"/>
      <c r="J1946" s="1"/>
      <c r="K1946" s="1"/>
      <c r="L1946" s="1"/>
      <c r="M1946" s="1"/>
      <c r="N1946" s="1"/>
      <c r="O1946" s="1"/>
      <c r="P1946" s="1"/>
      <c r="Q1946" s="1"/>
      <c r="R1946" s="1"/>
      <c r="S1946" s="1"/>
      <c r="T1946" s="1"/>
    </row>
    <row r="1947" spans="1:20" ht="33.75" customHeight="1">
      <c r="A1947" s="1" t="s">
        <v>5352</v>
      </c>
      <c r="B1947" s="1" t="s">
        <v>5217</v>
      </c>
      <c r="C1947" s="4">
        <v>39983.154861111114</v>
      </c>
      <c r="D1947" s="1" t="s">
        <v>1089</v>
      </c>
      <c r="E1947" s="1"/>
      <c r="F1947" s="2" t="s">
        <v>5353</v>
      </c>
      <c r="G1947" s="1">
        <f ca="1">IFERROR(__xludf.DUMMYFUNCTION("COUNTA(SPLIT(F1947,"" ""))"),30)</f>
        <v>30</v>
      </c>
      <c r="H1947" s="1">
        <v>30</v>
      </c>
      <c r="I1947" s="1"/>
      <c r="J1947" s="1"/>
      <c r="K1947" s="1"/>
      <c r="L1947" s="1"/>
      <c r="M1947" s="1"/>
      <c r="N1947" s="1"/>
      <c r="O1947" s="1"/>
      <c r="P1947" s="1"/>
      <c r="Q1947" s="1"/>
      <c r="R1947" s="1"/>
      <c r="S1947" s="1"/>
      <c r="T1947" s="1"/>
    </row>
    <row r="1948" spans="1:20" ht="33.75" customHeight="1">
      <c r="A1948" s="1" t="s">
        <v>5354</v>
      </c>
      <c r="B1948" s="1" t="s">
        <v>5217</v>
      </c>
      <c r="C1948" s="4">
        <v>39983.304861111108</v>
      </c>
      <c r="D1948" s="1" t="s">
        <v>54</v>
      </c>
      <c r="E1948" s="1"/>
      <c r="F1948" s="2" t="s">
        <v>5356</v>
      </c>
      <c r="G1948" s="1">
        <f ca="1">IFERROR(__xludf.DUMMYFUNCTION("COUNTA(SPLIT(F1948,"" ""))"),57)</f>
        <v>57</v>
      </c>
      <c r="H1948" s="1">
        <v>57</v>
      </c>
      <c r="I1948" s="1"/>
      <c r="J1948" s="1"/>
      <c r="K1948" s="1"/>
      <c r="L1948" s="1"/>
      <c r="M1948" s="1"/>
      <c r="N1948" s="1"/>
      <c r="O1948" s="1"/>
      <c r="P1948" s="1"/>
      <c r="Q1948" s="1"/>
      <c r="R1948" s="1"/>
      <c r="S1948" s="1"/>
      <c r="T1948" s="1"/>
    </row>
    <row r="1949" spans="1:20" ht="33.75" customHeight="1">
      <c r="A1949" s="1" t="s">
        <v>5357</v>
      </c>
      <c r="B1949" s="1" t="s">
        <v>5217</v>
      </c>
      <c r="C1949" s="4">
        <v>39983.319444444445</v>
      </c>
      <c r="D1949" s="1" t="s">
        <v>1089</v>
      </c>
      <c r="E1949" s="1"/>
      <c r="F1949" s="2" t="s">
        <v>5358</v>
      </c>
      <c r="G1949" s="1">
        <f ca="1">IFERROR(__xludf.DUMMYFUNCTION("COUNTA(SPLIT(F1949,"" ""))"),46)</f>
        <v>46</v>
      </c>
      <c r="H1949" s="1">
        <v>46</v>
      </c>
      <c r="I1949" s="1"/>
      <c r="J1949" s="1"/>
      <c r="K1949" s="1"/>
      <c r="L1949" s="1"/>
      <c r="M1949" s="1"/>
      <c r="N1949" s="1"/>
      <c r="O1949" s="1"/>
      <c r="P1949" s="1"/>
      <c r="Q1949" s="1"/>
      <c r="R1949" s="1"/>
      <c r="S1949" s="1"/>
      <c r="T1949" s="1"/>
    </row>
    <row r="1950" spans="1:20" ht="33.75" customHeight="1">
      <c r="A1950" s="1" t="s">
        <v>5359</v>
      </c>
      <c r="B1950" s="1" t="s">
        <v>5217</v>
      </c>
      <c r="C1950" s="4">
        <v>39983.448611111111</v>
      </c>
      <c r="D1950" s="1" t="s">
        <v>1089</v>
      </c>
      <c r="E1950" s="1"/>
      <c r="F1950" s="2" t="s">
        <v>5361</v>
      </c>
      <c r="G1950" s="1">
        <f ca="1">IFERROR(__xludf.DUMMYFUNCTION("COUNTA(SPLIT(F1950,"" ""))"),64)</f>
        <v>64</v>
      </c>
      <c r="H1950" s="1">
        <v>64</v>
      </c>
      <c r="I1950" s="1"/>
      <c r="J1950" s="1"/>
      <c r="K1950" s="1"/>
      <c r="L1950" s="1"/>
      <c r="M1950" s="1"/>
      <c r="N1950" s="1"/>
      <c r="O1950" s="1"/>
      <c r="P1950" s="1"/>
      <c r="Q1950" s="1"/>
      <c r="R1950" s="1"/>
      <c r="S1950" s="1"/>
      <c r="T1950" s="1"/>
    </row>
    <row r="1951" spans="1:20" ht="33.75" customHeight="1">
      <c r="A1951" s="1" t="s">
        <v>5362</v>
      </c>
      <c r="B1951" s="1" t="s">
        <v>5217</v>
      </c>
      <c r="C1951" s="4">
        <v>39984.181944444441</v>
      </c>
      <c r="D1951" s="1" t="s">
        <v>1887</v>
      </c>
      <c r="E1951" s="1"/>
      <c r="F1951" s="2" t="s">
        <v>5364</v>
      </c>
      <c r="G1951" s="1">
        <f ca="1">IFERROR(__xludf.DUMMYFUNCTION("COUNTA(SPLIT(F1951,"" ""))"),122)</f>
        <v>122</v>
      </c>
      <c r="H1951" s="1">
        <v>122</v>
      </c>
      <c r="I1951" s="1"/>
      <c r="J1951" s="1"/>
      <c r="K1951" s="1"/>
      <c r="L1951" s="1"/>
      <c r="M1951" s="1"/>
      <c r="N1951" s="1"/>
      <c r="O1951" s="1"/>
      <c r="P1951" s="1"/>
      <c r="Q1951" s="1"/>
      <c r="R1951" s="1"/>
      <c r="S1951" s="1"/>
      <c r="T1951" s="1"/>
    </row>
    <row r="1952" spans="1:20" ht="33.75" customHeight="1">
      <c r="A1952" s="1" t="s">
        <v>5365</v>
      </c>
      <c r="B1952" s="1" t="s">
        <v>5217</v>
      </c>
      <c r="C1952" s="4">
        <v>39984.372916666667</v>
      </c>
      <c r="D1952" s="1" t="s">
        <v>1089</v>
      </c>
      <c r="E1952" s="1"/>
      <c r="F1952" s="2" t="s">
        <v>5366</v>
      </c>
      <c r="G1952" s="1">
        <f ca="1">IFERROR(__xludf.DUMMYFUNCTION("COUNTA(SPLIT(F1952,"" ""))"),147)</f>
        <v>147</v>
      </c>
      <c r="H1952" s="1">
        <v>147</v>
      </c>
      <c r="I1952" s="1"/>
      <c r="J1952" s="1"/>
      <c r="K1952" s="1"/>
      <c r="L1952" s="1"/>
      <c r="M1952" s="1"/>
      <c r="N1952" s="1"/>
      <c r="O1952" s="1"/>
      <c r="P1952" s="1"/>
      <c r="Q1952" s="1"/>
      <c r="R1952" s="1"/>
      <c r="S1952" s="1"/>
      <c r="T1952" s="1"/>
    </row>
    <row r="1953" spans="1:20" ht="33.75" customHeight="1">
      <c r="A1953" s="1" t="s">
        <v>5367</v>
      </c>
      <c r="B1953" s="1" t="s">
        <v>5217</v>
      </c>
      <c r="C1953" s="4">
        <v>39984.636111111111</v>
      </c>
      <c r="D1953" s="1" t="s">
        <v>1089</v>
      </c>
      <c r="E1953" s="1"/>
      <c r="F1953" s="2" t="s">
        <v>5368</v>
      </c>
      <c r="G1953" s="1">
        <f ca="1">IFERROR(__xludf.DUMMYFUNCTION("COUNTA(SPLIT(F1953,"" ""))"),271)</f>
        <v>271</v>
      </c>
      <c r="H1953" s="1">
        <v>271</v>
      </c>
      <c r="I1953" s="1"/>
      <c r="J1953" s="1"/>
      <c r="K1953" s="1"/>
      <c r="L1953" s="1"/>
      <c r="M1953" s="1"/>
      <c r="N1953" s="1"/>
      <c r="O1953" s="1"/>
      <c r="P1953" s="1"/>
      <c r="Q1953" s="1"/>
      <c r="R1953" s="1"/>
      <c r="S1953" s="1"/>
      <c r="T1953" s="1"/>
    </row>
    <row r="1954" spans="1:20" ht="33.75" customHeight="1">
      <c r="A1954" s="1" t="s">
        <v>5369</v>
      </c>
      <c r="B1954" s="1" t="s">
        <v>5217</v>
      </c>
      <c r="C1954" s="4">
        <v>39984.899305555555</v>
      </c>
      <c r="D1954" s="1" t="s">
        <v>1089</v>
      </c>
      <c r="E1954" s="1"/>
      <c r="F1954" s="2" t="s">
        <v>5371</v>
      </c>
      <c r="G1954" s="1">
        <f ca="1">IFERROR(__xludf.DUMMYFUNCTION("COUNTA(SPLIT(F1954,"" ""))"),71)</f>
        <v>71</v>
      </c>
      <c r="H1954" s="1">
        <v>71</v>
      </c>
      <c r="I1954" s="1"/>
      <c r="J1954" s="1"/>
      <c r="K1954" s="1"/>
      <c r="L1954" s="1"/>
      <c r="M1954" s="1"/>
      <c r="N1954" s="1"/>
      <c r="O1954" s="1"/>
      <c r="P1954" s="1"/>
      <c r="Q1954" s="1"/>
      <c r="R1954" s="1"/>
      <c r="S1954" s="1"/>
      <c r="T1954" s="1"/>
    </row>
    <row r="1955" spans="1:20" ht="33.75" customHeight="1">
      <c r="A1955" s="1" t="s">
        <v>5372</v>
      </c>
      <c r="B1955" s="1" t="s">
        <v>5217</v>
      </c>
      <c r="C1955" s="4">
        <v>39985.23333333333</v>
      </c>
      <c r="D1955" s="1" t="s">
        <v>1887</v>
      </c>
      <c r="E1955" s="1"/>
      <c r="F1955" s="2" t="s">
        <v>5373</v>
      </c>
      <c r="G1955" s="1">
        <f ca="1">IFERROR(__xludf.DUMMYFUNCTION("COUNTA(SPLIT(F1955,"" ""))"),16)</f>
        <v>16</v>
      </c>
      <c r="H1955" s="1">
        <v>16</v>
      </c>
      <c r="I1955" s="1"/>
      <c r="J1955" s="1"/>
      <c r="K1955" s="1"/>
      <c r="L1955" s="1"/>
      <c r="M1955" s="1"/>
      <c r="N1955" s="1"/>
      <c r="O1955" s="1"/>
      <c r="P1955" s="1"/>
      <c r="Q1955" s="1"/>
      <c r="R1955" s="1"/>
      <c r="S1955" s="1"/>
      <c r="T1955" s="1"/>
    </row>
    <row r="1956" spans="1:20" ht="33.75" customHeight="1">
      <c r="A1956" s="1" t="s">
        <v>5374</v>
      </c>
      <c r="B1956" s="1" t="s">
        <v>5217</v>
      </c>
      <c r="C1956" s="4">
        <v>39985.443055555559</v>
      </c>
      <c r="D1956" s="1" t="s">
        <v>1887</v>
      </c>
      <c r="E1956" s="1"/>
      <c r="F1956" s="2" t="s">
        <v>5375</v>
      </c>
      <c r="G1956" s="1">
        <f ca="1">IFERROR(__xludf.DUMMYFUNCTION("COUNTA(SPLIT(F1956,"" ""))"),76)</f>
        <v>76</v>
      </c>
      <c r="H1956" s="1">
        <v>76</v>
      </c>
      <c r="I1956" s="1"/>
      <c r="J1956" s="1"/>
      <c r="K1956" s="1"/>
      <c r="L1956" s="1"/>
      <c r="M1956" s="1"/>
      <c r="N1956" s="1"/>
      <c r="O1956" s="1"/>
      <c r="P1956" s="1"/>
      <c r="Q1956" s="1"/>
      <c r="R1956" s="1"/>
      <c r="S1956" s="1"/>
      <c r="T1956" s="1"/>
    </row>
    <row r="1957" spans="1:20" ht="33.75" customHeight="1">
      <c r="A1957" s="1" t="s">
        <v>5376</v>
      </c>
      <c r="B1957" s="1" t="s">
        <v>5217</v>
      </c>
      <c r="C1957" s="4">
        <v>39985.795138888891</v>
      </c>
      <c r="D1957" s="1" t="s">
        <v>772</v>
      </c>
      <c r="E1957" s="1"/>
      <c r="F1957" s="2" t="s">
        <v>5377</v>
      </c>
      <c r="G1957" s="1">
        <f ca="1">IFERROR(__xludf.DUMMYFUNCTION("COUNTA(SPLIT(F1957,"" ""))"),42)</f>
        <v>42</v>
      </c>
      <c r="H1957" s="1">
        <v>42</v>
      </c>
      <c r="I1957" s="1"/>
      <c r="J1957" s="1"/>
      <c r="K1957" s="1"/>
      <c r="L1957" s="1"/>
      <c r="M1957" s="1"/>
      <c r="N1957" s="1"/>
      <c r="O1957" s="1"/>
      <c r="P1957" s="1"/>
      <c r="Q1957" s="1"/>
      <c r="R1957" s="1"/>
      <c r="S1957" s="1"/>
      <c r="T1957" s="1"/>
    </row>
    <row r="1958" spans="1:20" ht="33.75" hidden="1" customHeight="1">
      <c r="A1958" s="1" t="s">
        <v>5378</v>
      </c>
      <c r="B1958" s="1" t="s">
        <v>5217</v>
      </c>
      <c r="C1958" s="4">
        <v>39985.972222222219</v>
      </c>
      <c r="D1958" s="1" t="s">
        <v>1887</v>
      </c>
      <c r="E1958" s="1" t="s">
        <v>5376</v>
      </c>
      <c r="F1958" s="2" t="s">
        <v>5379</v>
      </c>
      <c r="G1958" s="1">
        <f ca="1">IFERROR(__xludf.DUMMYFUNCTION("COUNTA(SPLIT(F1958,"" ""))"),45)</f>
        <v>45</v>
      </c>
      <c r="H1958" s="1">
        <v>45</v>
      </c>
      <c r="I1958" s="1"/>
      <c r="J1958" s="1"/>
      <c r="K1958" s="1"/>
      <c r="L1958" s="1"/>
      <c r="M1958" s="1"/>
      <c r="N1958" s="1"/>
      <c r="O1958" s="1"/>
      <c r="P1958" s="1"/>
      <c r="Q1958" s="1"/>
      <c r="R1958" s="1"/>
      <c r="S1958" s="1"/>
      <c r="T1958" s="1"/>
    </row>
    <row r="1959" spans="1:20" ht="33.75" customHeight="1">
      <c r="A1959" s="1" t="s">
        <v>5380</v>
      </c>
      <c r="B1959" s="1" t="s">
        <v>5217</v>
      </c>
      <c r="C1959" s="4">
        <v>39986.143055555556</v>
      </c>
      <c r="D1959" s="1" t="s">
        <v>1089</v>
      </c>
      <c r="E1959" s="1"/>
      <c r="F1959" s="2" t="s">
        <v>5381</v>
      </c>
      <c r="G1959" s="1">
        <f ca="1">IFERROR(__xludf.DUMMYFUNCTION("COUNTA(SPLIT(F1959,"" ""))"),37)</f>
        <v>37</v>
      </c>
      <c r="H1959" s="1">
        <v>37</v>
      </c>
      <c r="I1959" s="1"/>
      <c r="J1959" s="1"/>
      <c r="K1959" s="1"/>
      <c r="L1959" s="1"/>
      <c r="M1959" s="1"/>
      <c r="N1959" s="1"/>
      <c r="O1959" s="1"/>
      <c r="P1959" s="1"/>
      <c r="Q1959" s="1"/>
      <c r="R1959" s="1"/>
      <c r="S1959" s="1"/>
      <c r="T1959" s="1"/>
    </row>
    <row r="1960" spans="1:20" ht="33.75" customHeight="1">
      <c r="A1960" s="1" t="s">
        <v>5382</v>
      </c>
      <c r="B1960" s="1" t="s">
        <v>5217</v>
      </c>
      <c r="C1960" s="4">
        <v>39987.62222222222</v>
      </c>
      <c r="D1960" s="1" t="s">
        <v>1089</v>
      </c>
      <c r="E1960" s="1"/>
      <c r="F1960" s="2" t="s">
        <v>5384</v>
      </c>
      <c r="G1960" s="1">
        <f ca="1">IFERROR(__xludf.DUMMYFUNCTION("COUNTA(SPLIT(F1960,"" ""))"),307)</f>
        <v>307</v>
      </c>
      <c r="H1960" s="1">
        <v>307</v>
      </c>
      <c r="I1960" s="1"/>
      <c r="J1960" s="1"/>
      <c r="K1960" s="1"/>
      <c r="L1960" s="1"/>
      <c r="M1960" s="1"/>
      <c r="N1960" s="1"/>
      <c r="O1960" s="1"/>
      <c r="P1960" s="1"/>
      <c r="Q1960" s="1"/>
      <c r="R1960" s="1"/>
      <c r="S1960" s="1"/>
      <c r="T1960" s="1"/>
    </row>
    <row r="1961" spans="1:20" ht="33.75" customHeight="1">
      <c r="A1961" s="1" t="s">
        <v>5385</v>
      </c>
      <c r="B1961" s="1" t="s">
        <v>5217</v>
      </c>
      <c r="C1961" s="4">
        <v>39987.928472222222</v>
      </c>
      <c r="D1961" s="1" t="s">
        <v>1089</v>
      </c>
      <c r="E1961" s="1"/>
      <c r="F1961" s="2" t="s">
        <v>5386</v>
      </c>
      <c r="G1961" s="1">
        <f ca="1">IFERROR(__xludf.DUMMYFUNCTION("COUNTA(SPLIT(F1961,"" ""))"),44)</f>
        <v>44</v>
      </c>
      <c r="H1961" s="1">
        <v>44</v>
      </c>
      <c r="I1961" s="1"/>
      <c r="J1961" s="1"/>
      <c r="K1961" s="1"/>
      <c r="L1961" s="1"/>
      <c r="M1961" s="1"/>
      <c r="N1961" s="1"/>
      <c r="O1961" s="1"/>
      <c r="P1961" s="1"/>
      <c r="Q1961" s="1"/>
      <c r="R1961" s="1"/>
      <c r="S1961" s="1"/>
      <c r="T1961" s="1"/>
    </row>
    <row r="1962" spans="1:20" ht="33.75" customHeight="1">
      <c r="A1962" s="1" t="s">
        <v>5387</v>
      </c>
      <c r="B1962" s="1" t="s">
        <v>3929</v>
      </c>
      <c r="C1962" s="4">
        <v>39988.248611111114</v>
      </c>
      <c r="D1962" s="1" t="s">
        <v>760</v>
      </c>
      <c r="E1962" s="1"/>
      <c r="F1962" s="2" t="s">
        <v>5388</v>
      </c>
      <c r="G1962" s="1">
        <f ca="1">IFERROR(__xludf.DUMMYFUNCTION("COUNTA(SPLIT(F1962,"" ""))"),142)</f>
        <v>142</v>
      </c>
      <c r="H1962" s="1">
        <v>142</v>
      </c>
      <c r="I1962" s="1"/>
      <c r="J1962" s="1"/>
      <c r="K1962" s="1"/>
      <c r="L1962" s="1"/>
      <c r="M1962" s="1"/>
      <c r="N1962" s="1"/>
      <c r="O1962" s="1"/>
      <c r="P1962" s="1"/>
      <c r="Q1962" s="1"/>
      <c r="R1962" s="1"/>
      <c r="S1962" s="1"/>
      <c r="T1962" s="1"/>
    </row>
    <row r="1963" spans="1:20" ht="33.75" customHeight="1">
      <c r="A1963" s="1" t="s">
        <v>5389</v>
      </c>
      <c r="B1963" s="1" t="s">
        <v>3929</v>
      </c>
      <c r="C1963" s="4">
        <v>39988.257638888892</v>
      </c>
      <c r="D1963" s="1" t="s">
        <v>760</v>
      </c>
      <c r="E1963" s="1"/>
      <c r="F1963" s="2" t="s">
        <v>5390</v>
      </c>
      <c r="G1963" s="1">
        <f ca="1">IFERROR(__xludf.DUMMYFUNCTION("COUNTA(SPLIT(F1963,"" ""))"),112)</f>
        <v>112</v>
      </c>
      <c r="H1963" s="1">
        <v>112</v>
      </c>
      <c r="I1963" s="1"/>
      <c r="J1963" s="1"/>
      <c r="K1963" s="1"/>
      <c r="L1963" s="1"/>
      <c r="M1963" s="1"/>
      <c r="N1963" s="1"/>
      <c r="O1963" s="1"/>
      <c r="P1963" s="1"/>
      <c r="Q1963" s="1"/>
      <c r="R1963" s="1"/>
      <c r="S1963" s="1"/>
      <c r="T1963" s="1"/>
    </row>
    <row r="1964" spans="1:20" ht="33.75" customHeight="1">
      <c r="A1964" s="1" t="s">
        <v>5391</v>
      </c>
      <c r="B1964" s="1" t="s">
        <v>5217</v>
      </c>
      <c r="C1964" s="4">
        <v>39988.525000000001</v>
      </c>
      <c r="D1964" s="1" t="s">
        <v>1887</v>
      </c>
      <c r="E1964" s="1"/>
      <c r="F1964" s="2" t="s">
        <v>5393</v>
      </c>
      <c r="G1964" s="1">
        <f ca="1">IFERROR(__xludf.DUMMYFUNCTION("COUNTA(SPLIT(F1964,"" ""))"),54)</f>
        <v>54</v>
      </c>
      <c r="H1964" s="1">
        <v>54</v>
      </c>
      <c r="I1964" s="1"/>
      <c r="J1964" s="1"/>
      <c r="K1964" s="1"/>
      <c r="L1964" s="1"/>
      <c r="M1964" s="1"/>
      <c r="N1964" s="1"/>
      <c r="O1964" s="1"/>
      <c r="P1964" s="1"/>
      <c r="Q1964" s="1"/>
      <c r="R1964" s="1"/>
      <c r="S1964" s="1"/>
      <c r="T1964" s="1"/>
    </row>
    <row r="1965" spans="1:20" ht="33.75" hidden="1" customHeight="1">
      <c r="A1965" s="1" t="s">
        <v>5394</v>
      </c>
      <c r="B1965" s="1" t="s">
        <v>3929</v>
      </c>
      <c r="C1965" s="4">
        <v>39989.231249999997</v>
      </c>
      <c r="D1965" s="1" t="s">
        <v>320</v>
      </c>
      <c r="E1965" s="1" t="s">
        <v>5389</v>
      </c>
      <c r="F1965" s="2" t="s">
        <v>5395</v>
      </c>
      <c r="G1965" s="1">
        <f ca="1">IFERROR(__xludf.DUMMYFUNCTION("COUNTA(SPLIT(F1965,"" ""))"),31)</f>
        <v>31</v>
      </c>
      <c r="H1965" s="1">
        <v>31</v>
      </c>
      <c r="I1965" s="1"/>
      <c r="J1965" s="1"/>
      <c r="K1965" s="1"/>
      <c r="L1965" s="1"/>
      <c r="M1965" s="1"/>
      <c r="N1965" s="1"/>
      <c r="O1965" s="1"/>
      <c r="P1965" s="1"/>
      <c r="Q1965" s="1"/>
      <c r="R1965" s="1"/>
      <c r="S1965" s="1"/>
      <c r="T1965" s="1"/>
    </row>
    <row r="1966" spans="1:20" ht="33.75" customHeight="1">
      <c r="A1966" s="1" t="s">
        <v>5396</v>
      </c>
      <c r="B1966" s="1" t="s">
        <v>3929</v>
      </c>
      <c r="C1966" s="4">
        <v>39989.231944444444</v>
      </c>
      <c r="D1966" s="1" t="s">
        <v>320</v>
      </c>
      <c r="E1966" s="1"/>
      <c r="F1966" s="2" t="s">
        <v>5397</v>
      </c>
      <c r="G1966" s="1">
        <f ca="1">IFERROR(__xludf.DUMMYFUNCTION("COUNTA(SPLIT(F1966,"" ""))"),26)</f>
        <v>26</v>
      </c>
      <c r="H1966" s="1">
        <v>26</v>
      </c>
      <c r="I1966" s="1"/>
      <c r="J1966" s="1"/>
      <c r="K1966" s="1"/>
      <c r="L1966" s="1"/>
      <c r="M1966" s="1"/>
      <c r="N1966" s="1"/>
      <c r="O1966" s="1"/>
      <c r="P1966" s="1"/>
      <c r="Q1966" s="1"/>
      <c r="R1966" s="1"/>
      <c r="S1966" s="1"/>
      <c r="T1966" s="1"/>
    </row>
    <row r="1967" spans="1:20" ht="33.75" customHeight="1">
      <c r="A1967" s="1" t="s">
        <v>5398</v>
      </c>
      <c r="B1967" s="1" t="s">
        <v>3929</v>
      </c>
      <c r="C1967" s="4">
        <v>39989.241666666669</v>
      </c>
      <c r="D1967" s="1" t="s">
        <v>320</v>
      </c>
      <c r="E1967" s="1"/>
      <c r="F1967" s="2" t="s">
        <v>5400</v>
      </c>
      <c r="G1967" s="1">
        <f ca="1">IFERROR(__xludf.DUMMYFUNCTION("COUNTA(SPLIT(F1967,"" ""))"),130)</f>
        <v>130</v>
      </c>
      <c r="H1967" s="1">
        <v>130</v>
      </c>
      <c r="I1967" s="1"/>
      <c r="J1967" s="1"/>
      <c r="K1967" s="1"/>
      <c r="L1967" s="1"/>
      <c r="M1967" s="1"/>
      <c r="N1967" s="1"/>
      <c r="O1967" s="1"/>
      <c r="P1967" s="1"/>
      <c r="Q1967" s="1"/>
      <c r="R1967" s="1"/>
      <c r="S1967" s="1"/>
      <c r="T1967" s="1"/>
    </row>
    <row r="1968" spans="1:20" ht="33.75" customHeight="1">
      <c r="A1968" s="1" t="s">
        <v>5401</v>
      </c>
      <c r="B1968" s="1" t="s">
        <v>3929</v>
      </c>
      <c r="C1968" s="4">
        <v>39989.243055555555</v>
      </c>
      <c r="D1968" s="1" t="s">
        <v>320</v>
      </c>
      <c r="E1968" s="1"/>
      <c r="F1968" s="2" t="s">
        <v>5402</v>
      </c>
      <c r="G1968" s="1">
        <f ca="1">IFERROR(__xludf.DUMMYFUNCTION("COUNTA(SPLIT(F1968,"" ""))"),9)</f>
        <v>9</v>
      </c>
      <c r="H1968" s="1">
        <v>9</v>
      </c>
      <c r="I1968" s="1"/>
      <c r="J1968" s="1"/>
      <c r="K1968" s="1"/>
      <c r="L1968" s="1"/>
      <c r="M1968" s="1"/>
      <c r="N1968" s="1"/>
      <c r="O1968" s="1"/>
      <c r="P1968" s="1"/>
      <c r="Q1968" s="1"/>
      <c r="R1968" s="1"/>
      <c r="S1968" s="1"/>
      <c r="T1968" s="1"/>
    </row>
    <row r="1969" spans="1:20" ht="33.75" customHeight="1">
      <c r="A1969" s="1" t="s">
        <v>5403</v>
      </c>
      <c r="B1969" s="1" t="s">
        <v>5217</v>
      </c>
      <c r="C1969" s="4">
        <v>39989.276388888888</v>
      </c>
      <c r="D1969" s="1" t="s">
        <v>1089</v>
      </c>
      <c r="E1969" s="1"/>
      <c r="F1969" s="2" t="s">
        <v>5404</v>
      </c>
      <c r="G1969" s="1">
        <f ca="1">IFERROR(__xludf.DUMMYFUNCTION("COUNTA(SPLIT(F1969,"" ""))"),225)</f>
        <v>225</v>
      </c>
      <c r="H1969" s="1">
        <v>225</v>
      </c>
      <c r="I1969" s="1"/>
      <c r="J1969" s="1"/>
      <c r="K1969" s="1"/>
      <c r="L1969" s="1"/>
      <c r="M1969" s="1"/>
      <c r="N1969" s="1"/>
      <c r="O1969" s="1"/>
      <c r="P1969" s="1"/>
      <c r="Q1969" s="1"/>
      <c r="R1969" s="1"/>
      <c r="S1969" s="1"/>
      <c r="T1969" s="1"/>
    </row>
    <row r="1970" spans="1:20" ht="33.75" hidden="1" customHeight="1">
      <c r="A1970" s="1" t="s">
        <v>5405</v>
      </c>
      <c r="B1970" s="1" t="s">
        <v>3929</v>
      </c>
      <c r="C1970" s="4">
        <v>39989.336805555555</v>
      </c>
      <c r="D1970" s="1" t="s">
        <v>14</v>
      </c>
      <c r="E1970" s="1" t="s">
        <v>5387</v>
      </c>
      <c r="F1970" s="2" t="s">
        <v>5406</v>
      </c>
      <c r="G1970" s="1">
        <f ca="1">IFERROR(__xludf.DUMMYFUNCTION("COUNTA(SPLIT(F1970,"" ""))"),68)</f>
        <v>68</v>
      </c>
      <c r="H1970" s="1">
        <v>68</v>
      </c>
      <c r="I1970" s="1"/>
      <c r="J1970" s="1"/>
      <c r="K1970" s="1"/>
      <c r="L1970" s="1"/>
      <c r="M1970" s="1"/>
      <c r="N1970" s="1"/>
      <c r="O1970" s="1"/>
      <c r="P1970" s="1"/>
      <c r="Q1970" s="1"/>
      <c r="R1970" s="1"/>
      <c r="S1970" s="1"/>
      <c r="T1970" s="1"/>
    </row>
    <row r="1971" spans="1:20" ht="33.75" customHeight="1">
      <c r="A1971" s="1" t="s">
        <v>5407</v>
      </c>
      <c r="B1971" s="1" t="s">
        <v>3929</v>
      </c>
      <c r="C1971" s="4">
        <v>39989.364583333336</v>
      </c>
      <c r="D1971" s="1" t="s">
        <v>196</v>
      </c>
      <c r="E1971" s="1"/>
      <c r="F1971" s="2" t="s">
        <v>5408</v>
      </c>
      <c r="G1971" s="1">
        <f ca="1">IFERROR(__xludf.DUMMYFUNCTION("COUNTA(SPLIT(F1971,"" ""))"),21)</f>
        <v>21</v>
      </c>
      <c r="H1971" s="1">
        <v>21</v>
      </c>
      <c r="I1971" s="1"/>
      <c r="J1971" s="1"/>
      <c r="K1971" s="1"/>
      <c r="L1971" s="1"/>
      <c r="M1971" s="1"/>
      <c r="N1971" s="1"/>
      <c r="O1971" s="1"/>
      <c r="P1971" s="1"/>
      <c r="Q1971" s="1"/>
      <c r="R1971" s="1"/>
      <c r="S1971" s="1"/>
      <c r="T1971" s="1"/>
    </row>
    <row r="1972" spans="1:20" ht="33.75" hidden="1" customHeight="1">
      <c r="A1972" s="1" t="s">
        <v>5409</v>
      </c>
      <c r="B1972" s="1" t="s">
        <v>5217</v>
      </c>
      <c r="C1972" s="4">
        <v>39989.378472222219</v>
      </c>
      <c r="D1972" s="1" t="s">
        <v>772</v>
      </c>
      <c r="E1972" s="1" t="s">
        <v>5391</v>
      </c>
      <c r="F1972" s="2" t="s">
        <v>5411</v>
      </c>
      <c r="G1972" s="1">
        <f ca="1">IFERROR(__xludf.DUMMYFUNCTION("COUNTA(SPLIT(F1972,"" ""))"),31)</f>
        <v>31</v>
      </c>
      <c r="H1972" s="1">
        <v>31</v>
      </c>
      <c r="I1972" s="1"/>
      <c r="J1972" s="1"/>
      <c r="K1972" s="1"/>
      <c r="L1972" s="1"/>
      <c r="M1972" s="1"/>
      <c r="N1972" s="1"/>
      <c r="O1972" s="1"/>
      <c r="P1972" s="1"/>
      <c r="Q1972" s="1"/>
      <c r="R1972" s="1"/>
      <c r="S1972" s="1"/>
      <c r="T1972" s="1"/>
    </row>
    <row r="1973" spans="1:20" ht="33.75" customHeight="1">
      <c r="A1973" s="1" t="s">
        <v>12</v>
      </c>
      <c r="B1973" s="1" t="s">
        <v>5412</v>
      </c>
      <c r="C1973" s="4">
        <v>39989.413703703707</v>
      </c>
      <c r="D1973" s="1" t="s">
        <v>14</v>
      </c>
      <c r="E1973" s="1"/>
      <c r="F1973" s="2" t="s">
        <v>5414</v>
      </c>
      <c r="G1973" s="1">
        <f ca="1">IFERROR(__xludf.DUMMYFUNCTION("COUNTA(SPLIT(F1973,"" ""))"),313)</f>
        <v>313</v>
      </c>
      <c r="H1973" s="1">
        <v>313</v>
      </c>
      <c r="I1973" s="1"/>
      <c r="J1973" s="1"/>
      <c r="K1973" s="1"/>
      <c r="L1973" s="1"/>
      <c r="M1973" s="1"/>
      <c r="N1973" s="1"/>
      <c r="O1973" s="1"/>
      <c r="P1973" s="1"/>
      <c r="Q1973" s="1"/>
      <c r="R1973" s="1"/>
      <c r="S1973" s="1"/>
      <c r="T1973" s="1"/>
    </row>
    <row r="1974" spans="1:20" ht="33.75" hidden="1" customHeight="1">
      <c r="A1974" s="1" t="s">
        <v>5415</v>
      </c>
      <c r="B1974" s="1" t="s">
        <v>5217</v>
      </c>
      <c r="C1974" s="4">
        <v>39989.527083333334</v>
      </c>
      <c r="D1974" s="1" t="s">
        <v>54</v>
      </c>
      <c r="E1974" s="1" t="s">
        <v>5391</v>
      </c>
      <c r="F1974" s="2" t="s">
        <v>5417</v>
      </c>
      <c r="G1974" s="1">
        <f ca="1">IFERROR(__xludf.DUMMYFUNCTION("COUNTA(SPLIT(F1974,"" ""))"),32)</f>
        <v>32</v>
      </c>
      <c r="H1974" s="1">
        <v>32</v>
      </c>
      <c r="I1974" s="1"/>
      <c r="J1974" s="1"/>
      <c r="K1974" s="1"/>
      <c r="L1974" s="1"/>
      <c r="M1974" s="1"/>
      <c r="N1974" s="1"/>
      <c r="O1974" s="1"/>
      <c r="P1974" s="1"/>
      <c r="Q1974" s="1"/>
      <c r="R1974" s="1"/>
      <c r="S1974" s="1"/>
      <c r="T1974" s="1"/>
    </row>
    <row r="1975" spans="1:20" ht="33.75" customHeight="1">
      <c r="A1975" s="1" t="s">
        <v>5418</v>
      </c>
      <c r="B1975" s="1" t="s">
        <v>5412</v>
      </c>
      <c r="C1975" s="4">
        <v>39989.68472222222</v>
      </c>
      <c r="D1975" s="1" t="s">
        <v>320</v>
      </c>
      <c r="E1975" s="1"/>
      <c r="F1975" s="2" t="s">
        <v>5420</v>
      </c>
      <c r="G1975" s="1">
        <f ca="1">IFERROR(__xludf.DUMMYFUNCTION("COUNTA(SPLIT(F1975,"" ""))"),12)</f>
        <v>12</v>
      </c>
      <c r="H1975" s="1">
        <v>12</v>
      </c>
      <c r="I1975" s="1"/>
      <c r="J1975" s="1"/>
      <c r="K1975" s="1"/>
      <c r="L1975" s="1"/>
      <c r="M1975" s="1"/>
      <c r="N1975" s="1"/>
      <c r="O1975" s="1"/>
      <c r="P1975" s="1"/>
      <c r="Q1975" s="1"/>
      <c r="R1975" s="1"/>
      <c r="S1975" s="1"/>
      <c r="T1975" s="1"/>
    </row>
    <row r="1976" spans="1:20" ht="33.75" customHeight="1">
      <c r="A1976" s="1" t="s">
        <v>5421</v>
      </c>
      <c r="B1976" s="1" t="s">
        <v>5412</v>
      </c>
      <c r="C1976" s="4">
        <v>39989.718055555553</v>
      </c>
      <c r="D1976" s="1" t="s">
        <v>320</v>
      </c>
      <c r="E1976" s="1"/>
      <c r="F1976" s="2" t="s">
        <v>5423</v>
      </c>
      <c r="G1976" s="1">
        <f ca="1">IFERROR(__xludf.DUMMYFUNCTION("COUNTA(SPLIT(F1976,"" ""))"),68)</f>
        <v>68</v>
      </c>
      <c r="H1976" s="1">
        <v>68</v>
      </c>
      <c r="I1976" s="1"/>
      <c r="J1976" s="1"/>
      <c r="K1976" s="1"/>
      <c r="L1976" s="1"/>
      <c r="M1976" s="1"/>
      <c r="N1976" s="1"/>
      <c r="O1976" s="1"/>
      <c r="P1976" s="1"/>
      <c r="Q1976" s="1"/>
      <c r="R1976" s="1"/>
      <c r="S1976" s="1"/>
      <c r="T1976" s="1"/>
    </row>
    <row r="1977" spans="1:20" ht="33.75" customHeight="1">
      <c r="A1977" s="1" t="s">
        <v>5424</v>
      </c>
      <c r="B1977" s="1" t="s">
        <v>5412</v>
      </c>
      <c r="C1977" s="4">
        <v>39989.71875</v>
      </c>
      <c r="D1977" s="1" t="s">
        <v>320</v>
      </c>
      <c r="E1977" s="1"/>
      <c r="F1977" s="2" t="s">
        <v>5425</v>
      </c>
      <c r="G1977" s="1">
        <f ca="1">IFERROR(__xludf.DUMMYFUNCTION("COUNTA(SPLIT(F1977,"" ""))"),37)</f>
        <v>37</v>
      </c>
      <c r="H1977" s="1">
        <v>37</v>
      </c>
      <c r="I1977" s="1"/>
      <c r="J1977" s="1"/>
      <c r="K1977" s="1"/>
      <c r="L1977" s="1"/>
      <c r="M1977" s="1"/>
      <c r="N1977" s="1"/>
      <c r="O1977" s="1"/>
      <c r="P1977" s="1"/>
      <c r="Q1977" s="1"/>
      <c r="R1977" s="1"/>
      <c r="S1977" s="1"/>
      <c r="T1977" s="1"/>
    </row>
    <row r="1978" spans="1:20" ht="33.75" hidden="1" customHeight="1">
      <c r="A1978" s="1" t="s">
        <v>5426</v>
      </c>
      <c r="B1978" s="1" t="s">
        <v>5217</v>
      </c>
      <c r="C1978" s="4">
        <v>39989.976388888892</v>
      </c>
      <c r="D1978" s="1" t="s">
        <v>1887</v>
      </c>
      <c r="E1978" s="1" t="s">
        <v>5391</v>
      </c>
      <c r="F1978" s="2" t="s">
        <v>5427</v>
      </c>
      <c r="G1978" s="1">
        <f ca="1">IFERROR(__xludf.DUMMYFUNCTION("COUNTA(SPLIT(F1978,"" ""))"),6)</f>
        <v>6</v>
      </c>
      <c r="H1978" s="1">
        <v>6</v>
      </c>
      <c r="I1978" s="1"/>
      <c r="J1978" s="1"/>
      <c r="K1978" s="1"/>
      <c r="L1978" s="1"/>
      <c r="M1978" s="1"/>
      <c r="N1978" s="1"/>
      <c r="O1978" s="1"/>
      <c r="P1978" s="1"/>
      <c r="Q1978" s="1"/>
      <c r="R1978" s="1"/>
      <c r="S1978" s="1"/>
      <c r="T1978" s="1"/>
    </row>
    <row r="1979" spans="1:20" ht="33.75" hidden="1" customHeight="1">
      <c r="A1979" s="1" t="s">
        <v>5428</v>
      </c>
      <c r="B1979" s="1" t="s">
        <v>5412</v>
      </c>
      <c r="C1979" s="4">
        <v>39989.976388888892</v>
      </c>
      <c r="D1979" s="1" t="s">
        <v>32</v>
      </c>
      <c r="E1979" s="1" t="s">
        <v>5429</v>
      </c>
      <c r="F1979" s="2" t="s">
        <v>5430</v>
      </c>
      <c r="G1979" s="1">
        <f ca="1">IFERROR(__xludf.DUMMYFUNCTION("COUNTA(SPLIT(F1979,"" ""))"),46)</f>
        <v>46</v>
      </c>
      <c r="H1979" s="1">
        <v>46</v>
      </c>
      <c r="I1979" s="1"/>
      <c r="J1979" s="1"/>
      <c r="K1979" s="1"/>
      <c r="L1979" s="1"/>
      <c r="M1979" s="1"/>
      <c r="N1979" s="1"/>
      <c r="O1979" s="1"/>
      <c r="P1979" s="1"/>
      <c r="Q1979" s="1"/>
      <c r="R1979" s="1"/>
      <c r="S1979" s="1"/>
      <c r="T1979" s="1"/>
    </row>
    <row r="1980" spans="1:20" ht="33.75" customHeight="1">
      <c r="A1980" s="1" t="s">
        <v>5431</v>
      </c>
      <c r="B1980" s="1" t="s">
        <v>5217</v>
      </c>
      <c r="C1980" s="4">
        <v>39990.95416666667</v>
      </c>
      <c r="D1980" s="1" t="s">
        <v>1089</v>
      </c>
      <c r="E1980" s="1"/>
      <c r="F1980" s="2" t="s">
        <v>5434</v>
      </c>
      <c r="G1980" s="1">
        <f ca="1">IFERROR(__xludf.DUMMYFUNCTION("COUNTA(SPLIT(F1980,"" ""))"),58)</f>
        <v>58</v>
      </c>
      <c r="H1980" s="1">
        <v>58</v>
      </c>
      <c r="I1980" s="1"/>
      <c r="J1980" s="1"/>
      <c r="K1980" s="1"/>
      <c r="L1980" s="1"/>
      <c r="M1980" s="1"/>
      <c r="N1980" s="1"/>
      <c r="O1980" s="1"/>
      <c r="P1980" s="1"/>
      <c r="Q1980" s="1"/>
      <c r="R1980" s="1"/>
      <c r="S1980" s="1"/>
      <c r="T1980" s="1"/>
    </row>
    <row r="1981" spans="1:20" ht="33.75" customHeight="1">
      <c r="A1981" s="1" t="s">
        <v>5435</v>
      </c>
      <c r="B1981" s="1" t="s">
        <v>5412</v>
      </c>
      <c r="C1981" s="4">
        <v>39990.979861111111</v>
      </c>
      <c r="D1981" s="1" t="s">
        <v>320</v>
      </c>
      <c r="E1981" s="1"/>
      <c r="F1981" s="2" t="s">
        <v>5437</v>
      </c>
      <c r="G1981" s="1">
        <f ca="1">IFERROR(__xludf.DUMMYFUNCTION("COUNTA(SPLIT(F1981,"" ""))"),55)</f>
        <v>55</v>
      </c>
      <c r="H1981" s="1">
        <v>55</v>
      </c>
      <c r="I1981" s="1"/>
      <c r="J1981" s="1"/>
      <c r="K1981" s="1"/>
      <c r="L1981" s="1"/>
      <c r="M1981" s="1"/>
      <c r="N1981" s="1"/>
      <c r="O1981" s="1"/>
      <c r="P1981" s="1"/>
      <c r="Q1981" s="1"/>
      <c r="R1981" s="1"/>
      <c r="S1981" s="1"/>
      <c r="T1981" s="1"/>
    </row>
    <row r="1982" spans="1:20" ht="33.75" customHeight="1">
      <c r="A1982" s="1" t="s">
        <v>5438</v>
      </c>
      <c r="B1982" s="1" t="s">
        <v>5217</v>
      </c>
      <c r="C1982" s="4">
        <v>39996.002083333333</v>
      </c>
      <c r="D1982" s="1" t="s">
        <v>1089</v>
      </c>
      <c r="E1982" s="1"/>
      <c r="F1982" s="2" t="s">
        <v>5439</v>
      </c>
      <c r="G1982" s="1">
        <f ca="1">IFERROR(__xludf.DUMMYFUNCTION("COUNTA(SPLIT(F1982,"" ""))"),26)</f>
        <v>26</v>
      </c>
      <c r="H1982" s="1">
        <v>26</v>
      </c>
      <c r="I1982" s="1"/>
      <c r="J1982" s="1"/>
      <c r="K1982" s="1"/>
      <c r="L1982" s="1"/>
      <c r="M1982" s="1"/>
      <c r="N1982" s="1"/>
      <c r="O1982" s="1"/>
      <c r="P1982" s="1"/>
      <c r="Q1982" s="1"/>
      <c r="R1982" s="1"/>
      <c r="S1982" s="1"/>
      <c r="T1982" s="1"/>
    </row>
    <row r="1983" spans="1:20" ht="33.75" hidden="1" customHeight="1">
      <c r="A1983" s="1" t="s">
        <v>5440</v>
      </c>
      <c r="B1983" s="1" t="s">
        <v>3156</v>
      </c>
      <c r="C1983" s="4">
        <v>39996.428472222222</v>
      </c>
      <c r="D1983" s="1" t="s">
        <v>5441</v>
      </c>
      <c r="E1983" s="1" t="s">
        <v>5346</v>
      </c>
      <c r="F1983" s="2" t="s">
        <v>5442</v>
      </c>
      <c r="G1983" s="1">
        <f ca="1">IFERROR(__xludf.DUMMYFUNCTION("COUNTA(SPLIT(F1983,"" ""))"),6)</f>
        <v>6</v>
      </c>
      <c r="H1983" s="1">
        <v>6</v>
      </c>
      <c r="I1983" s="1"/>
      <c r="J1983" s="1"/>
      <c r="K1983" s="1"/>
      <c r="L1983" s="1"/>
      <c r="M1983" s="1"/>
      <c r="N1983" s="1"/>
      <c r="O1983" s="1"/>
      <c r="P1983" s="1"/>
      <c r="Q1983" s="1"/>
      <c r="R1983" s="1"/>
      <c r="S1983" s="1"/>
      <c r="T1983" s="1"/>
    </row>
    <row r="1984" spans="1:20" ht="33.75" customHeight="1">
      <c r="A1984" s="1" t="s">
        <v>5443</v>
      </c>
      <c r="B1984" s="1" t="s">
        <v>5217</v>
      </c>
      <c r="C1984" s="4">
        <v>39996.661805555559</v>
      </c>
      <c r="D1984" s="1" t="s">
        <v>54</v>
      </c>
      <c r="E1984" s="1"/>
      <c r="F1984" s="2" t="s">
        <v>5446</v>
      </c>
      <c r="G1984" s="1">
        <f ca="1">IFERROR(__xludf.DUMMYFUNCTION("COUNTA(SPLIT(F1984,"" ""))"),101)</f>
        <v>101</v>
      </c>
      <c r="H1984" s="1">
        <v>101</v>
      </c>
      <c r="I1984" s="1"/>
      <c r="J1984" s="1"/>
      <c r="K1984" s="1"/>
      <c r="L1984" s="1"/>
      <c r="M1984" s="1"/>
      <c r="N1984" s="1"/>
      <c r="O1984" s="1"/>
      <c r="P1984" s="1"/>
      <c r="Q1984" s="1"/>
      <c r="R1984" s="1"/>
      <c r="S1984" s="1"/>
      <c r="T1984" s="1"/>
    </row>
    <row r="1985" spans="1:20" ht="33.75" customHeight="1">
      <c r="A1985" s="1" t="s">
        <v>5447</v>
      </c>
      <c r="B1985" s="1" t="s">
        <v>5217</v>
      </c>
      <c r="C1985" s="4">
        <v>39997.402083333334</v>
      </c>
      <c r="D1985" s="1" t="s">
        <v>772</v>
      </c>
      <c r="E1985" s="1"/>
      <c r="F1985" s="2" t="s">
        <v>5448</v>
      </c>
      <c r="G1985" s="1">
        <f ca="1">IFERROR(__xludf.DUMMYFUNCTION("COUNTA(SPLIT(F1985,"" ""))"),31)</f>
        <v>31</v>
      </c>
      <c r="H1985" s="1">
        <v>31</v>
      </c>
      <c r="I1985" s="1"/>
      <c r="J1985" s="1"/>
      <c r="K1985" s="1"/>
      <c r="L1985" s="1"/>
      <c r="M1985" s="1"/>
      <c r="N1985" s="1"/>
      <c r="O1985" s="1"/>
      <c r="P1985" s="1"/>
      <c r="Q1985" s="1"/>
      <c r="R1985" s="1"/>
      <c r="S1985" s="1"/>
      <c r="T1985" s="1"/>
    </row>
    <row r="1986" spans="1:20" ht="33.75" customHeight="1">
      <c r="A1986" s="1" t="s">
        <v>5449</v>
      </c>
      <c r="B1986" s="1" t="s">
        <v>5217</v>
      </c>
      <c r="C1986" s="4">
        <v>39997.643055555556</v>
      </c>
      <c r="D1986" s="1" t="s">
        <v>772</v>
      </c>
      <c r="E1986" s="1"/>
      <c r="F1986" s="2" t="s">
        <v>5450</v>
      </c>
      <c r="G1986" s="1">
        <f ca="1">IFERROR(__xludf.DUMMYFUNCTION("COUNTA(SPLIT(F1986,"" ""))"),48)</f>
        <v>48</v>
      </c>
      <c r="H1986" s="1">
        <v>48</v>
      </c>
      <c r="I1986" s="1"/>
      <c r="J1986" s="1"/>
      <c r="K1986" s="1"/>
      <c r="L1986" s="1"/>
      <c r="M1986" s="1"/>
      <c r="N1986" s="1"/>
      <c r="O1986" s="1"/>
      <c r="P1986" s="1"/>
      <c r="Q1986" s="1"/>
      <c r="R1986" s="1"/>
      <c r="S1986" s="1"/>
      <c r="T1986" s="1"/>
    </row>
    <row r="1987" spans="1:20" ht="33.75" hidden="1" customHeight="1">
      <c r="A1987" s="1" t="s">
        <v>5451</v>
      </c>
      <c r="B1987" s="1" t="s">
        <v>5217</v>
      </c>
      <c r="C1987" s="4">
        <v>39997.668055555558</v>
      </c>
      <c r="D1987" s="1" t="s">
        <v>54</v>
      </c>
      <c r="E1987" s="1" t="s">
        <v>5452</v>
      </c>
      <c r="F1987" s="2" t="s">
        <v>5453</v>
      </c>
      <c r="G1987" s="1">
        <f ca="1">IFERROR(__xludf.DUMMYFUNCTION("COUNTA(SPLIT(F1987,"" ""))"),211)</f>
        <v>211</v>
      </c>
      <c r="H1987" s="1">
        <v>211</v>
      </c>
      <c r="I1987" s="1"/>
      <c r="J1987" s="1"/>
      <c r="K1987" s="1"/>
      <c r="L1987" s="1"/>
      <c r="M1987" s="1"/>
      <c r="N1987" s="1"/>
      <c r="O1987" s="1"/>
      <c r="P1987" s="1"/>
      <c r="Q1987" s="1"/>
      <c r="R1987" s="1"/>
      <c r="S1987" s="1"/>
      <c r="T1987" s="1"/>
    </row>
    <row r="1988" spans="1:20" ht="33.75" customHeight="1">
      <c r="A1988" s="1" t="s">
        <v>5454</v>
      </c>
      <c r="B1988" s="1" t="s">
        <v>5217</v>
      </c>
      <c r="C1988" s="4">
        <v>39997.751388888886</v>
      </c>
      <c r="D1988" s="1" t="s">
        <v>772</v>
      </c>
      <c r="E1988" s="1"/>
      <c r="F1988" s="2" t="s">
        <v>5455</v>
      </c>
      <c r="G1988" s="1">
        <f ca="1">IFERROR(__xludf.DUMMYFUNCTION("COUNTA(SPLIT(F1988,"" ""))"),136)</f>
        <v>136</v>
      </c>
      <c r="H1988" s="1">
        <v>136</v>
      </c>
      <c r="I1988" s="1"/>
      <c r="J1988" s="1"/>
      <c r="K1988" s="1"/>
      <c r="L1988" s="1"/>
      <c r="M1988" s="1"/>
      <c r="N1988" s="1"/>
      <c r="O1988" s="1"/>
      <c r="P1988" s="1"/>
      <c r="Q1988" s="1"/>
      <c r="R1988" s="1"/>
      <c r="S1988" s="1"/>
      <c r="T1988" s="1"/>
    </row>
    <row r="1989" spans="1:20" ht="33.75" hidden="1" customHeight="1">
      <c r="A1989" s="1" t="s">
        <v>5456</v>
      </c>
      <c r="B1989" s="1" t="s">
        <v>5217</v>
      </c>
      <c r="C1989" s="4">
        <v>39998.361805555556</v>
      </c>
      <c r="D1989" s="1" t="s">
        <v>54</v>
      </c>
      <c r="E1989" s="1" t="s">
        <v>5454</v>
      </c>
      <c r="F1989" s="2" t="s">
        <v>5457</v>
      </c>
      <c r="G1989" s="1">
        <f ca="1">IFERROR(__xludf.DUMMYFUNCTION("COUNTA(SPLIT(F1989,"" ""))"),122)</f>
        <v>122</v>
      </c>
      <c r="H1989" s="1">
        <v>122</v>
      </c>
      <c r="I1989" s="1"/>
      <c r="J1989" s="1"/>
      <c r="K1989" s="1"/>
      <c r="L1989" s="1"/>
      <c r="M1989" s="1"/>
      <c r="N1989" s="1"/>
      <c r="O1989" s="1"/>
      <c r="P1989" s="1"/>
      <c r="Q1989" s="1"/>
      <c r="R1989" s="1"/>
      <c r="S1989" s="1"/>
      <c r="T1989" s="1"/>
    </row>
    <row r="1990" spans="1:20" ht="33.75" customHeight="1">
      <c r="A1990" s="1" t="s">
        <v>5458</v>
      </c>
      <c r="B1990" s="1" t="s">
        <v>5217</v>
      </c>
      <c r="C1990" s="4">
        <v>40000.443749999999</v>
      </c>
      <c r="D1990" s="1" t="s">
        <v>1887</v>
      </c>
      <c r="E1990" s="1"/>
      <c r="F1990" s="2" t="s">
        <v>5460</v>
      </c>
      <c r="G1990" s="1">
        <f ca="1">IFERROR(__xludf.DUMMYFUNCTION("COUNTA(SPLIT(F1990,"" ""))"),35)</f>
        <v>35</v>
      </c>
      <c r="H1990" s="1">
        <v>35</v>
      </c>
      <c r="I1990" s="1"/>
      <c r="J1990" s="1"/>
      <c r="K1990" s="1"/>
      <c r="L1990" s="1"/>
      <c r="M1990" s="1"/>
      <c r="N1990" s="1"/>
      <c r="O1990" s="1"/>
      <c r="P1990" s="1"/>
      <c r="Q1990" s="1"/>
      <c r="R1990" s="1"/>
      <c r="S1990" s="1"/>
      <c r="T1990" s="1"/>
    </row>
    <row r="1991" spans="1:20" ht="33.75" customHeight="1">
      <c r="A1991" s="1" t="s">
        <v>5461</v>
      </c>
      <c r="B1991" s="1" t="s">
        <v>5217</v>
      </c>
      <c r="C1991" s="4">
        <v>40000.538888888892</v>
      </c>
      <c r="D1991" s="1" t="s">
        <v>54</v>
      </c>
      <c r="E1991" s="1"/>
      <c r="F1991" s="2" t="s">
        <v>5463</v>
      </c>
      <c r="G1991" s="1">
        <f ca="1">IFERROR(__xludf.DUMMYFUNCTION("COUNTA(SPLIT(F1991,"" ""))"),238)</f>
        <v>238</v>
      </c>
      <c r="H1991" s="1">
        <v>238</v>
      </c>
      <c r="I1991" s="1"/>
      <c r="J1991" s="1"/>
      <c r="K1991" s="1"/>
      <c r="L1991" s="1"/>
      <c r="M1991" s="1"/>
      <c r="N1991" s="1"/>
      <c r="O1991" s="1"/>
      <c r="P1991" s="1"/>
      <c r="Q1991" s="1"/>
      <c r="R1991" s="1"/>
      <c r="S1991" s="1"/>
      <c r="T1991" s="1"/>
    </row>
    <row r="1992" spans="1:20" ht="33.75" customHeight="1">
      <c r="A1992" s="1" t="s">
        <v>5464</v>
      </c>
      <c r="B1992" s="1" t="s">
        <v>5217</v>
      </c>
      <c r="C1992" s="4">
        <v>40000.831250000003</v>
      </c>
      <c r="D1992" s="1" t="s">
        <v>772</v>
      </c>
      <c r="E1992" s="1"/>
      <c r="F1992" s="2" t="s">
        <v>5465</v>
      </c>
      <c r="G1992" s="1">
        <f ca="1">IFERROR(__xludf.DUMMYFUNCTION("COUNTA(SPLIT(F1992,"" ""))"),76)</f>
        <v>76</v>
      </c>
      <c r="H1992" s="1">
        <v>76</v>
      </c>
      <c r="I1992" s="1"/>
      <c r="J1992" s="1"/>
      <c r="K1992" s="1"/>
      <c r="L1992" s="1"/>
      <c r="M1992" s="1"/>
      <c r="N1992" s="1"/>
      <c r="O1992" s="1"/>
      <c r="P1992" s="1"/>
      <c r="Q1992" s="1"/>
      <c r="R1992" s="1"/>
      <c r="S1992" s="1"/>
      <c r="T1992" s="1"/>
    </row>
    <row r="1993" spans="1:20" ht="33.75" customHeight="1">
      <c r="A1993" s="1" t="s">
        <v>5466</v>
      </c>
      <c r="B1993" s="1" t="s">
        <v>5217</v>
      </c>
      <c r="C1993" s="4">
        <v>40000.869444444441</v>
      </c>
      <c r="D1993" s="1" t="s">
        <v>772</v>
      </c>
      <c r="E1993" s="1"/>
      <c r="F1993" s="2" t="s">
        <v>5467</v>
      </c>
      <c r="G1993" s="1">
        <f ca="1">IFERROR(__xludf.DUMMYFUNCTION("COUNTA(SPLIT(F1993,"" ""))"),142)</f>
        <v>142</v>
      </c>
      <c r="H1993" s="1">
        <v>142</v>
      </c>
      <c r="I1993" s="1"/>
      <c r="J1993" s="1"/>
      <c r="K1993" s="1"/>
      <c r="L1993" s="1"/>
      <c r="M1993" s="1"/>
      <c r="N1993" s="1"/>
      <c r="O1993" s="1"/>
      <c r="P1993" s="1"/>
      <c r="Q1993" s="1"/>
      <c r="R1993" s="1"/>
      <c r="S1993" s="1"/>
      <c r="T1993" s="1"/>
    </row>
    <row r="1994" spans="1:20" ht="33.75" hidden="1" customHeight="1">
      <c r="A1994" s="1" t="s">
        <v>5468</v>
      </c>
      <c r="B1994" s="1" t="s">
        <v>5217</v>
      </c>
      <c r="C1994" s="4">
        <v>40000.902083333334</v>
      </c>
      <c r="D1994" s="1" t="s">
        <v>54</v>
      </c>
      <c r="E1994" s="1" t="s">
        <v>5466</v>
      </c>
      <c r="F1994" s="2" t="s">
        <v>5470</v>
      </c>
      <c r="G1994" s="1">
        <f ca="1">IFERROR(__xludf.DUMMYFUNCTION("COUNTA(SPLIT(F1994,"" ""))"),293)</f>
        <v>293</v>
      </c>
      <c r="H1994" s="1">
        <v>293</v>
      </c>
      <c r="I1994" s="1"/>
      <c r="J1994" s="1"/>
      <c r="K1994" s="1"/>
      <c r="L1994" s="1"/>
      <c r="M1994" s="1"/>
      <c r="N1994" s="1"/>
      <c r="O1994" s="1"/>
      <c r="P1994" s="1"/>
      <c r="Q1994" s="1"/>
      <c r="R1994" s="1"/>
      <c r="S1994" s="1"/>
      <c r="T1994" s="1"/>
    </row>
    <row r="1995" spans="1:20" ht="33.75" customHeight="1">
      <c r="A1995" s="1" t="s">
        <v>5471</v>
      </c>
      <c r="B1995" s="1" t="s">
        <v>5217</v>
      </c>
      <c r="C1995" s="4">
        <v>40001.32708333333</v>
      </c>
      <c r="D1995" s="1" t="s">
        <v>1089</v>
      </c>
      <c r="E1995" s="1"/>
      <c r="F1995" s="2" t="s">
        <v>5472</v>
      </c>
      <c r="G1995" s="1">
        <f ca="1">IFERROR(__xludf.DUMMYFUNCTION("COUNTA(SPLIT(F1995,"" ""))"),74)</f>
        <v>74</v>
      </c>
      <c r="H1995" s="1">
        <v>74</v>
      </c>
      <c r="I1995" s="1"/>
      <c r="J1995" s="1"/>
      <c r="K1995" s="1"/>
      <c r="L1995" s="1"/>
      <c r="M1995" s="1"/>
      <c r="N1995" s="1"/>
      <c r="O1995" s="1"/>
      <c r="P1995" s="1"/>
      <c r="Q1995" s="1"/>
      <c r="R1995" s="1"/>
      <c r="S1995" s="1"/>
      <c r="T1995" s="1"/>
    </row>
    <row r="1996" spans="1:20" ht="33.75" customHeight="1">
      <c r="A1996" s="1" t="s">
        <v>5473</v>
      </c>
      <c r="B1996" s="1" t="s">
        <v>5217</v>
      </c>
      <c r="C1996" s="4">
        <v>40001.359722222223</v>
      </c>
      <c r="D1996" s="1" t="s">
        <v>772</v>
      </c>
      <c r="E1996" s="1"/>
      <c r="F1996" s="2" t="s">
        <v>5474</v>
      </c>
      <c r="G1996" s="1">
        <f ca="1">IFERROR(__xludf.DUMMYFUNCTION("COUNTA(SPLIT(F1996,"" ""))"),79)</f>
        <v>79</v>
      </c>
      <c r="H1996" s="1">
        <v>79</v>
      </c>
      <c r="I1996" s="1"/>
      <c r="J1996" s="1"/>
      <c r="K1996" s="1"/>
      <c r="L1996" s="1"/>
      <c r="M1996" s="1"/>
      <c r="N1996" s="1"/>
      <c r="O1996" s="1"/>
      <c r="P1996" s="1"/>
      <c r="Q1996" s="1"/>
      <c r="R1996" s="1"/>
      <c r="S1996" s="1"/>
      <c r="T1996" s="1"/>
    </row>
    <row r="1997" spans="1:20" ht="33.75" customHeight="1">
      <c r="A1997" s="1" t="s">
        <v>5475</v>
      </c>
      <c r="B1997" s="1" t="s">
        <v>5217</v>
      </c>
      <c r="C1997" s="4">
        <v>40001.379166666666</v>
      </c>
      <c r="D1997" s="1" t="s">
        <v>1089</v>
      </c>
      <c r="E1997" s="1"/>
      <c r="F1997" s="2" t="s">
        <v>5476</v>
      </c>
      <c r="G1997" s="1">
        <f ca="1">IFERROR(__xludf.DUMMYFUNCTION("COUNTA(SPLIT(F1997,"" ""))"),64)</f>
        <v>64</v>
      </c>
      <c r="H1997" s="1">
        <v>64</v>
      </c>
      <c r="I1997" s="1"/>
      <c r="J1997" s="1"/>
      <c r="K1997" s="1"/>
      <c r="L1997" s="1"/>
      <c r="M1997" s="1"/>
      <c r="N1997" s="1"/>
      <c r="O1997" s="1"/>
      <c r="P1997" s="1"/>
      <c r="Q1997" s="1"/>
      <c r="R1997" s="1"/>
      <c r="S1997" s="1"/>
      <c r="T1997" s="1"/>
    </row>
    <row r="1998" spans="1:20" ht="33.75" hidden="1" customHeight="1">
      <c r="A1998" s="1" t="s">
        <v>5477</v>
      </c>
      <c r="B1998" s="1" t="s">
        <v>5217</v>
      </c>
      <c r="C1998" s="4">
        <v>40001.401388888888</v>
      </c>
      <c r="D1998" s="1" t="s">
        <v>54</v>
      </c>
      <c r="E1998" s="1" t="s">
        <v>5475</v>
      </c>
      <c r="F1998" s="2" t="s">
        <v>5479</v>
      </c>
      <c r="G1998" s="1">
        <f ca="1">IFERROR(__xludf.DUMMYFUNCTION("COUNTA(SPLIT(F1998,"" ""))"),309)</f>
        <v>309</v>
      </c>
      <c r="H1998" s="1">
        <v>309</v>
      </c>
      <c r="I1998" s="1"/>
      <c r="J1998" s="1"/>
      <c r="K1998" s="1"/>
      <c r="L1998" s="1"/>
      <c r="M1998" s="1"/>
      <c r="N1998" s="1"/>
      <c r="O1998" s="1"/>
      <c r="P1998" s="1"/>
      <c r="Q1998" s="1"/>
      <c r="R1998" s="1"/>
      <c r="S1998" s="1"/>
      <c r="T1998" s="1"/>
    </row>
    <row r="1999" spans="1:20" ht="33.75" customHeight="1">
      <c r="A1999" s="1" t="s">
        <v>5480</v>
      </c>
      <c r="B1999" s="1" t="s">
        <v>5217</v>
      </c>
      <c r="C1999" s="4">
        <v>40001.40347222222</v>
      </c>
      <c r="D1999" s="1" t="s">
        <v>54</v>
      </c>
      <c r="E1999" s="1"/>
      <c r="F1999" s="2" t="s">
        <v>5481</v>
      </c>
      <c r="G1999" s="1">
        <f ca="1">IFERROR(__xludf.DUMMYFUNCTION("COUNTA(SPLIT(F1999,"" ""))"),79)</f>
        <v>79</v>
      </c>
      <c r="H1999" s="1">
        <v>79</v>
      </c>
      <c r="I1999" s="1"/>
      <c r="J1999" s="1"/>
      <c r="K1999" s="1"/>
      <c r="L1999" s="1"/>
      <c r="M1999" s="1"/>
      <c r="N1999" s="1"/>
      <c r="O1999" s="1"/>
      <c r="P1999" s="1"/>
      <c r="Q1999" s="1"/>
      <c r="R1999" s="1"/>
      <c r="S1999" s="1"/>
      <c r="T1999" s="1"/>
    </row>
    <row r="2000" spans="1:20" ht="33.75" customHeight="1">
      <c r="A2000" s="1" t="s">
        <v>5482</v>
      </c>
      <c r="B2000" s="1" t="s">
        <v>5217</v>
      </c>
      <c r="C2000" s="4">
        <v>40001.425000000003</v>
      </c>
      <c r="D2000" s="1" t="s">
        <v>1089</v>
      </c>
      <c r="E2000" s="1"/>
      <c r="F2000" s="2" t="s">
        <v>5483</v>
      </c>
      <c r="G2000" s="1">
        <f ca="1">IFERROR(__xludf.DUMMYFUNCTION("COUNTA(SPLIT(F2000,"" ""))"),58)</f>
        <v>58</v>
      </c>
      <c r="H2000" s="1">
        <v>58</v>
      </c>
      <c r="I2000" s="1"/>
      <c r="J2000" s="1"/>
      <c r="K2000" s="1"/>
      <c r="L2000" s="1"/>
      <c r="M2000" s="1"/>
      <c r="N2000" s="1"/>
      <c r="O2000" s="1"/>
      <c r="P2000" s="1"/>
      <c r="Q2000" s="1"/>
      <c r="R2000" s="1"/>
      <c r="S2000" s="1"/>
      <c r="T2000" s="1"/>
    </row>
    <row r="2001" spans="1:20" ht="33.75" customHeight="1">
      <c r="A2001" s="1" t="s">
        <v>5484</v>
      </c>
      <c r="B2001" s="1" t="s">
        <v>5217</v>
      </c>
      <c r="C2001" s="4">
        <v>40001.443749999999</v>
      </c>
      <c r="D2001" s="1" t="s">
        <v>1089</v>
      </c>
      <c r="E2001" s="1"/>
      <c r="F2001" s="2" t="s">
        <v>5485</v>
      </c>
      <c r="G2001" s="1">
        <f ca="1">IFERROR(__xludf.DUMMYFUNCTION("COUNTA(SPLIT(F2001,"" ""))"),55)</f>
        <v>55</v>
      </c>
      <c r="H2001" s="1">
        <v>55</v>
      </c>
      <c r="I2001" s="1"/>
      <c r="J2001" s="1"/>
      <c r="K2001" s="1"/>
      <c r="L2001" s="1"/>
      <c r="M2001" s="1"/>
      <c r="N2001" s="1"/>
      <c r="O2001" s="1"/>
      <c r="P2001" s="1"/>
      <c r="Q2001" s="1"/>
      <c r="R2001" s="1"/>
      <c r="S2001" s="1"/>
      <c r="T2001" s="1"/>
    </row>
    <row r="2002" spans="1:20" ht="33.75" customHeight="1">
      <c r="A2002" s="1" t="s">
        <v>5486</v>
      </c>
      <c r="B2002" s="1" t="s">
        <v>5217</v>
      </c>
      <c r="C2002" s="4">
        <v>40001.490972222222</v>
      </c>
      <c r="D2002" s="1" t="s">
        <v>1089</v>
      </c>
      <c r="E2002" s="1"/>
      <c r="F2002" s="2" t="s">
        <v>5487</v>
      </c>
      <c r="G2002" s="1">
        <f ca="1">IFERROR(__xludf.DUMMYFUNCTION("COUNTA(SPLIT(F2002,"" ""))"),96)</f>
        <v>96</v>
      </c>
      <c r="H2002" s="1">
        <v>96</v>
      </c>
      <c r="I2002" s="1"/>
      <c r="J2002" s="1"/>
      <c r="K2002" s="1"/>
      <c r="L2002" s="1"/>
      <c r="M2002" s="1"/>
      <c r="N2002" s="1"/>
      <c r="O2002" s="1"/>
      <c r="P2002" s="1"/>
      <c r="Q2002" s="1"/>
      <c r="R2002" s="1"/>
      <c r="S2002" s="1"/>
      <c r="T2002" s="1"/>
    </row>
    <row r="2003" spans="1:20" ht="33.75" customHeight="1">
      <c r="A2003" s="1" t="s">
        <v>5488</v>
      </c>
      <c r="B2003" s="1" t="s">
        <v>5217</v>
      </c>
      <c r="C2003" s="4">
        <v>40001.542361111111</v>
      </c>
      <c r="D2003" s="1" t="s">
        <v>54</v>
      </c>
      <c r="E2003" s="1"/>
      <c r="F2003" s="2" t="s">
        <v>5489</v>
      </c>
      <c r="G2003" s="1">
        <f ca="1">IFERROR(__xludf.DUMMYFUNCTION("COUNTA(SPLIT(F2003,"" ""))"),79)</f>
        <v>79</v>
      </c>
      <c r="H2003" s="1">
        <v>79</v>
      </c>
      <c r="I2003" s="1"/>
      <c r="J2003" s="1"/>
      <c r="K2003" s="1"/>
      <c r="L2003" s="1"/>
      <c r="M2003" s="1"/>
      <c r="N2003" s="1"/>
      <c r="O2003" s="1"/>
      <c r="P2003" s="1"/>
      <c r="Q2003" s="1"/>
      <c r="R2003" s="1"/>
      <c r="S2003" s="1"/>
      <c r="T2003" s="1"/>
    </row>
    <row r="2004" spans="1:20" ht="33.75" customHeight="1">
      <c r="A2004" s="1" t="s">
        <v>5490</v>
      </c>
      <c r="B2004" s="1" t="s">
        <v>5217</v>
      </c>
      <c r="C2004" s="4">
        <v>40001.555555555555</v>
      </c>
      <c r="D2004" s="1" t="s">
        <v>54</v>
      </c>
      <c r="E2004" s="1"/>
      <c r="F2004" s="2" t="s">
        <v>5491</v>
      </c>
      <c r="G2004" s="1">
        <f ca="1">IFERROR(__xludf.DUMMYFUNCTION("COUNTA(SPLIT(F2004,"" ""))"),276)</f>
        <v>276</v>
      </c>
      <c r="H2004" s="1">
        <v>276</v>
      </c>
      <c r="I2004" s="1"/>
      <c r="J2004" s="1"/>
      <c r="K2004" s="1"/>
      <c r="L2004" s="1"/>
      <c r="M2004" s="1"/>
      <c r="N2004" s="1"/>
      <c r="O2004" s="1"/>
      <c r="P2004" s="1"/>
      <c r="Q2004" s="1"/>
      <c r="R2004" s="1"/>
      <c r="S2004" s="1"/>
      <c r="T2004" s="1"/>
    </row>
    <row r="2005" spans="1:20" ht="33.75" customHeight="1">
      <c r="A2005" s="1" t="s">
        <v>5492</v>
      </c>
      <c r="B2005" s="1" t="s">
        <v>5217</v>
      </c>
      <c r="C2005" s="4">
        <v>40001.56527777778</v>
      </c>
      <c r="D2005" s="1" t="s">
        <v>54</v>
      </c>
      <c r="E2005" s="1"/>
      <c r="F2005" s="2" t="s">
        <v>5493</v>
      </c>
      <c r="G2005" s="1">
        <f ca="1">IFERROR(__xludf.DUMMYFUNCTION("COUNTA(SPLIT(F2005,"" ""))"),94)</f>
        <v>94</v>
      </c>
      <c r="H2005" s="1">
        <v>94</v>
      </c>
      <c r="I2005" s="1"/>
      <c r="J2005" s="1"/>
      <c r="K2005" s="1"/>
      <c r="L2005" s="1"/>
      <c r="M2005" s="1"/>
      <c r="N2005" s="1"/>
      <c r="O2005" s="1"/>
      <c r="P2005" s="1"/>
      <c r="Q2005" s="1"/>
      <c r="R2005" s="1"/>
      <c r="S2005" s="1"/>
      <c r="T2005" s="1"/>
    </row>
    <row r="2006" spans="1:20" ht="33.75" customHeight="1">
      <c r="A2006" s="1" t="s">
        <v>5494</v>
      </c>
      <c r="B2006" s="1" t="s">
        <v>5217</v>
      </c>
      <c r="C2006" s="4">
        <v>40001.569444444445</v>
      </c>
      <c r="D2006" s="1" t="s">
        <v>54</v>
      </c>
      <c r="E2006" s="1"/>
      <c r="F2006" s="2" t="s">
        <v>5495</v>
      </c>
      <c r="G2006" s="1">
        <f ca="1">IFERROR(__xludf.DUMMYFUNCTION("COUNTA(SPLIT(F2006,"" ""))"),151)</f>
        <v>151</v>
      </c>
      <c r="H2006" s="1">
        <v>151</v>
      </c>
      <c r="I2006" s="1"/>
      <c r="J2006" s="1"/>
      <c r="K2006" s="1"/>
      <c r="L2006" s="1"/>
      <c r="M2006" s="1"/>
      <c r="N2006" s="1"/>
      <c r="O2006" s="1"/>
      <c r="P2006" s="1"/>
      <c r="Q2006" s="1"/>
      <c r="R2006" s="1"/>
      <c r="S2006" s="1"/>
      <c r="T2006" s="1"/>
    </row>
    <row r="2007" spans="1:20" ht="33.75" customHeight="1">
      <c r="A2007" s="1" t="s">
        <v>5496</v>
      </c>
      <c r="B2007" s="1" t="s">
        <v>5217</v>
      </c>
      <c r="C2007" s="4">
        <v>40002.250694444447</v>
      </c>
      <c r="D2007" s="1" t="s">
        <v>1089</v>
      </c>
      <c r="E2007" s="1"/>
      <c r="F2007" s="2" t="s">
        <v>5497</v>
      </c>
      <c r="G2007" s="1">
        <f ca="1">IFERROR(__xludf.DUMMYFUNCTION("COUNTA(SPLIT(F2007,"" ""))"),82)</f>
        <v>82</v>
      </c>
      <c r="H2007" s="1">
        <v>82</v>
      </c>
      <c r="I2007" s="1"/>
      <c r="J2007" s="1"/>
      <c r="K2007" s="1"/>
      <c r="L2007" s="1"/>
      <c r="M2007" s="1"/>
      <c r="N2007" s="1"/>
      <c r="O2007" s="1"/>
      <c r="P2007" s="1"/>
      <c r="Q2007" s="1"/>
      <c r="R2007" s="1"/>
      <c r="S2007" s="1"/>
      <c r="T2007" s="1"/>
    </row>
    <row r="2008" spans="1:20" ht="33.75" customHeight="1">
      <c r="A2008" s="1" t="s">
        <v>5498</v>
      </c>
      <c r="B2008" s="1" t="s">
        <v>5217</v>
      </c>
      <c r="C2008" s="4">
        <v>40002.442361111112</v>
      </c>
      <c r="D2008" s="1" t="s">
        <v>772</v>
      </c>
      <c r="E2008" s="1"/>
      <c r="F2008" s="2" t="s">
        <v>5499</v>
      </c>
      <c r="G2008" s="1">
        <f ca="1">IFERROR(__xludf.DUMMYFUNCTION("COUNTA(SPLIT(F2008,"" ""))"),208)</f>
        <v>208</v>
      </c>
      <c r="H2008" s="1">
        <v>208</v>
      </c>
      <c r="I2008" s="1"/>
      <c r="J2008" s="1"/>
      <c r="K2008" s="1"/>
      <c r="L2008" s="1"/>
      <c r="M2008" s="1"/>
      <c r="N2008" s="1"/>
      <c r="O2008" s="1"/>
      <c r="P2008" s="1"/>
      <c r="Q2008" s="1"/>
      <c r="R2008" s="1"/>
      <c r="S2008" s="1"/>
      <c r="T2008" s="1"/>
    </row>
    <row r="2009" spans="1:20" ht="33.75" hidden="1" customHeight="1">
      <c r="A2009" s="1" t="s">
        <v>5500</v>
      </c>
      <c r="B2009" s="1" t="s">
        <v>5217</v>
      </c>
      <c r="C2009" s="4">
        <v>40002.448611111111</v>
      </c>
      <c r="D2009" s="1" t="s">
        <v>772</v>
      </c>
      <c r="E2009" s="1" t="s">
        <v>5498</v>
      </c>
      <c r="F2009" s="2" t="s">
        <v>5501</v>
      </c>
      <c r="G2009" s="1">
        <f ca="1">IFERROR(__xludf.DUMMYFUNCTION("COUNTA(SPLIT(F2009,"" ""))"),96)</f>
        <v>96</v>
      </c>
      <c r="H2009" s="1">
        <v>96</v>
      </c>
      <c r="I2009" s="1"/>
      <c r="J2009" s="1"/>
      <c r="K2009" s="1"/>
      <c r="L2009" s="1"/>
      <c r="M2009" s="1"/>
      <c r="N2009" s="1"/>
      <c r="O2009" s="1"/>
      <c r="P2009" s="1"/>
      <c r="Q2009" s="1"/>
      <c r="R2009" s="1"/>
      <c r="S2009" s="1"/>
      <c r="T2009" s="1"/>
    </row>
    <row r="2010" spans="1:20" ht="33.75" customHeight="1">
      <c r="A2010" s="1" t="s">
        <v>5502</v>
      </c>
      <c r="B2010" s="1" t="s">
        <v>5217</v>
      </c>
      <c r="C2010" s="4">
        <v>40002.470833333333</v>
      </c>
      <c r="D2010" s="1" t="s">
        <v>54</v>
      </c>
      <c r="E2010" s="1"/>
      <c r="F2010" s="2" t="s">
        <v>5503</v>
      </c>
      <c r="G2010" s="1">
        <f ca="1">IFERROR(__xludf.DUMMYFUNCTION("COUNTA(SPLIT(F2010,"" ""))"),270)</f>
        <v>270</v>
      </c>
      <c r="H2010" s="1">
        <v>270</v>
      </c>
      <c r="I2010" s="1"/>
      <c r="J2010" s="1"/>
      <c r="K2010" s="1"/>
      <c r="L2010" s="1"/>
      <c r="M2010" s="1"/>
      <c r="N2010" s="1"/>
      <c r="O2010" s="1"/>
      <c r="P2010" s="1"/>
      <c r="Q2010" s="1"/>
      <c r="R2010" s="1"/>
      <c r="S2010" s="1"/>
      <c r="T2010" s="1"/>
    </row>
    <row r="2011" spans="1:20" ht="33.75" hidden="1" customHeight="1">
      <c r="A2011" s="1" t="s">
        <v>5504</v>
      </c>
      <c r="B2011" s="1" t="s">
        <v>5217</v>
      </c>
      <c r="C2011" s="4">
        <v>40002.477083333331</v>
      </c>
      <c r="D2011" s="1" t="s">
        <v>772</v>
      </c>
      <c r="E2011" s="1" t="s">
        <v>5505</v>
      </c>
      <c r="F2011" s="2" t="s">
        <v>5506</v>
      </c>
      <c r="G2011" s="1">
        <f ca="1">IFERROR(__xludf.DUMMYFUNCTION("COUNTA(SPLIT(F2011,"" ""))"),175)</f>
        <v>175</v>
      </c>
      <c r="H2011" s="1">
        <v>175</v>
      </c>
      <c r="I2011" s="1"/>
      <c r="J2011" s="1"/>
      <c r="K2011" s="1"/>
      <c r="L2011" s="1"/>
      <c r="M2011" s="1"/>
      <c r="N2011" s="1"/>
      <c r="O2011" s="1"/>
      <c r="P2011" s="1"/>
      <c r="Q2011" s="1"/>
      <c r="R2011" s="1"/>
      <c r="S2011" s="1"/>
      <c r="T2011" s="1"/>
    </row>
    <row r="2012" spans="1:20" ht="33.75" hidden="1" customHeight="1">
      <c r="A2012" s="1" t="s">
        <v>5507</v>
      </c>
      <c r="B2012" s="1" t="s">
        <v>5217</v>
      </c>
      <c r="C2012" s="4">
        <v>40002.496527777781</v>
      </c>
      <c r="D2012" s="1" t="s">
        <v>772</v>
      </c>
      <c r="E2012" s="1" t="s">
        <v>5505</v>
      </c>
      <c r="F2012" s="2" t="s">
        <v>5509</v>
      </c>
      <c r="G2012" s="1">
        <f ca="1">IFERROR(__xludf.DUMMYFUNCTION("COUNTA(SPLIT(F2012,"" ""))"),301)</f>
        <v>301</v>
      </c>
      <c r="H2012" s="1">
        <v>301</v>
      </c>
      <c r="I2012" s="1"/>
      <c r="J2012" s="1"/>
      <c r="K2012" s="1"/>
      <c r="L2012" s="1"/>
      <c r="M2012" s="1"/>
      <c r="N2012" s="1"/>
      <c r="O2012" s="1"/>
      <c r="P2012" s="1"/>
      <c r="Q2012" s="1"/>
      <c r="R2012" s="1"/>
      <c r="S2012" s="1"/>
      <c r="T2012" s="1"/>
    </row>
    <row r="2013" spans="1:20" ht="33.75" customHeight="1">
      <c r="A2013" s="1" t="s">
        <v>5510</v>
      </c>
      <c r="B2013" s="1" t="s">
        <v>5217</v>
      </c>
      <c r="C2013" s="4">
        <v>40003.165972222225</v>
      </c>
      <c r="D2013" s="1" t="s">
        <v>1089</v>
      </c>
      <c r="E2013" s="1"/>
      <c r="F2013" s="2" t="s">
        <v>5512</v>
      </c>
      <c r="G2013" s="1">
        <f ca="1">IFERROR(__xludf.DUMMYFUNCTION("COUNTA(SPLIT(F2013,"" ""))"),107)</f>
        <v>107</v>
      </c>
      <c r="H2013" s="1">
        <v>107</v>
      </c>
      <c r="I2013" s="1"/>
      <c r="J2013" s="1"/>
      <c r="K2013" s="1"/>
      <c r="L2013" s="1"/>
      <c r="M2013" s="1"/>
      <c r="N2013" s="1"/>
      <c r="O2013" s="1"/>
      <c r="P2013" s="1"/>
      <c r="Q2013" s="1"/>
      <c r="R2013" s="1"/>
      <c r="S2013" s="1"/>
      <c r="T2013" s="1"/>
    </row>
    <row r="2014" spans="1:20" ht="33.75" hidden="1" customHeight="1">
      <c r="A2014" s="1" t="s">
        <v>5513</v>
      </c>
      <c r="B2014" s="1" t="s">
        <v>5514</v>
      </c>
      <c r="C2014" s="4">
        <v>40003.385416666664</v>
      </c>
      <c r="D2014" s="1" t="s">
        <v>54</v>
      </c>
      <c r="E2014" s="1" t="s">
        <v>5515</v>
      </c>
      <c r="F2014" s="2" t="s">
        <v>5516</v>
      </c>
      <c r="G2014" s="1">
        <f ca="1">IFERROR(__xludf.DUMMYFUNCTION("COUNTA(SPLIT(F2014,"" ""))"),444)</f>
        <v>444</v>
      </c>
      <c r="H2014" s="1">
        <v>444</v>
      </c>
      <c r="I2014" s="1"/>
      <c r="J2014" s="1"/>
      <c r="K2014" s="1"/>
      <c r="L2014" s="1"/>
      <c r="M2014" s="1"/>
      <c r="N2014" s="1"/>
      <c r="O2014" s="1"/>
      <c r="P2014" s="1"/>
      <c r="Q2014" s="1"/>
      <c r="R2014" s="1"/>
      <c r="S2014" s="1"/>
      <c r="T2014" s="1"/>
    </row>
    <row r="2015" spans="1:20" ht="33.75" hidden="1" customHeight="1">
      <c r="A2015" s="1" t="s">
        <v>5517</v>
      </c>
      <c r="B2015" s="1" t="s">
        <v>5514</v>
      </c>
      <c r="C2015" s="4">
        <v>40003.515972222223</v>
      </c>
      <c r="D2015" s="1" t="s">
        <v>772</v>
      </c>
      <c r="E2015" s="1" t="s">
        <v>5513</v>
      </c>
      <c r="F2015" s="2" t="s">
        <v>5518</v>
      </c>
      <c r="G2015" s="1">
        <f ca="1">IFERROR(__xludf.DUMMYFUNCTION("COUNTA(SPLIT(F2015,"" ""))"),319)</f>
        <v>319</v>
      </c>
      <c r="H2015" s="1">
        <v>319</v>
      </c>
      <c r="I2015" s="1"/>
      <c r="J2015" s="1"/>
      <c r="K2015" s="1"/>
      <c r="L2015" s="1"/>
      <c r="M2015" s="1"/>
      <c r="N2015" s="1"/>
      <c r="O2015" s="1"/>
      <c r="P2015" s="1"/>
      <c r="Q2015" s="1"/>
      <c r="R2015" s="1"/>
      <c r="S2015" s="1"/>
      <c r="T2015" s="1"/>
    </row>
    <row r="2016" spans="1:20" ht="33.75" hidden="1" customHeight="1">
      <c r="A2016" s="1" t="s">
        <v>5519</v>
      </c>
      <c r="B2016" s="1" t="s">
        <v>5514</v>
      </c>
      <c r="C2016" s="4">
        <v>40003.602083333331</v>
      </c>
      <c r="D2016" s="1" t="s">
        <v>54</v>
      </c>
      <c r="E2016" s="1" t="s">
        <v>5517</v>
      </c>
      <c r="F2016" s="2" t="s">
        <v>5521</v>
      </c>
      <c r="G2016" s="1">
        <f ca="1">IFERROR(__xludf.DUMMYFUNCTION("COUNTA(SPLIT(F2016,"" ""))"),112)</f>
        <v>112</v>
      </c>
      <c r="H2016" s="1">
        <v>112</v>
      </c>
      <c r="I2016" s="1"/>
      <c r="J2016" s="1"/>
      <c r="K2016" s="1"/>
      <c r="L2016" s="1"/>
      <c r="M2016" s="1"/>
      <c r="N2016" s="1"/>
      <c r="O2016" s="1"/>
      <c r="P2016" s="1"/>
      <c r="Q2016" s="1"/>
      <c r="R2016" s="1"/>
      <c r="S2016" s="1"/>
      <c r="T2016" s="1"/>
    </row>
    <row r="2017" spans="1:20" ht="33.75" customHeight="1">
      <c r="A2017" s="1" t="s">
        <v>12</v>
      </c>
      <c r="B2017" s="1" t="s">
        <v>5514</v>
      </c>
      <c r="C2017" s="4">
        <v>40003.686296296299</v>
      </c>
      <c r="D2017" s="1" t="s">
        <v>175</v>
      </c>
      <c r="E2017" s="1"/>
      <c r="F2017" s="2" t="s">
        <v>5523</v>
      </c>
      <c r="G2017" s="1">
        <f ca="1">IFERROR(__xludf.DUMMYFUNCTION("COUNTA(SPLIT(F2017,"" ""))"),127)</f>
        <v>127</v>
      </c>
      <c r="H2017" s="1">
        <v>127</v>
      </c>
      <c r="I2017" s="1"/>
      <c r="J2017" s="1"/>
      <c r="K2017" s="1"/>
      <c r="L2017" s="1"/>
      <c r="M2017" s="1"/>
      <c r="N2017" s="1"/>
      <c r="O2017" s="1"/>
      <c r="P2017" s="1"/>
      <c r="Q2017" s="1"/>
      <c r="R2017" s="1"/>
      <c r="S2017" s="1"/>
      <c r="T2017" s="1"/>
    </row>
    <row r="2018" spans="1:20" ht="33.75" customHeight="1">
      <c r="A2018" s="1" t="s">
        <v>5524</v>
      </c>
      <c r="B2018" s="1" t="s">
        <v>5217</v>
      </c>
      <c r="C2018" s="4">
        <v>40003.843055555553</v>
      </c>
      <c r="D2018" s="1" t="s">
        <v>1089</v>
      </c>
      <c r="E2018" s="1"/>
      <c r="F2018" s="2" t="s">
        <v>5526</v>
      </c>
      <c r="G2018" s="1">
        <f ca="1">IFERROR(__xludf.DUMMYFUNCTION("COUNTA(SPLIT(F2018,"" ""))"),203)</f>
        <v>203</v>
      </c>
      <c r="H2018" s="1">
        <v>203</v>
      </c>
      <c r="I2018" s="1"/>
      <c r="J2018" s="1"/>
      <c r="K2018" s="1"/>
      <c r="L2018" s="1"/>
      <c r="M2018" s="1"/>
      <c r="N2018" s="1"/>
      <c r="O2018" s="1"/>
      <c r="P2018" s="1"/>
      <c r="Q2018" s="1"/>
      <c r="R2018" s="1"/>
      <c r="S2018" s="1"/>
      <c r="T2018" s="1"/>
    </row>
    <row r="2019" spans="1:20" ht="33.75" customHeight="1">
      <c r="A2019" s="1" t="s">
        <v>5527</v>
      </c>
      <c r="B2019" s="1" t="s">
        <v>5514</v>
      </c>
      <c r="C2019" s="4">
        <v>40003.84652777778</v>
      </c>
      <c r="D2019" s="1" t="s">
        <v>1089</v>
      </c>
      <c r="E2019" s="1"/>
      <c r="F2019" s="2" t="s">
        <v>5529</v>
      </c>
      <c r="G2019" s="1">
        <f ca="1">IFERROR(__xludf.DUMMYFUNCTION("COUNTA(SPLIT(F2019,"" ""))"),13)</f>
        <v>13</v>
      </c>
      <c r="H2019" s="1">
        <v>13</v>
      </c>
      <c r="I2019" s="1"/>
      <c r="J2019" s="1"/>
      <c r="K2019" s="1"/>
      <c r="L2019" s="1"/>
      <c r="M2019" s="1"/>
      <c r="N2019" s="1"/>
      <c r="O2019" s="1"/>
      <c r="P2019" s="1"/>
      <c r="Q2019" s="1"/>
      <c r="R2019" s="1"/>
      <c r="S2019" s="1"/>
      <c r="T2019" s="1"/>
    </row>
    <row r="2020" spans="1:20" ht="33.75" customHeight="1">
      <c r="A2020" s="1" t="s">
        <v>5530</v>
      </c>
      <c r="B2020" s="1" t="s">
        <v>5514</v>
      </c>
      <c r="C2020" s="4">
        <v>40003.954861111109</v>
      </c>
      <c r="D2020" s="1" t="s">
        <v>54</v>
      </c>
      <c r="E2020" s="1"/>
      <c r="F2020" s="2" t="s">
        <v>5531</v>
      </c>
      <c r="G2020" s="1">
        <f ca="1">IFERROR(__xludf.DUMMYFUNCTION("COUNTA(SPLIT(F2020,"" ""))"),169)</f>
        <v>169</v>
      </c>
      <c r="H2020" s="1">
        <v>169</v>
      </c>
      <c r="I2020" s="1"/>
      <c r="J2020" s="1"/>
      <c r="K2020" s="1"/>
      <c r="L2020" s="1"/>
      <c r="M2020" s="1"/>
      <c r="N2020" s="1"/>
      <c r="O2020" s="1"/>
      <c r="P2020" s="1"/>
      <c r="Q2020" s="1"/>
      <c r="R2020" s="1"/>
      <c r="S2020" s="1"/>
      <c r="T2020" s="1"/>
    </row>
    <row r="2021" spans="1:20" ht="33.75" customHeight="1">
      <c r="A2021" s="1" t="s">
        <v>5532</v>
      </c>
      <c r="B2021" s="1" t="s">
        <v>5514</v>
      </c>
      <c r="C2021" s="4">
        <v>40004.465277777781</v>
      </c>
      <c r="D2021" s="1" t="s">
        <v>772</v>
      </c>
      <c r="E2021" s="1"/>
      <c r="F2021" s="2" t="s">
        <v>5534</v>
      </c>
      <c r="G2021" s="1">
        <f ca="1">IFERROR(__xludf.DUMMYFUNCTION("COUNTA(SPLIT(F2021,"" ""))"),205)</f>
        <v>205</v>
      </c>
      <c r="H2021" s="1">
        <v>205</v>
      </c>
      <c r="I2021" s="1"/>
      <c r="J2021" s="1"/>
      <c r="K2021" s="1"/>
      <c r="L2021" s="1"/>
      <c r="M2021" s="1"/>
      <c r="N2021" s="1"/>
      <c r="O2021" s="1"/>
      <c r="P2021" s="1"/>
      <c r="Q2021" s="1"/>
      <c r="R2021" s="1"/>
      <c r="S2021" s="1"/>
      <c r="T2021" s="1"/>
    </row>
    <row r="2022" spans="1:20" ht="33.75" customHeight="1">
      <c r="A2022" s="1" t="s">
        <v>5535</v>
      </c>
      <c r="B2022" s="1" t="s">
        <v>5514</v>
      </c>
      <c r="C2022" s="4">
        <v>40004.804166666669</v>
      </c>
      <c r="D2022" s="1" t="s">
        <v>772</v>
      </c>
      <c r="E2022" s="1"/>
      <c r="F2022" s="2" t="s">
        <v>5537</v>
      </c>
      <c r="G2022" s="1">
        <f ca="1">IFERROR(__xludf.DUMMYFUNCTION("COUNTA(SPLIT(F2022,"" ""))"),264)</f>
        <v>264</v>
      </c>
      <c r="H2022" s="1">
        <v>264</v>
      </c>
      <c r="I2022" s="1"/>
      <c r="J2022" s="1"/>
      <c r="K2022" s="1"/>
      <c r="L2022" s="1"/>
      <c r="M2022" s="1"/>
      <c r="N2022" s="1"/>
      <c r="O2022" s="1"/>
      <c r="P2022" s="1"/>
      <c r="Q2022" s="1"/>
      <c r="R2022" s="1"/>
      <c r="S2022" s="1"/>
      <c r="T2022" s="1"/>
    </row>
    <row r="2023" spans="1:20" ht="33.75" hidden="1" customHeight="1">
      <c r="A2023" s="1" t="s">
        <v>5538</v>
      </c>
      <c r="B2023" s="1" t="s">
        <v>5514</v>
      </c>
      <c r="C2023" s="4">
        <v>40004.872916666667</v>
      </c>
      <c r="D2023" s="1" t="s">
        <v>54</v>
      </c>
      <c r="E2023" s="1" t="s">
        <v>5535</v>
      </c>
      <c r="F2023" s="2" t="s">
        <v>5539</v>
      </c>
      <c r="G2023" s="1">
        <f ca="1">IFERROR(__xludf.DUMMYFUNCTION("COUNTA(SPLIT(F2023,"" ""))"),134)</f>
        <v>134</v>
      </c>
      <c r="H2023" s="1">
        <v>134</v>
      </c>
      <c r="I2023" s="1"/>
      <c r="J2023" s="1"/>
      <c r="K2023" s="1"/>
      <c r="L2023" s="1"/>
      <c r="M2023" s="1"/>
      <c r="N2023" s="1"/>
      <c r="O2023" s="1"/>
      <c r="P2023" s="1"/>
      <c r="Q2023" s="1"/>
      <c r="R2023" s="1"/>
      <c r="S2023" s="1"/>
      <c r="T2023" s="1"/>
    </row>
    <row r="2024" spans="1:20" ht="33.75" customHeight="1">
      <c r="A2024" s="1" t="s">
        <v>5540</v>
      </c>
      <c r="B2024" s="1" t="s">
        <v>5514</v>
      </c>
      <c r="C2024" s="4">
        <v>40005.379861111112</v>
      </c>
      <c r="D2024" s="1" t="s">
        <v>772</v>
      </c>
      <c r="E2024" s="1"/>
      <c r="F2024" s="2" t="s">
        <v>5541</v>
      </c>
      <c r="G2024" s="1">
        <f ca="1">IFERROR(__xludf.DUMMYFUNCTION("COUNTA(SPLIT(F2024,"" ""))"),22)</f>
        <v>22</v>
      </c>
      <c r="H2024" s="1">
        <v>22</v>
      </c>
      <c r="I2024" s="1"/>
      <c r="J2024" s="1"/>
      <c r="K2024" s="1"/>
      <c r="L2024" s="1"/>
      <c r="M2024" s="1"/>
      <c r="N2024" s="1"/>
      <c r="O2024" s="1"/>
      <c r="P2024" s="1"/>
      <c r="Q2024" s="1"/>
      <c r="R2024" s="1"/>
      <c r="S2024" s="1"/>
      <c r="T2024" s="1"/>
    </row>
    <row r="2025" spans="1:20" ht="33.75" customHeight="1">
      <c r="A2025" s="1" t="s">
        <v>5542</v>
      </c>
      <c r="B2025" s="1" t="s">
        <v>5514</v>
      </c>
      <c r="C2025" s="4">
        <v>40014.205555555556</v>
      </c>
      <c r="D2025" s="1" t="s">
        <v>1089</v>
      </c>
      <c r="E2025" s="1"/>
      <c r="F2025" s="2" t="s">
        <v>5543</v>
      </c>
      <c r="G2025" s="1">
        <f ca="1">IFERROR(__xludf.DUMMYFUNCTION("COUNTA(SPLIT(F2025,"" ""))"),48)</f>
        <v>48</v>
      </c>
      <c r="H2025" s="1">
        <v>48</v>
      </c>
      <c r="I2025" s="1"/>
      <c r="J2025" s="1"/>
      <c r="K2025" s="1"/>
      <c r="L2025" s="1"/>
      <c r="M2025" s="1"/>
      <c r="N2025" s="1"/>
      <c r="O2025" s="1"/>
      <c r="P2025" s="1"/>
      <c r="Q2025" s="1"/>
      <c r="R2025" s="1"/>
      <c r="S2025" s="1"/>
      <c r="T2025" s="1"/>
    </row>
    <row r="2026" spans="1:20" ht="33.75" hidden="1" customHeight="1">
      <c r="A2026" s="1" t="s">
        <v>5544</v>
      </c>
      <c r="B2026" s="1" t="s">
        <v>5514</v>
      </c>
      <c r="C2026" s="4">
        <v>40014.223611111112</v>
      </c>
      <c r="D2026" s="1" t="s">
        <v>54</v>
      </c>
      <c r="E2026" s="1" t="s">
        <v>5542</v>
      </c>
      <c r="F2026" s="2" t="s">
        <v>5545</v>
      </c>
      <c r="G2026" s="1">
        <f ca="1">IFERROR(__xludf.DUMMYFUNCTION("COUNTA(SPLIT(F2026,"" ""))"),58)</f>
        <v>58</v>
      </c>
      <c r="H2026" s="1">
        <v>58</v>
      </c>
      <c r="I2026" s="1"/>
      <c r="J2026" s="1"/>
      <c r="K2026" s="1"/>
      <c r="L2026" s="1"/>
      <c r="M2026" s="1"/>
      <c r="N2026" s="1"/>
      <c r="O2026" s="1"/>
      <c r="P2026" s="1"/>
      <c r="Q2026" s="1"/>
      <c r="R2026" s="1"/>
      <c r="S2026" s="1"/>
      <c r="T2026" s="1"/>
    </row>
    <row r="2027" spans="1:20" ht="33.75" hidden="1" customHeight="1">
      <c r="A2027" s="1" t="s">
        <v>5546</v>
      </c>
      <c r="B2027" s="1" t="s">
        <v>5514</v>
      </c>
      <c r="C2027" s="4">
        <v>40019.637499999997</v>
      </c>
      <c r="D2027" s="1" t="s">
        <v>54</v>
      </c>
      <c r="E2027" s="1" t="s">
        <v>5542</v>
      </c>
      <c r="F2027" s="2" t="s">
        <v>5548</v>
      </c>
      <c r="G2027" s="1">
        <f ca="1">IFERROR(__xludf.DUMMYFUNCTION("COUNTA(SPLIT(F2027,"" ""))"),68)</f>
        <v>68</v>
      </c>
      <c r="H2027" s="1">
        <v>68</v>
      </c>
      <c r="I2027" s="1"/>
      <c r="J2027" s="1"/>
      <c r="K2027" s="1"/>
      <c r="L2027" s="1"/>
      <c r="M2027" s="1"/>
      <c r="N2027" s="1"/>
      <c r="O2027" s="1"/>
      <c r="P2027" s="1"/>
      <c r="Q2027" s="1"/>
      <c r="R2027" s="1"/>
      <c r="S2027" s="1"/>
      <c r="T2027" s="1"/>
    </row>
    <row r="2028" spans="1:20" ht="33.75" customHeight="1">
      <c r="A2028" s="1" t="s">
        <v>5549</v>
      </c>
      <c r="B2028" s="1" t="s">
        <v>5514</v>
      </c>
      <c r="C2028" s="4">
        <v>40020.529861111114</v>
      </c>
      <c r="D2028" s="1" t="s">
        <v>772</v>
      </c>
      <c r="E2028" s="1"/>
      <c r="F2028" s="2" t="s">
        <v>5550</v>
      </c>
      <c r="G2028" s="1">
        <f ca="1">IFERROR(__xludf.DUMMYFUNCTION("COUNTA(SPLIT(F2028,"" ""))"),60)</f>
        <v>60</v>
      </c>
      <c r="H2028" s="1">
        <v>60</v>
      </c>
      <c r="I2028" s="1"/>
      <c r="J2028" s="1"/>
      <c r="K2028" s="1"/>
      <c r="L2028" s="1"/>
      <c r="M2028" s="1"/>
      <c r="N2028" s="1"/>
      <c r="O2028" s="1"/>
      <c r="P2028" s="1"/>
      <c r="Q2028" s="1"/>
      <c r="R2028" s="1"/>
      <c r="S2028" s="1"/>
      <c r="T2028" s="1"/>
    </row>
    <row r="2029" spans="1:20" ht="33.75" customHeight="1">
      <c r="A2029" s="1" t="s">
        <v>5551</v>
      </c>
      <c r="B2029" s="1" t="s">
        <v>5514</v>
      </c>
      <c r="C2029" s="4">
        <v>40021.450694444444</v>
      </c>
      <c r="D2029" s="1" t="s">
        <v>772</v>
      </c>
      <c r="E2029" s="1"/>
      <c r="F2029" s="2" t="s">
        <v>5553</v>
      </c>
      <c r="G2029" s="1">
        <f ca="1">IFERROR(__xludf.DUMMYFUNCTION("COUNTA(SPLIT(F2029,"" ""))"),178)</f>
        <v>178</v>
      </c>
      <c r="H2029" s="1">
        <v>178</v>
      </c>
      <c r="I2029" s="1"/>
      <c r="J2029" s="1"/>
      <c r="K2029" s="1"/>
      <c r="L2029" s="1"/>
      <c r="M2029" s="1"/>
      <c r="N2029" s="1"/>
      <c r="O2029" s="1"/>
      <c r="P2029" s="1"/>
      <c r="Q2029" s="1"/>
      <c r="R2029" s="1"/>
      <c r="S2029" s="1"/>
      <c r="T2029" s="1"/>
    </row>
    <row r="2030" spans="1:20" ht="33.75" hidden="1" customHeight="1">
      <c r="A2030" s="1" t="s">
        <v>5554</v>
      </c>
      <c r="B2030" s="1" t="s">
        <v>5514</v>
      </c>
      <c r="C2030" s="4">
        <v>40021.587500000001</v>
      </c>
      <c r="D2030" s="1" t="s">
        <v>772</v>
      </c>
      <c r="E2030" s="1" t="s">
        <v>5555</v>
      </c>
      <c r="F2030" s="2" t="s">
        <v>5557</v>
      </c>
      <c r="G2030" s="1">
        <f ca="1">IFERROR(__xludf.DUMMYFUNCTION("COUNTA(SPLIT(F2030,"" ""))"),14)</f>
        <v>14</v>
      </c>
      <c r="H2030" s="1">
        <v>14</v>
      </c>
      <c r="I2030" s="1"/>
      <c r="J2030" s="1"/>
      <c r="K2030" s="1"/>
      <c r="L2030" s="1"/>
      <c r="M2030" s="1"/>
      <c r="N2030" s="1"/>
      <c r="O2030" s="1"/>
      <c r="P2030" s="1"/>
      <c r="Q2030" s="1"/>
      <c r="R2030" s="1"/>
      <c r="S2030" s="1"/>
      <c r="T2030" s="1"/>
    </row>
    <row r="2031" spans="1:20" ht="33.75" customHeight="1">
      <c r="A2031" s="1" t="s">
        <v>5558</v>
      </c>
      <c r="B2031" s="1" t="s">
        <v>5514</v>
      </c>
      <c r="C2031" s="4">
        <v>40021.789583333331</v>
      </c>
      <c r="D2031" s="1" t="s">
        <v>1089</v>
      </c>
      <c r="E2031" s="1"/>
      <c r="F2031" s="2" t="s">
        <v>5560</v>
      </c>
      <c r="G2031" s="1">
        <f ca="1">IFERROR(__xludf.DUMMYFUNCTION("COUNTA(SPLIT(F2031,"" ""))"),73)</f>
        <v>73</v>
      </c>
      <c r="H2031" s="1">
        <v>73</v>
      </c>
      <c r="I2031" s="1"/>
      <c r="J2031" s="1"/>
      <c r="K2031" s="1"/>
      <c r="L2031" s="1"/>
      <c r="M2031" s="1"/>
      <c r="N2031" s="1"/>
      <c r="O2031" s="1"/>
      <c r="P2031" s="1"/>
      <c r="Q2031" s="1"/>
      <c r="R2031" s="1"/>
      <c r="S2031" s="1"/>
      <c r="T2031" s="1"/>
    </row>
    <row r="2032" spans="1:20" ht="33.75" hidden="1" customHeight="1">
      <c r="A2032" s="1" t="s">
        <v>5561</v>
      </c>
      <c r="B2032" s="1" t="s">
        <v>5514</v>
      </c>
      <c r="C2032" s="4">
        <v>40021.845833333333</v>
      </c>
      <c r="D2032" s="1" t="s">
        <v>54</v>
      </c>
      <c r="E2032" s="1" t="s">
        <v>5558</v>
      </c>
      <c r="F2032" s="2" t="s">
        <v>5564</v>
      </c>
      <c r="G2032" s="1">
        <f ca="1">IFERROR(__xludf.DUMMYFUNCTION("COUNTA(SPLIT(F2032,"" ""))"),72)</f>
        <v>72</v>
      </c>
      <c r="H2032" s="1">
        <v>72</v>
      </c>
      <c r="I2032" s="1"/>
      <c r="J2032" s="1"/>
      <c r="K2032" s="1"/>
      <c r="L2032" s="1"/>
      <c r="M2032" s="1"/>
      <c r="N2032" s="1"/>
      <c r="O2032" s="1"/>
      <c r="P2032" s="1"/>
      <c r="Q2032" s="1"/>
      <c r="R2032" s="1"/>
      <c r="S2032" s="1"/>
      <c r="T2032" s="1"/>
    </row>
    <row r="2033" spans="1:20" ht="33.75" customHeight="1">
      <c r="A2033" s="1" t="s">
        <v>5565</v>
      </c>
      <c r="B2033" s="1" t="s">
        <v>5412</v>
      </c>
      <c r="C2033" s="4">
        <v>40042.280555555553</v>
      </c>
      <c r="D2033" s="1" t="s">
        <v>760</v>
      </c>
      <c r="E2033" s="1"/>
      <c r="F2033" s="2" t="s">
        <v>5567</v>
      </c>
      <c r="G2033" s="1">
        <f ca="1">IFERROR(__xludf.DUMMYFUNCTION("COUNTA(SPLIT(F2033,"" ""))"),168)</f>
        <v>168</v>
      </c>
      <c r="H2033" s="1">
        <v>168</v>
      </c>
      <c r="I2033" s="1"/>
      <c r="J2033" s="1"/>
      <c r="K2033" s="1"/>
      <c r="L2033" s="1"/>
      <c r="M2033" s="1"/>
      <c r="N2033" s="1"/>
      <c r="O2033" s="1"/>
      <c r="P2033" s="1"/>
      <c r="Q2033" s="1"/>
      <c r="R2033" s="1"/>
      <c r="S2033" s="1"/>
      <c r="T2033" s="1"/>
    </row>
    <row r="2034" spans="1:20" ht="33.75" customHeight="1">
      <c r="A2034" s="1" t="s">
        <v>5568</v>
      </c>
      <c r="B2034" s="1" t="s">
        <v>5412</v>
      </c>
      <c r="C2034" s="4">
        <v>40105.620138888888</v>
      </c>
      <c r="D2034" s="1" t="s">
        <v>320</v>
      </c>
      <c r="E2034" s="1"/>
      <c r="F2034" s="2" t="s">
        <v>5569</v>
      </c>
      <c r="G2034" s="1">
        <f ca="1">IFERROR(__xludf.DUMMYFUNCTION("COUNTA(SPLIT(F2034,"" ""))"),14)</f>
        <v>14</v>
      </c>
      <c r="H2034" s="1">
        <v>14</v>
      </c>
      <c r="I2034" s="1"/>
      <c r="J2034" s="1"/>
      <c r="K2034" s="1"/>
      <c r="L2034" s="1"/>
      <c r="M2034" s="1"/>
      <c r="N2034" s="1"/>
      <c r="O2034" s="1"/>
      <c r="P2034" s="1"/>
      <c r="Q2034" s="1"/>
      <c r="R2034" s="1"/>
      <c r="S2034" s="1"/>
      <c r="T2034" s="1"/>
    </row>
    <row r="2035" spans="1:20" ht="33.75" customHeight="1">
      <c r="A2035" s="1" t="s">
        <v>12</v>
      </c>
      <c r="B2035" s="1" t="s">
        <v>5570</v>
      </c>
      <c r="C2035" s="4">
        <v>40106.569826388892</v>
      </c>
      <c r="D2035" s="1" t="s">
        <v>14</v>
      </c>
      <c r="E2035" s="1"/>
      <c r="F2035" s="2" t="s">
        <v>5571</v>
      </c>
      <c r="G2035" s="1">
        <f ca="1">IFERROR(__xludf.DUMMYFUNCTION("COUNTA(SPLIT(F2035,"" ""))"),284)</f>
        <v>284</v>
      </c>
      <c r="H2035" s="1">
        <v>284</v>
      </c>
      <c r="I2035" s="1"/>
      <c r="J2035" s="1"/>
      <c r="K2035" s="1"/>
      <c r="L2035" s="1"/>
      <c r="M2035" s="1"/>
      <c r="N2035" s="1"/>
      <c r="O2035" s="1"/>
      <c r="P2035" s="1"/>
      <c r="Q2035" s="1"/>
      <c r="R2035" s="1"/>
      <c r="S2035" s="1"/>
      <c r="T2035" s="1"/>
    </row>
    <row r="2036" spans="1:20" ht="33.75" customHeight="1">
      <c r="A2036" s="1" t="s">
        <v>5572</v>
      </c>
      <c r="B2036" s="1" t="s">
        <v>5412</v>
      </c>
      <c r="C2036" s="4">
        <v>40107.409722222219</v>
      </c>
      <c r="D2036" s="1" t="s">
        <v>381</v>
      </c>
      <c r="E2036" s="1"/>
      <c r="F2036" s="2" t="s">
        <v>5573</v>
      </c>
      <c r="G2036" s="1">
        <f ca="1">IFERROR(__xludf.DUMMYFUNCTION("COUNTA(SPLIT(F2036,"" ""))"),80)</f>
        <v>80</v>
      </c>
      <c r="H2036" s="1">
        <v>80</v>
      </c>
      <c r="I2036" s="1"/>
      <c r="J2036" s="1"/>
      <c r="K2036" s="1"/>
      <c r="L2036" s="1"/>
      <c r="M2036" s="1"/>
      <c r="N2036" s="1"/>
      <c r="O2036" s="1"/>
      <c r="P2036" s="1"/>
      <c r="Q2036" s="1"/>
      <c r="R2036" s="1"/>
      <c r="S2036" s="1"/>
      <c r="T2036" s="1"/>
    </row>
    <row r="2037" spans="1:20" ht="33.75" customHeight="1">
      <c r="A2037" s="1" t="s">
        <v>5574</v>
      </c>
      <c r="B2037" s="1" t="s">
        <v>5412</v>
      </c>
      <c r="C2037" s="4">
        <v>40107.701388888891</v>
      </c>
      <c r="D2037" s="1" t="s">
        <v>320</v>
      </c>
      <c r="E2037" s="1"/>
      <c r="F2037" s="2" t="s">
        <v>5575</v>
      </c>
      <c r="G2037" s="1">
        <f ca="1">IFERROR(__xludf.DUMMYFUNCTION("COUNTA(SPLIT(F2037,"" ""))"),3)</f>
        <v>3</v>
      </c>
      <c r="H2037" s="1">
        <v>3</v>
      </c>
      <c r="I2037" s="1"/>
      <c r="J2037" s="1"/>
      <c r="K2037" s="1"/>
      <c r="L2037" s="1"/>
      <c r="M2037" s="1"/>
      <c r="N2037" s="1"/>
      <c r="O2037" s="1"/>
      <c r="P2037" s="1"/>
      <c r="Q2037" s="1"/>
      <c r="R2037" s="1"/>
      <c r="S2037" s="1"/>
      <c r="T2037" s="1"/>
    </row>
    <row r="2038" spans="1:20" ht="33.75" customHeight="1">
      <c r="A2038" s="1" t="s">
        <v>5576</v>
      </c>
      <c r="B2038" s="1" t="s">
        <v>4151</v>
      </c>
      <c r="C2038" s="4">
        <v>40107.832638888889</v>
      </c>
      <c r="D2038" s="1" t="s">
        <v>5577</v>
      </c>
      <c r="E2038" s="1"/>
      <c r="F2038" s="2" t="s">
        <v>5578</v>
      </c>
      <c r="G2038" s="1">
        <f ca="1">IFERROR(__xludf.DUMMYFUNCTION("COUNTA(SPLIT(F2038,"" ""))"),93)</f>
        <v>93</v>
      </c>
      <c r="H2038" s="1">
        <v>93</v>
      </c>
      <c r="I2038" s="1"/>
      <c r="J2038" s="1"/>
      <c r="K2038" s="1"/>
      <c r="L2038" s="1"/>
      <c r="M2038" s="1"/>
      <c r="N2038" s="1"/>
      <c r="O2038" s="1"/>
      <c r="P2038" s="1"/>
      <c r="Q2038" s="1"/>
      <c r="R2038" s="1"/>
      <c r="S2038" s="1"/>
      <c r="T2038" s="1"/>
    </row>
    <row r="2039" spans="1:20" ht="33.75" customHeight="1">
      <c r="A2039" s="1" t="s">
        <v>5579</v>
      </c>
      <c r="B2039" s="1" t="s">
        <v>5580</v>
      </c>
      <c r="C2039" s="4">
        <v>40108.63958333333</v>
      </c>
      <c r="D2039" s="1" t="s">
        <v>1768</v>
      </c>
      <c r="E2039" s="1"/>
      <c r="F2039" s="2" t="s">
        <v>5582</v>
      </c>
      <c r="G2039" s="1">
        <f ca="1">IFERROR(__xludf.DUMMYFUNCTION("COUNTA(SPLIT(F2039,"" ""))"),55)</f>
        <v>55</v>
      </c>
      <c r="H2039" s="1">
        <v>55</v>
      </c>
      <c r="I2039" s="1"/>
      <c r="J2039" s="1"/>
      <c r="K2039" s="1"/>
      <c r="L2039" s="1"/>
      <c r="M2039" s="1"/>
      <c r="N2039" s="1"/>
      <c r="O2039" s="1"/>
      <c r="P2039" s="1"/>
      <c r="Q2039" s="1"/>
      <c r="R2039" s="1"/>
      <c r="S2039" s="1"/>
      <c r="T2039" s="1"/>
    </row>
    <row r="2040" spans="1:20" ht="33.75" customHeight="1">
      <c r="A2040" s="1" t="s">
        <v>5583</v>
      </c>
      <c r="B2040" s="1" t="s">
        <v>5580</v>
      </c>
      <c r="C2040" s="4">
        <v>40108.645833333336</v>
      </c>
      <c r="D2040" s="1" t="s">
        <v>1768</v>
      </c>
      <c r="E2040" s="1"/>
      <c r="F2040" s="2" t="s">
        <v>5584</v>
      </c>
      <c r="G2040" s="1">
        <f ca="1">IFERROR(__xludf.DUMMYFUNCTION("COUNTA(SPLIT(F2040,"" ""))"),12)</f>
        <v>12</v>
      </c>
      <c r="H2040" s="1">
        <v>12</v>
      </c>
      <c r="I2040" s="1"/>
      <c r="J2040" s="1"/>
      <c r="K2040" s="1"/>
      <c r="L2040" s="1"/>
      <c r="M2040" s="1"/>
      <c r="N2040" s="1"/>
      <c r="O2040" s="1"/>
      <c r="P2040" s="1"/>
      <c r="Q2040" s="1"/>
      <c r="R2040" s="1"/>
      <c r="S2040" s="1"/>
      <c r="T2040" s="1"/>
    </row>
    <row r="2041" spans="1:20" ht="33.75" customHeight="1">
      <c r="A2041" s="1" t="s">
        <v>5585</v>
      </c>
      <c r="B2041" s="1" t="s">
        <v>5580</v>
      </c>
      <c r="C2041" s="4">
        <v>40108.686805555553</v>
      </c>
      <c r="D2041" s="1" t="s">
        <v>1887</v>
      </c>
      <c r="E2041" s="1"/>
      <c r="F2041" s="2" t="s">
        <v>5586</v>
      </c>
      <c r="G2041" s="1">
        <f ca="1">IFERROR(__xludf.DUMMYFUNCTION("COUNTA(SPLIT(F2041,"" ""))"),38)</f>
        <v>38</v>
      </c>
      <c r="H2041" s="1">
        <v>38</v>
      </c>
      <c r="I2041" s="1"/>
      <c r="J2041" s="1"/>
      <c r="K2041" s="1"/>
      <c r="L2041" s="1"/>
      <c r="M2041" s="1"/>
      <c r="N2041" s="1"/>
      <c r="O2041" s="1"/>
      <c r="P2041" s="1"/>
      <c r="Q2041" s="1"/>
      <c r="R2041" s="1"/>
      <c r="S2041" s="1"/>
      <c r="T2041" s="1"/>
    </row>
    <row r="2042" spans="1:20" ht="33.75" customHeight="1">
      <c r="A2042" s="1" t="s">
        <v>5587</v>
      </c>
      <c r="B2042" s="1" t="s">
        <v>5580</v>
      </c>
      <c r="C2042" s="4">
        <v>40108.746527777781</v>
      </c>
      <c r="D2042" s="1" t="s">
        <v>54</v>
      </c>
      <c r="E2042" s="1"/>
      <c r="F2042" s="2" t="s">
        <v>5588</v>
      </c>
      <c r="G2042" s="1">
        <f ca="1">IFERROR(__xludf.DUMMYFUNCTION("COUNTA(SPLIT(F2042,"" ""))"),84)</f>
        <v>84</v>
      </c>
      <c r="H2042" s="1">
        <v>84</v>
      </c>
      <c r="I2042" s="1"/>
      <c r="J2042" s="1"/>
      <c r="K2042" s="1"/>
      <c r="L2042" s="1"/>
      <c r="M2042" s="1"/>
      <c r="N2042" s="1"/>
      <c r="O2042" s="1"/>
      <c r="P2042" s="1"/>
      <c r="Q2042" s="1"/>
      <c r="R2042" s="1"/>
      <c r="S2042" s="1"/>
      <c r="T2042" s="1"/>
    </row>
    <row r="2043" spans="1:20" ht="33.75" customHeight="1">
      <c r="A2043" s="1" t="s">
        <v>5589</v>
      </c>
      <c r="B2043" s="1" t="s">
        <v>5580</v>
      </c>
      <c r="C2043" s="4">
        <v>40108.747916666667</v>
      </c>
      <c r="D2043" s="1" t="s">
        <v>320</v>
      </c>
      <c r="E2043" s="1"/>
      <c r="F2043" s="2" t="s">
        <v>5590</v>
      </c>
      <c r="G2043" s="1">
        <f ca="1">IFERROR(__xludf.DUMMYFUNCTION("COUNTA(SPLIT(F2043,"" ""))"),3)</f>
        <v>3</v>
      </c>
      <c r="H2043" s="1">
        <v>3</v>
      </c>
      <c r="I2043" s="1"/>
      <c r="J2043" s="1"/>
      <c r="K2043" s="1"/>
      <c r="L2043" s="1"/>
      <c r="M2043" s="1"/>
      <c r="N2043" s="1"/>
      <c r="O2043" s="1"/>
      <c r="P2043" s="1"/>
      <c r="Q2043" s="1"/>
      <c r="R2043" s="1"/>
      <c r="S2043" s="1"/>
      <c r="T2043" s="1"/>
    </row>
    <row r="2044" spans="1:20" ht="33.75" customHeight="1">
      <c r="A2044" s="1" t="s">
        <v>5591</v>
      </c>
      <c r="B2044" s="1" t="s">
        <v>5580</v>
      </c>
      <c r="C2044" s="4">
        <v>40108.750694444447</v>
      </c>
      <c r="D2044" s="1" t="s">
        <v>320</v>
      </c>
      <c r="E2044" s="1"/>
      <c r="F2044" s="2" t="s">
        <v>5592</v>
      </c>
      <c r="G2044" s="1">
        <f ca="1">IFERROR(__xludf.DUMMYFUNCTION("COUNTA(SPLIT(F2044,"" ""))"),26)</f>
        <v>26</v>
      </c>
      <c r="H2044" s="1">
        <v>26</v>
      </c>
      <c r="I2044" s="1"/>
      <c r="J2044" s="1"/>
      <c r="K2044" s="1"/>
      <c r="L2044" s="1"/>
      <c r="M2044" s="1"/>
      <c r="N2044" s="1"/>
      <c r="O2044" s="1"/>
      <c r="P2044" s="1"/>
      <c r="Q2044" s="1"/>
      <c r="R2044" s="1"/>
      <c r="S2044" s="1"/>
      <c r="T2044" s="1"/>
    </row>
    <row r="2045" spans="1:20" ht="33.75" customHeight="1">
      <c r="A2045" s="1" t="s">
        <v>12</v>
      </c>
      <c r="B2045" s="1" t="s">
        <v>5580</v>
      </c>
      <c r="C2045" s="4">
        <v>40108.936168981483</v>
      </c>
      <c r="D2045" s="1" t="s">
        <v>175</v>
      </c>
      <c r="E2045" s="1"/>
      <c r="F2045" s="2" t="s">
        <v>5593</v>
      </c>
      <c r="G2045" s="1">
        <f ca="1">IFERROR(__xludf.DUMMYFUNCTION("COUNTA(SPLIT(F2045,"" ""))"),391)</f>
        <v>391</v>
      </c>
      <c r="H2045" s="1">
        <v>391</v>
      </c>
      <c r="I2045" s="1"/>
      <c r="J2045" s="1"/>
      <c r="K2045" s="1"/>
      <c r="L2045" s="1"/>
      <c r="M2045" s="1"/>
      <c r="N2045" s="1"/>
      <c r="O2045" s="1"/>
      <c r="P2045" s="1"/>
      <c r="Q2045" s="1"/>
      <c r="R2045" s="1"/>
      <c r="S2045" s="1"/>
      <c r="T2045" s="1"/>
    </row>
    <row r="2046" spans="1:20" ht="33.75" customHeight="1">
      <c r="A2046" s="1" t="s">
        <v>5594</v>
      </c>
      <c r="B2046" s="1" t="s">
        <v>5580</v>
      </c>
      <c r="C2046" s="4">
        <v>40109.531944444447</v>
      </c>
      <c r="D2046" s="1" t="s">
        <v>5595</v>
      </c>
      <c r="E2046" s="1"/>
      <c r="F2046" s="2" t="s">
        <v>5598</v>
      </c>
      <c r="G2046" s="1">
        <f ca="1">IFERROR(__xludf.DUMMYFUNCTION("COUNTA(SPLIT(F2046,"" ""))"),14)</f>
        <v>14</v>
      </c>
      <c r="H2046" s="1">
        <v>14</v>
      </c>
      <c r="I2046" s="1"/>
      <c r="J2046" s="1"/>
      <c r="K2046" s="1"/>
      <c r="L2046" s="1"/>
      <c r="M2046" s="1"/>
      <c r="N2046" s="1"/>
      <c r="O2046" s="1"/>
      <c r="P2046" s="1"/>
      <c r="Q2046" s="1"/>
      <c r="R2046" s="1"/>
      <c r="S2046" s="1"/>
      <c r="T2046" s="1"/>
    </row>
    <row r="2047" spans="1:20" ht="33.75" customHeight="1">
      <c r="A2047" s="1" t="s">
        <v>5599</v>
      </c>
      <c r="B2047" s="1" t="s">
        <v>5514</v>
      </c>
      <c r="C2047" s="4">
        <v>40122.979861111111</v>
      </c>
      <c r="D2047" s="1" t="s">
        <v>760</v>
      </c>
      <c r="E2047" s="1"/>
      <c r="F2047" s="2" t="s">
        <v>5600</v>
      </c>
      <c r="G2047" s="1">
        <f ca="1">IFERROR(__xludf.DUMMYFUNCTION("COUNTA(SPLIT(F2047,"" ""))"),37)</f>
        <v>37</v>
      </c>
      <c r="H2047" s="1">
        <v>37</v>
      </c>
      <c r="I2047" s="1"/>
      <c r="J2047" s="1"/>
      <c r="K2047" s="1"/>
      <c r="L2047" s="1"/>
      <c r="M2047" s="1"/>
      <c r="N2047" s="1"/>
      <c r="O2047" s="1"/>
      <c r="P2047" s="1"/>
      <c r="Q2047" s="1"/>
      <c r="R2047" s="1"/>
      <c r="S2047" s="1"/>
      <c r="T2047" s="1"/>
    </row>
    <row r="2048" spans="1:20" ht="33.75" customHeight="1">
      <c r="A2048" s="1" t="s">
        <v>5601</v>
      </c>
      <c r="B2048" s="1" t="s">
        <v>5514</v>
      </c>
      <c r="C2048" s="4">
        <v>40123.702777777777</v>
      </c>
      <c r="D2048" s="1" t="s">
        <v>54</v>
      </c>
      <c r="E2048" s="1"/>
      <c r="F2048" s="2" t="s">
        <v>5602</v>
      </c>
      <c r="G2048" s="1">
        <f ca="1">IFERROR(__xludf.DUMMYFUNCTION("COUNTA(SPLIT(F2048,"" ""))"),46)</f>
        <v>46</v>
      </c>
      <c r="H2048" s="1">
        <v>46</v>
      </c>
      <c r="I2048" s="1"/>
      <c r="J2048" s="1"/>
      <c r="K2048" s="1"/>
      <c r="L2048" s="1"/>
      <c r="M2048" s="1"/>
      <c r="N2048" s="1"/>
      <c r="O2048" s="1"/>
      <c r="P2048" s="1"/>
      <c r="Q2048" s="1"/>
      <c r="R2048" s="1"/>
      <c r="S2048" s="1"/>
      <c r="T2048" s="1"/>
    </row>
    <row r="2049" spans="1:20" ht="33.75" customHeight="1">
      <c r="A2049" s="1" t="s">
        <v>5603</v>
      </c>
      <c r="B2049" s="1" t="s">
        <v>5514</v>
      </c>
      <c r="C2049" s="4">
        <v>40124.419444444444</v>
      </c>
      <c r="D2049" s="1" t="s">
        <v>772</v>
      </c>
      <c r="E2049" s="1"/>
      <c r="F2049" s="2" t="s">
        <v>5604</v>
      </c>
      <c r="G2049" s="1">
        <f ca="1">IFERROR(__xludf.DUMMYFUNCTION("COUNTA(SPLIT(F2049,"" ""))"),54)</f>
        <v>54</v>
      </c>
      <c r="H2049" s="1">
        <v>54</v>
      </c>
      <c r="I2049" s="1"/>
      <c r="J2049" s="1"/>
      <c r="K2049" s="1"/>
      <c r="L2049" s="1"/>
      <c r="M2049" s="1"/>
      <c r="N2049" s="1"/>
      <c r="O2049" s="1"/>
      <c r="P2049" s="1"/>
      <c r="Q2049" s="1"/>
      <c r="R2049" s="1"/>
      <c r="S2049" s="1"/>
      <c r="T2049" s="1"/>
    </row>
    <row r="2050" spans="1:20" ht="33.75" customHeight="1">
      <c r="A2050" s="1" t="s">
        <v>5605</v>
      </c>
      <c r="B2050" s="1" t="s">
        <v>5514</v>
      </c>
      <c r="C2050" s="4">
        <v>40124.714583333334</v>
      </c>
      <c r="D2050" s="1" t="s">
        <v>760</v>
      </c>
      <c r="E2050" s="1"/>
      <c r="F2050" s="2" t="s">
        <v>5606</v>
      </c>
      <c r="G2050" s="1">
        <f ca="1">IFERROR(__xludf.DUMMYFUNCTION("COUNTA(SPLIT(F2050,"" ""))"),67)</f>
        <v>67</v>
      </c>
      <c r="H2050" s="1">
        <v>67</v>
      </c>
      <c r="I2050" s="1"/>
      <c r="J2050" s="1"/>
      <c r="K2050" s="1"/>
      <c r="L2050" s="1"/>
      <c r="M2050" s="1"/>
      <c r="N2050" s="1"/>
      <c r="O2050" s="1"/>
      <c r="P2050" s="1"/>
      <c r="Q2050" s="1"/>
      <c r="R2050" s="1"/>
      <c r="S2050" s="1"/>
      <c r="T2050" s="1"/>
    </row>
    <row r="2051" spans="1:20" ht="33.75" customHeight="1">
      <c r="A2051" s="1" t="s">
        <v>5607</v>
      </c>
      <c r="B2051" s="1" t="s">
        <v>5514</v>
      </c>
      <c r="C2051" s="4">
        <v>40125.057638888888</v>
      </c>
      <c r="D2051" s="1" t="s">
        <v>1887</v>
      </c>
      <c r="E2051" s="1"/>
      <c r="F2051" s="2" t="s">
        <v>5608</v>
      </c>
      <c r="G2051" s="1">
        <f ca="1">IFERROR(__xludf.DUMMYFUNCTION("COUNTA(SPLIT(F2051,"" ""))"),38)</f>
        <v>38</v>
      </c>
      <c r="H2051" s="1">
        <v>38</v>
      </c>
      <c r="I2051" s="1"/>
      <c r="J2051" s="1"/>
      <c r="K2051" s="1"/>
      <c r="L2051" s="1"/>
      <c r="M2051" s="1"/>
      <c r="N2051" s="1"/>
      <c r="O2051" s="1"/>
      <c r="P2051" s="1"/>
      <c r="Q2051" s="1"/>
      <c r="R2051" s="1"/>
      <c r="S2051" s="1"/>
      <c r="T2051" s="1"/>
    </row>
    <row r="2052" spans="1:20" ht="33.75" customHeight="1">
      <c r="A2052" s="1" t="s">
        <v>5609</v>
      </c>
      <c r="B2052" s="1" t="s">
        <v>5514</v>
      </c>
      <c r="C2052" s="4">
        <v>40152.821527777778</v>
      </c>
      <c r="D2052" s="1" t="s">
        <v>760</v>
      </c>
      <c r="E2052" s="1"/>
      <c r="F2052" s="2" t="s">
        <v>5610</v>
      </c>
      <c r="G2052" s="1">
        <f ca="1">IFERROR(__xludf.DUMMYFUNCTION("COUNTA(SPLIT(F2052,"" ""))"),63)</f>
        <v>63</v>
      </c>
      <c r="H2052" s="1">
        <v>63</v>
      </c>
      <c r="I2052" s="1"/>
      <c r="J2052" s="1"/>
      <c r="K2052" s="1"/>
      <c r="L2052" s="1"/>
      <c r="M2052" s="1"/>
      <c r="N2052" s="1"/>
      <c r="O2052" s="1"/>
      <c r="P2052" s="1"/>
      <c r="Q2052" s="1"/>
      <c r="R2052" s="1"/>
      <c r="S2052" s="1"/>
      <c r="T2052" s="1"/>
    </row>
    <row r="2053" spans="1:20" ht="33.75" customHeight="1">
      <c r="A2053" s="1" t="s">
        <v>5611</v>
      </c>
      <c r="B2053" s="1" t="s">
        <v>4151</v>
      </c>
      <c r="C2053" s="4">
        <v>40175.927083333336</v>
      </c>
      <c r="D2053" s="1" t="s">
        <v>5612</v>
      </c>
      <c r="E2053" s="1"/>
      <c r="F2053" s="2" t="s">
        <v>5613</v>
      </c>
      <c r="G2053" s="1">
        <f ca="1">IFERROR(__xludf.DUMMYFUNCTION("COUNTA(SPLIT(F2053,"" ""))"),280)</f>
        <v>280</v>
      </c>
      <c r="H2053" s="1">
        <v>280</v>
      </c>
      <c r="I2053" s="1"/>
      <c r="J2053" s="1"/>
      <c r="K2053" s="1"/>
      <c r="L2053" s="1"/>
      <c r="M2053" s="1"/>
      <c r="N2053" s="1"/>
      <c r="O2053" s="1"/>
      <c r="P2053" s="1"/>
      <c r="Q2053" s="1"/>
      <c r="R2053" s="1"/>
      <c r="S2053" s="1"/>
      <c r="T2053" s="1"/>
    </row>
    <row r="2054" spans="1:20" ht="33.75" customHeight="1">
      <c r="A2054" s="1" t="s">
        <v>5614</v>
      </c>
      <c r="B2054" s="1" t="s">
        <v>5615</v>
      </c>
      <c r="C2054" s="4">
        <v>40194.015972222223</v>
      </c>
      <c r="D2054" s="1" t="s">
        <v>59</v>
      </c>
      <c r="E2054" s="1"/>
      <c r="F2054" s="2" t="s">
        <v>5616</v>
      </c>
      <c r="G2054" s="1">
        <f ca="1">IFERROR(__xludf.DUMMYFUNCTION("COUNTA(SPLIT(F2054,"" ""))"),37)</f>
        <v>37</v>
      </c>
      <c r="H2054" s="1">
        <v>37</v>
      </c>
      <c r="I2054" s="1"/>
      <c r="J2054" s="1"/>
      <c r="K2054" s="1"/>
      <c r="L2054" s="1"/>
      <c r="M2054" s="1"/>
      <c r="N2054" s="1"/>
      <c r="O2054" s="1"/>
      <c r="P2054" s="1"/>
      <c r="Q2054" s="1"/>
      <c r="R2054" s="1"/>
      <c r="S2054" s="1"/>
      <c r="T2054" s="1"/>
    </row>
    <row r="2055" spans="1:20" ht="33.75" customHeight="1">
      <c r="A2055" s="1" t="s">
        <v>5617</v>
      </c>
      <c r="B2055" s="1" t="s">
        <v>5615</v>
      </c>
      <c r="C2055" s="4">
        <v>40194.038194444445</v>
      </c>
      <c r="D2055" s="1" t="s">
        <v>5618</v>
      </c>
      <c r="E2055" s="1"/>
      <c r="F2055" s="2" t="s">
        <v>5619</v>
      </c>
      <c r="G2055" s="1">
        <f ca="1">IFERROR(__xludf.DUMMYFUNCTION("COUNTA(SPLIT(F2055,"" ""))"),55)</f>
        <v>55</v>
      </c>
      <c r="H2055" s="1">
        <v>55</v>
      </c>
      <c r="I2055" s="1"/>
      <c r="J2055" s="1"/>
      <c r="K2055" s="1"/>
      <c r="L2055" s="1"/>
      <c r="M2055" s="1"/>
      <c r="N2055" s="1"/>
      <c r="O2055" s="1"/>
      <c r="P2055" s="1"/>
      <c r="Q2055" s="1"/>
      <c r="R2055" s="1"/>
      <c r="S2055" s="1"/>
      <c r="T2055" s="1"/>
    </row>
    <row r="2056" spans="1:20" ht="33.75" customHeight="1">
      <c r="A2056" s="1" t="s">
        <v>5620</v>
      </c>
      <c r="B2056" s="1" t="s">
        <v>5615</v>
      </c>
      <c r="C2056" s="4">
        <v>40194.147222222222</v>
      </c>
      <c r="D2056" s="1" t="s">
        <v>5621</v>
      </c>
      <c r="E2056" s="1"/>
      <c r="F2056" s="2" t="s">
        <v>5622</v>
      </c>
      <c r="G2056" s="1">
        <f ca="1">IFERROR(__xludf.DUMMYFUNCTION("COUNTA(SPLIT(F2056,"" ""))"),33)</f>
        <v>33</v>
      </c>
      <c r="H2056" s="1">
        <v>33</v>
      </c>
      <c r="I2056" s="1"/>
      <c r="J2056" s="1"/>
      <c r="K2056" s="1"/>
      <c r="L2056" s="1"/>
      <c r="M2056" s="1"/>
      <c r="N2056" s="1"/>
      <c r="O2056" s="1"/>
      <c r="P2056" s="1"/>
      <c r="Q2056" s="1"/>
      <c r="R2056" s="1"/>
      <c r="S2056" s="1"/>
      <c r="T2056" s="1"/>
    </row>
    <row r="2057" spans="1:20" ht="33.75" customHeight="1">
      <c r="A2057" s="1" t="s">
        <v>12</v>
      </c>
      <c r="B2057" s="1" t="s">
        <v>5615</v>
      </c>
      <c r="C2057" s="4">
        <v>40194.307453703703</v>
      </c>
      <c r="D2057" s="1" t="s">
        <v>175</v>
      </c>
      <c r="E2057" s="1"/>
      <c r="F2057" s="2" t="s">
        <v>5623</v>
      </c>
      <c r="G2057" s="1">
        <f ca="1">IFERROR(__xludf.DUMMYFUNCTION("COUNTA(SPLIT(F2057,"" ""))"),329)</f>
        <v>329</v>
      </c>
      <c r="H2057" s="1">
        <v>329</v>
      </c>
      <c r="I2057" s="1"/>
      <c r="J2057" s="1"/>
      <c r="K2057" s="1"/>
      <c r="L2057" s="1"/>
      <c r="M2057" s="1"/>
      <c r="N2057" s="1"/>
      <c r="O2057" s="1"/>
      <c r="P2057" s="1"/>
      <c r="Q2057" s="1"/>
      <c r="R2057" s="1"/>
      <c r="S2057" s="1"/>
      <c r="T2057" s="1"/>
    </row>
    <row r="2058" spans="1:20" ht="33.75" customHeight="1">
      <c r="A2058" s="1" t="s">
        <v>5624</v>
      </c>
      <c r="B2058" s="1" t="s">
        <v>5615</v>
      </c>
      <c r="C2058" s="4">
        <v>40194.38958333333</v>
      </c>
      <c r="D2058" s="1" t="s">
        <v>196</v>
      </c>
      <c r="E2058" s="1"/>
      <c r="F2058" s="2" t="s">
        <v>5625</v>
      </c>
      <c r="G2058" s="1">
        <f ca="1">IFERROR(__xludf.DUMMYFUNCTION("COUNTA(SPLIT(F2058,"" ""))"),44)</f>
        <v>44</v>
      </c>
      <c r="H2058" s="1">
        <v>44</v>
      </c>
      <c r="I2058" s="1"/>
      <c r="J2058" s="1"/>
      <c r="K2058" s="1"/>
      <c r="L2058" s="1"/>
      <c r="M2058" s="1"/>
      <c r="N2058" s="1"/>
      <c r="O2058" s="1"/>
      <c r="P2058" s="1"/>
      <c r="Q2058" s="1"/>
      <c r="R2058" s="1"/>
      <c r="S2058" s="1"/>
      <c r="T2058" s="1"/>
    </row>
    <row r="2059" spans="1:20" ht="33.75" customHeight="1">
      <c r="A2059" s="1" t="s">
        <v>5626</v>
      </c>
      <c r="B2059" s="1" t="s">
        <v>5615</v>
      </c>
      <c r="C2059" s="4">
        <v>40194.51458333333</v>
      </c>
      <c r="D2059" s="1" t="s">
        <v>772</v>
      </c>
      <c r="E2059" s="1"/>
      <c r="F2059" s="2" t="s">
        <v>5627</v>
      </c>
      <c r="G2059" s="1">
        <f ca="1">IFERROR(__xludf.DUMMYFUNCTION("COUNTA(SPLIT(F2059,"" ""))"),20)</f>
        <v>20</v>
      </c>
      <c r="H2059" s="1">
        <v>20</v>
      </c>
      <c r="I2059" s="1"/>
      <c r="J2059" s="1"/>
      <c r="K2059" s="1"/>
      <c r="L2059" s="1"/>
      <c r="M2059" s="1"/>
      <c r="N2059" s="1"/>
      <c r="O2059" s="1"/>
      <c r="P2059" s="1"/>
      <c r="Q2059" s="1"/>
      <c r="R2059" s="1"/>
      <c r="S2059" s="1"/>
      <c r="T2059" s="1"/>
    </row>
    <row r="2060" spans="1:20" ht="33.75" customHeight="1">
      <c r="A2060" s="1" t="s">
        <v>5628</v>
      </c>
      <c r="B2060" s="1" t="s">
        <v>5615</v>
      </c>
      <c r="C2060" s="4">
        <v>40195.592361111114</v>
      </c>
      <c r="D2060" s="1" t="s">
        <v>772</v>
      </c>
      <c r="E2060" s="1"/>
      <c r="F2060" s="2" t="s">
        <v>5629</v>
      </c>
      <c r="G2060" s="1">
        <f ca="1">IFERROR(__xludf.DUMMYFUNCTION("COUNTA(SPLIT(F2060,"" ""))"),40)</f>
        <v>40</v>
      </c>
      <c r="H2060" s="1">
        <v>40</v>
      </c>
      <c r="I2060" s="1"/>
      <c r="J2060" s="1"/>
      <c r="K2060" s="1"/>
      <c r="L2060" s="1"/>
      <c r="M2060" s="1"/>
      <c r="N2060" s="1"/>
      <c r="O2060" s="1"/>
      <c r="P2060" s="1"/>
      <c r="Q2060" s="1"/>
      <c r="R2060" s="1"/>
      <c r="S2060" s="1"/>
      <c r="T2060" s="1"/>
    </row>
    <row r="2061" spans="1:20" ht="33.75" hidden="1" customHeight="1">
      <c r="A2061" s="1" t="s">
        <v>5630</v>
      </c>
      <c r="B2061" s="1" t="s">
        <v>5615</v>
      </c>
      <c r="C2061" s="4">
        <v>40196.040972222225</v>
      </c>
      <c r="D2061" s="1" t="s">
        <v>1887</v>
      </c>
      <c r="E2061" s="1" t="s">
        <v>5628</v>
      </c>
      <c r="F2061" s="2" t="s">
        <v>5631</v>
      </c>
      <c r="G2061" s="1">
        <f ca="1">IFERROR(__xludf.DUMMYFUNCTION("COUNTA(SPLIT(F2061,"" ""))"),24)</f>
        <v>24</v>
      </c>
      <c r="H2061" s="1">
        <v>24</v>
      </c>
      <c r="I2061" s="1"/>
      <c r="J2061" s="1"/>
      <c r="K2061" s="1"/>
      <c r="L2061" s="1"/>
      <c r="M2061" s="1"/>
      <c r="N2061" s="1"/>
      <c r="O2061" s="1"/>
      <c r="P2061" s="1"/>
      <c r="Q2061" s="1"/>
      <c r="R2061" s="1"/>
      <c r="S2061" s="1"/>
      <c r="T2061" s="1"/>
    </row>
    <row r="2062" spans="1:20" ht="33.75" hidden="1" customHeight="1">
      <c r="A2062" s="1" t="s">
        <v>5632</v>
      </c>
      <c r="B2062" s="1" t="s">
        <v>5615</v>
      </c>
      <c r="C2062" s="4">
        <v>40196.794444444444</v>
      </c>
      <c r="D2062" s="1" t="s">
        <v>772</v>
      </c>
      <c r="E2062" s="1" t="s">
        <v>5630</v>
      </c>
      <c r="F2062" s="2" t="s">
        <v>5633</v>
      </c>
      <c r="G2062" s="1">
        <f ca="1">IFERROR(__xludf.DUMMYFUNCTION("COUNTA(SPLIT(F2062,"" ""))"),46)</f>
        <v>46</v>
      </c>
      <c r="H2062" s="1">
        <v>46</v>
      </c>
      <c r="I2062" s="1"/>
      <c r="J2062" s="1"/>
      <c r="K2062" s="1"/>
      <c r="L2062" s="1"/>
      <c r="M2062" s="1"/>
      <c r="N2062" s="1"/>
      <c r="O2062" s="1"/>
      <c r="P2062" s="1"/>
      <c r="Q2062" s="1"/>
      <c r="R2062" s="1"/>
      <c r="S2062" s="1"/>
      <c r="T2062" s="1"/>
    </row>
    <row r="2063" spans="1:20" ht="33.75" customHeight="1">
      <c r="A2063" s="1" t="s">
        <v>5634</v>
      </c>
      <c r="B2063" s="1" t="s">
        <v>5615</v>
      </c>
      <c r="C2063" s="4">
        <v>40196.867361111108</v>
      </c>
      <c r="D2063" s="1" t="s">
        <v>5635</v>
      </c>
      <c r="E2063" s="1"/>
      <c r="F2063" s="2" t="s">
        <v>5636</v>
      </c>
      <c r="G2063" s="1">
        <f ca="1">IFERROR(__xludf.DUMMYFUNCTION("COUNTA(SPLIT(F2063,"" ""))"),23)</f>
        <v>23</v>
      </c>
      <c r="H2063" s="1">
        <v>23</v>
      </c>
      <c r="I2063" s="1"/>
      <c r="J2063" s="1"/>
      <c r="K2063" s="1"/>
      <c r="L2063" s="1"/>
      <c r="M2063" s="1"/>
      <c r="N2063" s="1"/>
      <c r="O2063" s="1"/>
      <c r="P2063" s="1"/>
      <c r="Q2063" s="1"/>
      <c r="R2063" s="1"/>
      <c r="S2063" s="1"/>
      <c r="T2063" s="1"/>
    </row>
    <row r="2064" spans="1:20" ht="33.75" customHeight="1">
      <c r="A2064" s="1" t="s">
        <v>5637</v>
      </c>
      <c r="B2064" s="1" t="s">
        <v>5615</v>
      </c>
      <c r="C2064" s="4">
        <v>40196.875</v>
      </c>
      <c r="D2064" s="1" t="s">
        <v>5635</v>
      </c>
      <c r="E2064" s="1"/>
      <c r="F2064" s="2" t="s">
        <v>5638</v>
      </c>
      <c r="G2064" s="1">
        <f ca="1">IFERROR(__xludf.DUMMYFUNCTION("COUNTA(SPLIT(F2064,"" ""))"),8)</f>
        <v>8</v>
      </c>
      <c r="H2064" s="1">
        <v>8</v>
      </c>
      <c r="I2064" s="1"/>
      <c r="J2064" s="1"/>
      <c r="K2064" s="1"/>
      <c r="L2064" s="1"/>
      <c r="M2064" s="1"/>
      <c r="N2064" s="1"/>
      <c r="O2064" s="1"/>
      <c r="P2064" s="1"/>
      <c r="Q2064" s="1"/>
      <c r="R2064" s="1"/>
      <c r="S2064" s="1"/>
      <c r="T2064" s="1"/>
    </row>
    <row r="2065" spans="1:20" ht="33.75" customHeight="1">
      <c r="A2065" s="1" t="s">
        <v>5639</v>
      </c>
      <c r="B2065" s="1" t="s">
        <v>5615</v>
      </c>
      <c r="C2065" s="4">
        <v>40196.876388888886</v>
      </c>
      <c r="D2065" s="1" t="s">
        <v>5635</v>
      </c>
      <c r="E2065" s="1"/>
      <c r="F2065" s="2" t="s">
        <v>5640</v>
      </c>
      <c r="G2065" s="1">
        <f ca="1">IFERROR(__xludf.DUMMYFUNCTION("COUNTA(SPLIT(F2065,"" ""))"),38)</f>
        <v>38</v>
      </c>
      <c r="H2065" s="1">
        <v>38</v>
      </c>
      <c r="I2065" s="1"/>
      <c r="J2065" s="1"/>
      <c r="K2065" s="1"/>
      <c r="L2065" s="1"/>
      <c r="M2065" s="1"/>
      <c r="N2065" s="1"/>
      <c r="O2065" s="1"/>
      <c r="P2065" s="1"/>
      <c r="Q2065" s="1"/>
      <c r="R2065" s="1"/>
      <c r="S2065" s="1"/>
      <c r="T2065" s="1"/>
    </row>
    <row r="2066" spans="1:20" ht="33.75" customHeight="1">
      <c r="A2066" s="1" t="s">
        <v>5641</v>
      </c>
      <c r="B2066" s="1" t="s">
        <v>5615</v>
      </c>
      <c r="C2066" s="4">
        <v>40196.879166666666</v>
      </c>
      <c r="D2066" s="1" t="s">
        <v>5635</v>
      </c>
      <c r="E2066" s="1"/>
      <c r="F2066" s="2" t="s">
        <v>5642</v>
      </c>
      <c r="G2066" s="1">
        <f ca="1">IFERROR(__xludf.DUMMYFUNCTION("COUNTA(SPLIT(F2066,"" ""))"),20)</f>
        <v>20</v>
      </c>
      <c r="H2066" s="1">
        <v>20</v>
      </c>
      <c r="I2066" s="1"/>
      <c r="J2066" s="1"/>
      <c r="K2066" s="1"/>
      <c r="L2066" s="1"/>
      <c r="M2066" s="1"/>
      <c r="N2066" s="1"/>
      <c r="O2066" s="1"/>
      <c r="P2066" s="1"/>
      <c r="Q2066" s="1"/>
      <c r="R2066" s="1"/>
      <c r="S2066" s="1"/>
      <c r="T2066" s="1"/>
    </row>
    <row r="2067" spans="1:20" ht="33.75" customHeight="1">
      <c r="A2067" s="1" t="s">
        <v>5643</v>
      </c>
      <c r="B2067" s="1" t="s">
        <v>5615</v>
      </c>
      <c r="C2067" s="4">
        <v>40196.881249999999</v>
      </c>
      <c r="D2067" s="1" t="s">
        <v>5635</v>
      </c>
      <c r="E2067" s="1"/>
      <c r="F2067" s="2" t="s">
        <v>5644</v>
      </c>
      <c r="G2067" s="1">
        <f ca="1">IFERROR(__xludf.DUMMYFUNCTION("COUNTA(SPLIT(F2067,"" ""))"),11)</f>
        <v>11</v>
      </c>
      <c r="H2067" s="1">
        <v>11</v>
      </c>
      <c r="I2067" s="1"/>
      <c r="J2067" s="1"/>
      <c r="K2067" s="1"/>
      <c r="L2067" s="1"/>
      <c r="M2067" s="1"/>
      <c r="N2067" s="1"/>
      <c r="O2067" s="1"/>
      <c r="P2067" s="1"/>
      <c r="Q2067" s="1"/>
      <c r="R2067" s="1"/>
      <c r="S2067" s="1"/>
      <c r="T2067" s="1"/>
    </row>
    <row r="2068" spans="1:20" ht="33.75" customHeight="1">
      <c r="A2068" s="1" t="s">
        <v>5645</v>
      </c>
      <c r="B2068" s="1" t="s">
        <v>5615</v>
      </c>
      <c r="C2068" s="4">
        <v>40196.883333333331</v>
      </c>
      <c r="D2068" s="1" t="s">
        <v>5635</v>
      </c>
      <c r="E2068" s="1"/>
      <c r="F2068" s="2" t="s">
        <v>5647</v>
      </c>
      <c r="G2068" s="1">
        <f ca="1">IFERROR(__xludf.DUMMYFUNCTION("COUNTA(SPLIT(F2068,"" ""))"),28)</f>
        <v>28</v>
      </c>
      <c r="H2068" s="1">
        <v>28</v>
      </c>
      <c r="I2068" s="1"/>
      <c r="J2068" s="1"/>
      <c r="K2068" s="1"/>
      <c r="L2068" s="1"/>
      <c r="M2068" s="1"/>
      <c r="N2068" s="1"/>
      <c r="O2068" s="1"/>
      <c r="P2068" s="1"/>
      <c r="Q2068" s="1"/>
      <c r="R2068" s="1"/>
      <c r="S2068" s="1"/>
      <c r="T2068" s="1"/>
    </row>
    <row r="2069" spans="1:20" ht="33.75" customHeight="1">
      <c r="A2069" s="1" t="s">
        <v>5648</v>
      </c>
      <c r="B2069" s="1" t="s">
        <v>5615</v>
      </c>
      <c r="C2069" s="4">
        <v>40196.914583333331</v>
      </c>
      <c r="D2069" s="1" t="s">
        <v>5635</v>
      </c>
      <c r="E2069" s="1"/>
      <c r="F2069" s="2" t="s">
        <v>5649</v>
      </c>
      <c r="G2069" s="1">
        <f ca="1">IFERROR(__xludf.DUMMYFUNCTION("COUNTA(SPLIT(F2069,"" ""))"),136)</f>
        <v>136</v>
      </c>
      <c r="H2069" s="1">
        <v>136</v>
      </c>
      <c r="I2069" s="1"/>
      <c r="J2069" s="1"/>
      <c r="K2069" s="1"/>
      <c r="L2069" s="1"/>
      <c r="M2069" s="1"/>
      <c r="N2069" s="1"/>
      <c r="O2069" s="1"/>
      <c r="P2069" s="1"/>
      <c r="Q2069" s="1"/>
      <c r="R2069" s="1"/>
      <c r="S2069" s="1"/>
      <c r="T2069" s="1"/>
    </row>
    <row r="2070" spans="1:20" ht="33.75" customHeight="1">
      <c r="A2070" s="1" t="s">
        <v>5650</v>
      </c>
      <c r="B2070" s="1" t="s">
        <v>5615</v>
      </c>
      <c r="C2070" s="4">
        <v>40196.915972222225</v>
      </c>
      <c r="D2070" s="1" t="s">
        <v>5635</v>
      </c>
      <c r="E2070" s="1"/>
      <c r="F2070" s="2" t="s">
        <v>5651</v>
      </c>
      <c r="G2070" s="1">
        <f ca="1">IFERROR(__xludf.DUMMYFUNCTION("COUNTA(SPLIT(F2070,"" ""))"),17)</f>
        <v>17</v>
      </c>
      <c r="H2070" s="1">
        <v>17</v>
      </c>
      <c r="I2070" s="1"/>
      <c r="J2070" s="1"/>
      <c r="K2070" s="1"/>
      <c r="L2070" s="1"/>
      <c r="M2070" s="1"/>
      <c r="N2070" s="1"/>
      <c r="O2070" s="1"/>
      <c r="P2070" s="1"/>
      <c r="Q2070" s="1"/>
      <c r="R2070" s="1"/>
      <c r="S2070" s="1"/>
      <c r="T2070" s="1"/>
    </row>
    <row r="2071" spans="1:20" ht="33.75" hidden="1" customHeight="1">
      <c r="A2071" s="1" t="s">
        <v>5652</v>
      </c>
      <c r="B2071" s="1" t="s">
        <v>5615</v>
      </c>
      <c r="C2071" s="4">
        <v>40197.48541666667</v>
      </c>
      <c r="D2071" s="1" t="s">
        <v>772</v>
      </c>
      <c r="E2071" s="1" t="s">
        <v>5645</v>
      </c>
      <c r="F2071" s="2" t="s">
        <v>5653</v>
      </c>
      <c r="G2071" s="1">
        <f ca="1">IFERROR(__xludf.DUMMYFUNCTION("COUNTA(SPLIT(F2071,"" ""))"),22)</f>
        <v>22</v>
      </c>
      <c r="H2071" s="1">
        <v>22</v>
      </c>
      <c r="I2071" s="1"/>
      <c r="J2071" s="1"/>
      <c r="K2071" s="1"/>
      <c r="L2071" s="1"/>
      <c r="M2071" s="1"/>
      <c r="N2071" s="1"/>
      <c r="O2071" s="1"/>
      <c r="P2071" s="1"/>
      <c r="Q2071" s="1"/>
      <c r="R2071" s="1"/>
      <c r="S2071" s="1"/>
      <c r="T2071" s="1"/>
    </row>
    <row r="2072" spans="1:20" ht="33.75" customHeight="1">
      <c r="A2072" s="1" t="s">
        <v>5654</v>
      </c>
      <c r="B2072" s="1" t="s">
        <v>5615</v>
      </c>
      <c r="C2072" s="4">
        <v>40197.78125</v>
      </c>
      <c r="D2072" s="1" t="s">
        <v>54</v>
      </c>
      <c r="E2072" s="1"/>
      <c r="F2072" s="2" t="s">
        <v>5655</v>
      </c>
      <c r="G2072" s="1">
        <f ca="1">IFERROR(__xludf.DUMMYFUNCTION("COUNTA(SPLIT(F2072,"" ""))"),39)</f>
        <v>39</v>
      </c>
      <c r="H2072" s="1">
        <v>39</v>
      </c>
      <c r="I2072" s="1"/>
      <c r="J2072" s="1"/>
      <c r="K2072" s="1"/>
      <c r="L2072" s="1"/>
      <c r="M2072" s="1"/>
      <c r="N2072" s="1"/>
      <c r="O2072" s="1"/>
      <c r="P2072" s="1"/>
      <c r="Q2072" s="1"/>
      <c r="R2072" s="1"/>
      <c r="S2072" s="1"/>
      <c r="T2072" s="1"/>
    </row>
    <row r="2073" spans="1:20" ht="33.75" customHeight="1">
      <c r="A2073" s="1" t="s">
        <v>5656</v>
      </c>
      <c r="B2073" s="1" t="s">
        <v>5615</v>
      </c>
      <c r="C2073" s="4">
        <v>40198.447222222225</v>
      </c>
      <c r="D2073" s="1" t="s">
        <v>772</v>
      </c>
      <c r="E2073" s="1"/>
      <c r="F2073" s="2" t="s">
        <v>5657</v>
      </c>
      <c r="G2073" s="1">
        <f ca="1">IFERROR(__xludf.DUMMYFUNCTION("COUNTA(SPLIT(F2073,"" ""))"),53)</f>
        <v>53</v>
      </c>
      <c r="H2073" s="1">
        <v>53</v>
      </c>
      <c r="I2073" s="1"/>
      <c r="J2073" s="1"/>
      <c r="K2073" s="1"/>
      <c r="L2073" s="1"/>
      <c r="M2073" s="1"/>
      <c r="N2073" s="1"/>
      <c r="O2073" s="1"/>
      <c r="P2073" s="1"/>
      <c r="Q2073" s="1"/>
      <c r="R2073" s="1"/>
      <c r="S2073" s="1"/>
      <c r="T2073" s="1"/>
    </row>
    <row r="2074" spans="1:20" ht="33.75" customHeight="1">
      <c r="A2074" s="1" t="s">
        <v>5658</v>
      </c>
      <c r="B2074" s="1" t="s">
        <v>5615</v>
      </c>
      <c r="C2074" s="4">
        <v>40199.038888888892</v>
      </c>
      <c r="D2074" s="1" t="s">
        <v>5635</v>
      </c>
      <c r="E2074" s="1"/>
      <c r="F2074" s="2" t="s">
        <v>5659</v>
      </c>
      <c r="G2074" s="1">
        <f ca="1">IFERROR(__xludf.DUMMYFUNCTION("COUNTA(SPLIT(F2074,"" ""))"),24)</f>
        <v>24</v>
      </c>
      <c r="H2074" s="1">
        <v>24</v>
      </c>
      <c r="I2074" s="1"/>
      <c r="J2074" s="1"/>
      <c r="K2074" s="1"/>
      <c r="L2074" s="1"/>
      <c r="M2074" s="1"/>
      <c r="N2074" s="1"/>
      <c r="O2074" s="1"/>
      <c r="P2074" s="1"/>
      <c r="Q2074" s="1"/>
      <c r="R2074" s="1"/>
      <c r="S2074" s="1"/>
      <c r="T2074" s="1"/>
    </row>
    <row r="2075" spans="1:20" ht="33.75" customHeight="1">
      <c r="A2075" s="1" t="s">
        <v>5660</v>
      </c>
      <c r="B2075" s="1" t="s">
        <v>5615</v>
      </c>
      <c r="C2075" s="4">
        <v>40201</v>
      </c>
      <c r="D2075" s="1" t="s">
        <v>54</v>
      </c>
      <c r="E2075" s="1"/>
      <c r="F2075" s="2" t="s">
        <v>5661</v>
      </c>
      <c r="G2075" s="1">
        <f ca="1">IFERROR(__xludf.DUMMYFUNCTION("COUNTA(SPLIT(F2075,"" ""))"),29)</f>
        <v>29</v>
      </c>
      <c r="H2075" s="1">
        <v>29</v>
      </c>
      <c r="I2075" s="1"/>
      <c r="J2075" s="1"/>
      <c r="K2075" s="1"/>
      <c r="L2075" s="1"/>
      <c r="M2075" s="1"/>
      <c r="N2075" s="1"/>
      <c r="O2075" s="1"/>
      <c r="P2075" s="1"/>
      <c r="Q2075" s="1"/>
      <c r="R2075" s="1"/>
      <c r="S2075" s="1"/>
      <c r="T2075" s="1"/>
    </row>
    <row r="2076" spans="1:20" ht="33.75" customHeight="1">
      <c r="A2076" s="1" t="s">
        <v>5662</v>
      </c>
      <c r="B2076" s="1" t="s">
        <v>5615</v>
      </c>
      <c r="C2076" s="4">
        <v>40201.356944444444</v>
      </c>
      <c r="D2076" s="1" t="s">
        <v>54</v>
      </c>
      <c r="E2076" s="1"/>
      <c r="F2076" s="2" t="s">
        <v>5663</v>
      </c>
      <c r="G2076" s="1">
        <f ca="1">IFERROR(__xludf.DUMMYFUNCTION("COUNTA(SPLIT(F2076,"" ""))"),23)</f>
        <v>23</v>
      </c>
      <c r="H2076" s="1">
        <v>23</v>
      </c>
      <c r="I2076" s="1"/>
      <c r="J2076" s="1"/>
      <c r="K2076" s="1"/>
      <c r="L2076" s="1"/>
      <c r="M2076" s="1"/>
      <c r="N2076" s="1"/>
      <c r="O2076" s="1"/>
      <c r="P2076" s="1"/>
      <c r="Q2076" s="1"/>
      <c r="R2076" s="1"/>
      <c r="S2076" s="1"/>
      <c r="T2076" s="1"/>
    </row>
    <row r="2077" spans="1:20" ht="33.75" customHeight="1">
      <c r="A2077" s="1" t="s">
        <v>5664</v>
      </c>
      <c r="B2077" s="1" t="s">
        <v>5615</v>
      </c>
      <c r="C2077" s="4">
        <v>40201.379861111112</v>
      </c>
      <c r="D2077" s="1" t="s">
        <v>5665</v>
      </c>
      <c r="E2077" s="1"/>
      <c r="F2077" s="2" t="s">
        <v>5666</v>
      </c>
      <c r="G2077" s="1">
        <f ca="1">IFERROR(__xludf.DUMMYFUNCTION("COUNTA(SPLIT(F2077,"" ""))"),99)</f>
        <v>99</v>
      </c>
      <c r="H2077" s="1">
        <v>99</v>
      </c>
      <c r="I2077" s="1"/>
      <c r="J2077" s="1"/>
      <c r="K2077" s="1"/>
      <c r="L2077" s="1"/>
      <c r="M2077" s="1"/>
      <c r="N2077" s="1"/>
      <c r="O2077" s="1"/>
      <c r="P2077" s="1"/>
      <c r="Q2077" s="1"/>
      <c r="R2077" s="1"/>
      <c r="S2077" s="1"/>
      <c r="T2077" s="1"/>
    </row>
    <row r="2078" spans="1:20" ht="33.75" customHeight="1">
      <c r="A2078" s="1" t="s">
        <v>5667</v>
      </c>
      <c r="B2078" s="1" t="s">
        <v>5615</v>
      </c>
      <c r="C2078" s="4">
        <v>40203.824999999997</v>
      </c>
      <c r="D2078" s="1" t="s">
        <v>54</v>
      </c>
      <c r="E2078" s="1"/>
      <c r="F2078" s="2" t="s">
        <v>5668</v>
      </c>
      <c r="G2078" s="1">
        <f ca="1">IFERROR(__xludf.DUMMYFUNCTION("COUNTA(SPLIT(F2078,"" ""))"),41)</f>
        <v>41</v>
      </c>
      <c r="H2078" s="1">
        <v>41</v>
      </c>
      <c r="I2078" s="1"/>
      <c r="J2078" s="1"/>
      <c r="K2078" s="1"/>
      <c r="L2078" s="1"/>
      <c r="M2078" s="1"/>
      <c r="N2078" s="1"/>
      <c r="O2078" s="1"/>
      <c r="P2078" s="1"/>
      <c r="Q2078" s="1"/>
      <c r="R2078" s="1"/>
      <c r="S2078" s="1"/>
      <c r="T2078" s="1"/>
    </row>
    <row r="2079" spans="1:20" ht="33.75" customHeight="1">
      <c r="A2079" s="1" t="s">
        <v>5669</v>
      </c>
      <c r="B2079" s="1" t="s">
        <v>5615</v>
      </c>
      <c r="C2079" s="4">
        <v>40206.426388888889</v>
      </c>
      <c r="D2079" s="1" t="s">
        <v>5665</v>
      </c>
      <c r="E2079" s="1"/>
      <c r="F2079" s="2" t="s">
        <v>5670</v>
      </c>
      <c r="G2079" s="1">
        <f ca="1">IFERROR(__xludf.DUMMYFUNCTION("COUNTA(SPLIT(F2079,"" ""))"),113)</f>
        <v>113</v>
      </c>
      <c r="H2079" s="1">
        <v>113</v>
      </c>
      <c r="I2079" s="1"/>
      <c r="J2079" s="1"/>
      <c r="K2079" s="1"/>
      <c r="L2079" s="1"/>
      <c r="M2079" s="1"/>
      <c r="N2079" s="1"/>
      <c r="O2079" s="1"/>
      <c r="P2079" s="1"/>
      <c r="Q2079" s="1"/>
      <c r="R2079" s="1"/>
      <c r="S2079" s="1"/>
      <c r="T2079" s="1"/>
    </row>
    <row r="2080" spans="1:20" ht="33.75" customHeight="1">
      <c r="A2080" s="1" t="s">
        <v>5671</v>
      </c>
      <c r="B2080" s="1" t="s">
        <v>5615</v>
      </c>
      <c r="C2080" s="4">
        <v>40206.615972222222</v>
      </c>
      <c r="D2080" s="1" t="s">
        <v>5672</v>
      </c>
      <c r="E2080" s="1"/>
      <c r="F2080" s="2" t="s">
        <v>5673</v>
      </c>
      <c r="G2080" s="1">
        <f ca="1">IFERROR(__xludf.DUMMYFUNCTION("COUNTA(SPLIT(F2080,"" ""))"),15)</f>
        <v>15</v>
      </c>
      <c r="H2080" s="1">
        <v>15</v>
      </c>
      <c r="I2080" s="1"/>
      <c r="J2080" s="1"/>
      <c r="K2080" s="1"/>
      <c r="L2080" s="1"/>
      <c r="M2080" s="1"/>
      <c r="N2080" s="1"/>
      <c r="O2080" s="1"/>
      <c r="P2080" s="1"/>
      <c r="Q2080" s="1"/>
      <c r="R2080" s="1"/>
      <c r="S2080" s="1"/>
      <c r="T2080" s="1"/>
    </row>
    <row r="2081" spans="1:20" ht="33.75" customHeight="1">
      <c r="A2081" s="1" t="s">
        <v>5674</v>
      </c>
      <c r="B2081" s="1" t="s">
        <v>5615</v>
      </c>
      <c r="C2081" s="4">
        <v>40206.770833333336</v>
      </c>
      <c r="D2081" s="1" t="s">
        <v>54</v>
      </c>
      <c r="E2081" s="1"/>
      <c r="F2081" s="2" t="s">
        <v>5675</v>
      </c>
      <c r="G2081" s="1">
        <f ca="1">IFERROR(__xludf.DUMMYFUNCTION("COUNTA(SPLIT(F2081,"" ""))"),27)</f>
        <v>27</v>
      </c>
      <c r="H2081" s="1">
        <v>27</v>
      </c>
      <c r="I2081" s="1"/>
      <c r="J2081" s="1"/>
      <c r="K2081" s="1"/>
      <c r="L2081" s="1"/>
      <c r="M2081" s="1"/>
      <c r="N2081" s="1"/>
      <c r="O2081" s="1"/>
      <c r="P2081" s="1"/>
      <c r="Q2081" s="1"/>
      <c r="R2081" s="1"/>
      <c r="S2081" s="1"/>
      <c r="T2081" s="1"/>
    </row>
    <row r="2082" spans="1:20" ht="33.75" customHeight="1">
      <c r="A2082" s="1" t="s">
        <v>5676</v>
      </c>
      <c r="B2082" s="1" t="s">
        <v>5615</v>
      </c>
      <c r="C2082" s="4">
        <v>40206.77847222222</v>
      </c>
      <c r="D2082" s="1" t="s">
        <v>3610</v>
      </c>
      <c r="E2082" s="1"/>
      <c r="F2082" s="2" t="s">
        <v>5677</v>
      </c>
      <c r="G2082" s="1">
        <f ca="1">IFERROR(__xludf.DUMMYFUNCTION("COUNTA(SPLIT(F2082,"" ""))"),28)</f>
        <v>28</v>
      </c>
      <c r="H2082" s="1">
        <v>28</v>
      </c>
      <c r="I2082" s="1"/>
      <c r="J2082" s="1"/>
      <c r="K2082" s="1"/>
      <c r="L2082" s="1"/>
      <c r="M2082" s="1"/>
      <c r="N2082" s="1"/>
      <c r="O2082" s="1"/>
      <c r="P2082" s="1"/>
      <c r="Q2082" s="1"/>
      <c r="R2082" s="1"/>
      <c r="S2082" s="1"/>
      <c r="T2082" s="1"/>
    </row>
    <row r="2083" spans="1:20" ht="33.75" customHeight="1">
      <c r="A2083" s="1" t="s">
        <v>5678</v>
      </c>
      <c r="B2083" s="1" t="s">
        <v>5615</v>
      </c>
      <c r="C2083" s="4">
        <v>40206.794444444444</v>
      </c>
      <c r="D2083" s="1" t="s">
        <v>5672</v>
      </c>
      <c r="E2083" s="1"/>
      <c r="F2083" s="2" t="s">
        <v>5679</v>
      </c>
      <c r="G2083" s="1">
        <f ca="1">IFERROR(__xludf.DUMMYFUNCTION("COUNTA(SPLIT(F2083,"" ""))"),13)</f>
        <v>13</v>
      </c>
      <c r="H2083" s="1">
        <v>13</v>
      </c>
      <c r="I2083" s="1"/>
      <c r="J2083" s="1"/>
      <c r="K2083" s="1"/>
      <c r="L2083" s="1"/>
      <c r="M2083" s="1"/>
      <c r="N2083" s="1"/>
      <c r="O2083" s="1"/>
      <c r="P2083" s="1"/>
      <c r="Q2083" s="1"/>
      <c r="R2083" s="1"/>
      <c r="S2083" s="1"/>
      <c r="T2083" s="1"/>
    </row>
    <row r="2084" spans="1:20" ht="33.75" customHeight="1">
      <c r="A2084" s="1" t="s">
        <v>5680</v>
      </c>
      <c r="B2084" s="1" t="s">
        <v>5615</v>
      </c>
      <c r="C2084" s="4">
        <v>40209.395833333336</v>
      </c>
      <c r="D2084" s="1" t="s">
        <v>54</v>
      </c>
      <c r="E2084" s="1"/>
      <c r="F2084" s="2" t="s">
        <v>5681</v>
      </c>
      <c r="G2084" s="1">
        <f ca="1">IFERROR(__xludf.DUMMYFUNCTION("COUNTA(SPLIT(F2084,"" ""))"),137)</f>
        <v>137</v>
      </c>
      <c r="H2084" s="1">
        <v>137</v>
      </c>
      <c r="I2084" s="1"/>
      <c r="J2084" s="1"/>
      <c r="K2084" s="1"/>
      <c r="L2084" s="1"/>
      <c r="M2084" s="1"/>
      <c r="N2084" s="1"/>
      <c r="O2084" s="1"/>
      <c r="P2084" s="1"/>
      <c r="Q2084" s="1"/>
      <c r="R2084" s="1"/>
      <c r="S2084" s="1"/>
      <c r="T2084" s="1"/>
    </row>
    <row r="2085" spans="1:20" ht="33.75" customHeight="1">
      <c r="A2085" s="1" t="s">
        <v>5682</v>
      </c>
      <c r="B2085" s="1" t="s">
        <v>5615</v>
      </c>
      <c r="C2085" s="4">
        <v>40209.443055555559</v>
      </c>
      <c r="D2085" s="1" t="s">
        <v>84</v>
      </c>
      <c r="E2085" s="1"/>
      <c r="F2085" s="2" t="s">
        <v>5683</v>
      </c>
      <c r="G2085" s="1">
        <f ca="1">IFERROR(__xludf.DUMMYFUNCTION("COUNTA(SPLIT(F2085,"" ""))"),108)</f>
        <v>108</v>
      </c>
      <c r="H2085" s="1">
        <v>108</v>
      </c>
      <c r="I2085" s="1"/>
      <c r="J2085" s="1"/>
      <c r="K2085" s="1"/>
      <c r="L2085" s="1"/>
      <c r="M2085" s="1"/>
      <c r="N2085" s="1"/>
      <c r="O2085" s="1"/>
      <c r="P2085" s="1"/>
      <c r="Q2085" s="1"/>
      <c r="R2085" s="1"/>
      <c r="S2085" s="1"/>
      <c r="T2085" s="1"/>
    </row>
    <row r="2086" spans="1:20" ht="33.75" customHeight="1">
      <c r="A2086" s="1" t="s">
        <v>5684</v>
      </c>
      <c r="B2086" s="1" t="s">
        <v>5615</v>
      </c>
      <c r="C2086" s="4">
        <v>40209.506249999999</v>
      </c>
      <c r="D2086" s="1" t="s">
        <v>1887</v>
      </c>
      <c r="E2086" s="1"/>
      <c r="F2086" s="2" t="s">
        <v>5685</v>
      </c>
      <c r="G2086" s="1">
        <f ca="1">IFERROR(__xludf.DUMMYFUNCTION("COUNTA(SPLIT(F2086,"" ""))"),229)</f>
        <v>229</v>
      </c>
      <c r="H2086" s="1">
        <v>229</v>
      </c>
      <c r="I2086" s="1"/>
      <c r="J2086" s="1"/>
      <c r="K2086" s="1"/>
      <c r="L2086" s="1"/>
      <c r="M2086" s="1"/>
      <c r="N2086" s="1"/>
      <c r="O2086" s="1"/>
      <c r="P2086" s="1"/>
      <c r="Q2086" s="1"/>
      <c r="R2086" s="1"/>
      <c r="S2086" s="1"/>
      <c r="T2086" s="1"/>
    </row>
    <row r="2087" spans="1:20" ht="33.75" customHeight="1">
      <c r="A2087" s="1" t="s">
        <v>5686</v>
      </c>
      <c r="B2087" s="1" t="s">
        <v>5615</v>
      </c>
      <c r="C2087" s="4">
        <v>40210.273611111108</v>
      </c>
      <c r="D2087" s="1" t="s">
        <v>5687</v>
      </c>
      <c r="E2087" s="1"/>
      <c r="F2087" s="2" t="s">
        <v>5688</v>
      </c>
      <c r="G2087" s="1">
        <f ca="1">IFERROR(__xludf.DUMMYFUNCTION("COUNTA(SPLIT(F2087,"" ""))"),33)</f>
        <v>33</v>
      </c>
      <c r="H2087" s="1">
        <v>33</v>
      </c>
      <c r="I2087" s="1"/>
      <c r="J2087" s="1"/>
      <c r="K2087" s="1"/>
      <c r="L2087" s="1"/>
      <c r="M2087" s="1"/>
      <c r="N2087" s="1"/>
      <c r="O2087" s="1"/>
      <c r="P2087" s="1"/>
      <c r="Q2087" s="1"/>
      <c r="R2087" s="1"/>
      <c r="S2087" s="1"/>
      <c r="T2087" s="1"/>
    </row>
    <row r="2088" spans="1:20" ht="33.75" customHeight="1">
      <c r="A2088" s="1" t="s">
        <v>5689</v>
      </c>
      <c r="B2088" s="1" t="s">
        <v>5615</v>
      </c>
      <c r="C2088" s="4">
        <v>40210.286805555559</v>
      </c>
      <c r="D2088" s="1" t="s">
        <v>1887</v>
      </c>
      <c r="E2088" s="1"/>
      <c r="F2088" s="2" t="s">
        <v>5690</v>
      </c>
      <c r="G2088" s="1">
        <f ca="1">IFERROR(__xludf.DUMMYFUNCTION("COUNTA(SPLIT(F2088,"" ""))"),47)</f>
        <v>47</v>
      </c>
      <c r="H2088" s="1">
        <v>47</v>
      </c>
      <c r="I2088" s="1"/>
      <c r="J2088" s="1"/>
      <c r="K2088" s="1"/>
      <c r="L2088" s="1"/>
      <c r="M2088" s="1"/>
      <c r="N2088" s="1"/>
      <c r="O2088" s="1"/>
      <c r="P2088" s="1"/>
      <c r="Q2088" s="1"/>
      <c r="R2088" s="1"/>
      <c r="S2088" s="1"/>
      <c r="T2088" s="1"/>
    </row>
    <row r="2089" spans="1:20" ht="33.75" customHeight="1">
      <c r="A2089" s="1" t="s">
        <v>5691</v>
      </c>
      <c r="B2089" s="1" t="s">
        <v>5615</v>
      </c>
      <c r="C2089" s="4">
        <v>40212.297222222223</v>
      </c>
      <c r="D2089" s="1" t="s">
        <v>5687</v>
      </c>
      <c r="E2089" s="1"/>
      <c r="F2089" s="2" t="s">
        <v>5692</v>
      </c>
      <c r="G2089" s="1">
        <f ca="1">IFERROR(__xludf.DUMMYFUNCTION("COUNTA(SPLIT(F2089,"" ""))"),19)</f>
        <v>19</v>
      </c>
      <c r="H2089" s="1">
        <v>19</v>
      </c>
      <c r="I2089" s="1"/>
      <c r="J2089" s="1"/>
      <c r="K2089" s="1"/>
      <c r="L2089" s="1"/>
      <c r="M2089" s="1"/>
      <c r="N2089" s="1"/>
      <c r="O2089" s="1"/>
      <c r="P2089" s="1"/>
      <c r="Q2089" s="1"/>
      <c r="R2089" s="1"/>
      <c r="S2089" s="1"/>
      <c r="T2089" s="1"/>
    </row>
    <row r="2090" spans="1:20" ht="33.75" customHeight="1">
      <c r="A2090" s="1" t="s">
        <v>5693</v>
      </c>
      <c r="B2090" s="3" t="s">
        <v>13</v>
      </c>
      <c r="C2090" s="4">
        <v>40216.932638888888</v>
      </c>
      <c r="D2090" s="1" t="s">
        <v>5694</v>
      </c>
      <c r="E2090" s="1"/>
      <c r="F2090" s="2" t="s">
        <v>5696</v>
      </c>
      <c r="G2090" s="1">
        <f ca="1">IFERROR(__xludf.DUMMYFUNCTION("COUNTA(SPLIT(F2090,"" ""))"),54)</f>
        <v>54</v>
      </c>
      <c r="H2090" s="1">
        <v>54</v>
      </c>
      <c r="I2090" s="1"/>
      <c r="J2090" s="1"/>
      <c r="K2090" s="1"/>
      <c r="L2090" s="1"/>
      <c r="M2090" s="1"/>
      <c r="N2090" s="1"/>
      <c r="O2090" s="1"/>
      <c r="P2090" s="1"/>
      <c r="Q2090" s="1"/>
      <c r="R2090" s="1"/>
      <c r="S2090" s="1"/>
      <c r="T2090" s="1"/>
    </row>
    <row r="2091" spans="1:20" ht="33.75" customHeight="1">
      <c r="A2091" s="1" t="s">
        <v>12</v>
      </c>
      <c r="B2091" s="1" t="s">
        <v>5697</v>
      </c>
      <c r="C2091" s="4">
        <v>40226.009918981479</v>
      </c>
      <c r="D2091" s="1" t="s">
        <v>14</v>
      </c>
      <c r="E2091" s="1"/>
      <c r="F2091" s="2" t="s">
        <v>5698</v>
      </c>
      <c r="G2091" s="1">
        <f ca="1">IFERROR(__xludf.DUMMYFUNCTION("COUNTA(SPLIT(F2091,"" ""))"),111)</f>
        <v>111</v>
      </c>
      <c r="H2091" s="1">
        <v>111</v>
      </c>
      <c r="I2091" s="1"/>
      <c r="J2091" s="1"/>
      <c r="K2091" s="1"/>
      <c r="L2091" s="1"/>
      <c r="M2091" s="1"/>
      <c r="N2091" s="1"/>
      <c r="O2091" s="1"/>
      <c r="P2091" s="1"/>
      <c r="Q2091" s="1"/>
      <c r="R2091" s="1"/>
      <c r="S2091" s="1"/>
      <c r="T2091" s="1"/>
    </row>
    <row r="2092" spans="1:20" ht="33.75" customHeight="1">
      <c r="A2092" s="1" t="s">
        <v>5699</v>
      </c>
      <c r="B2092" s="1" t="s">
        <v>5697</v>
      </c>
      <c r="C2092" s="4">
        <v>40226.177777777775</v>
      </c>
      <c r="D2092" s="1" t="s">
        <v>3610</v>
      </c>
      <c r="E2092" s="1"/>
      <c r="F2092" s="2" t="s">
        <v>5700</v>
      </c>
      <c r="G2092" s="1">
        <f ca="1">IFERROR(__xludf.DUMMYFUNCTION("COUNTA(SPLIT(F2092,"" ""))"),22)</f>
        <v>22</v>
      </c>
      <c r="H2092" s="1">
        <v>22</v>
      </c>
      <c r="I2092" s="1"/>
      <c r="J2092" s="1"/>
      <c r="K2092" s="1"/>
      <c r="L2092" s="1"/>
      <c r="M2092" s="1"/>
      <c r="N2092" s="1"/>
      <c r="O2092" s="1"/>
      <c r="P2092" s="1"/>
      <c r="Q2092" s="1"/>
      <c r="R2092" s="1"/>
      <c r="S2092" s="1"/>
      <c r="T2092" s="1"/>
    </row>
    <row r="2093" spans="1:20" ht="33.75" customHeight="1">
      <c r="A2093" s="1" t="s">
        <v>5701</v>
      </c>
      <c r="B2093" s="1" t="s">
        <v>5697</v>
      </c>
      <c r="C2093" s="4">
        <v>40226.37777777778</v>
      </c>
      <c r="D2093" s="1" t="s">
        <v>14</v>
      </c>
      <c r="E2093" s="1"/>
      <c r="F2093" s="2" t="s">
        <v>5702</v>
      </c>
      <c r="G2093" s="1">
        <f ca="1">IFERROR(__xludf.DUMMYFUNCTION("COUNTA(SPLIT(F2093,"" ""))"),11)</f>
        <v>11</v>
      </c>
      <c r="H2093" s="1">
        <v>11</v>
      </c>
      <c r="I2093" s="1"/>
      <c r="J2093" s="1"/>
      <c r="K2093" s="1"/>
      <c r="L2093" s="1"/>
      <c r="M2093" s="1"/>
      <c r="N2093" s="1"/>
      <c r="O2093" s="1"/>
      <c r="P2093" s="1"/>
      <c r="Q2093" s="1"/>
      <c r="R2093" s="1"/>
      <c r="S2093" s="1"/>
      <c r="T2093" s="1"/>
    </row>
    <row r="2094" spans="1:20" ht="33.75" customHeight="1">
      <c r="A2094" s="1" t="s">
        <v>5703</v>
      </c>
      <c r="B2094" s="1" t="s">
        <v>5704</v>
      </c>
      <c r="C2094" s="4">
        <v>40290.411805555559</v>
      </c>
      <c r="D2094" s="1" t="s">
        <v>84</v>
      </c>
      <c r="E2094" s="1"/>
      <c r="F2094" s="2" t="s">
        <v>5705</v>
      </c>
      <c r="G2094" s="1">
        <f ca="1">IFERROR(__xludf.DUMMYFUNCTION("COUNTA(SPLIT(F2094,"" ""))"),40)</f>
        <v>40</v>
      </c>
      <c r="H2094" s="1">
        <v>40</v>
      </c>
      <c r="I2094" s="1"/>
      <c r="J2094" s="1"/>
      <c r="K2094" s="1"/>
      <c r="L2094" s="1"/>
      <c r="M2094" s="1"/>
      <c r="N2094" s="1"/>
      <c r="O2094" s="1"/>
      <c r="P2094" s="1"/>
      <c r="Q2094" s="1"/>
      <c r="R2094" s="1"/>
      <c r="S2094" s="1"/>
      <c r="T2094" s="1"/>
    </row>
    <row r="2095" spans="1:20" ht="33.75" customHeight="1">
      <c r="A2095" s="1" t="s">
        <v>5706</v>
      </c>
      <c r="B2095" s="1" t="s">
        <v>5704</v>
      </c>
      <c r="C2095" s="4">
        <v>40290.454861111109</v>
      </c>
      <c r="D2095" s="1" t="s">
        <v>4170</v>
      </c>
      <c r="E2095" s="1"/>
      <c r="F2095" s="2" t="s">
        <v>5707</v>
      </c>
      <c r="G2095" s="1">
        <f ca="1">IFERROR(__xludf.DUMMYFUNCTION("COUNTA(SPLIT(F2095,"" ""))"),372)</f>
        <v>372</v>
      </c>
      <c r="H2095" s="1">
        <v>372</v>
      </c>
      <c r="I2095" s="1"/>
      <c r="J2095" s="1"/>
      <c r="K2095" s="1"/>
      <c r="L2095" s="1"/>
      <c r="M2095" s="1"/>
      <c r="N2095" s="1"/>
      <c r="O2095" s="1"/>
      <c r="P2095" s="1"/>
      <c r="Q2095" s="1"/>
      <c r="R2095" s="1"/>
      <c r="S2095" s="1"/>
      <c r="T2095" s="1"/>
    </row>
    <row r="2096" spans="1:20" ht="33.75" customHeight="1">
      <c r="A2096" s="1" t="s">
        <v>5708</v>
      </c>
      <c r="B2096" s="1" t="s">
        <v>5704</v>
      </c>
      <c r="C2096" s="4">
        <v>40290.54583333333</v>
      </c>
      <c r="D2096" s="1" t="s">
        <v>2893</v>
      </c>
      <c r="E2096" s="1"/>
      <c r="F2096" s="2" t="s">
        <v>5709</v>
      </c>
      <c r="G2096" s="1">
        <f ca="1">IFERROR(__xludf.DUMMYFUNCTION("COUNTA(SPLIT(F2096,"" ""))"),136)</f>
        <v>136</v>
      </c>
      <c r="H2096" s="1">
        <v>136</v>
      </c>
      <c r="I2096" s="1"/>
      <c r="J2096" s="1"/>
      <c r="K2096" s="1"/>
      <c r="L2096" s="1"/>
      <c r="M2096" s="1"/>
      <c r="N2096" s="1"/>
      <c r="O2096" s="1"/>
      <c r="P2096" s="1"/>
      <c r="Q2096" s="1"/>
      <c r="R2096" s="1"/>
      <c r="S2096" s="1"/>
      <c r="T2096" s="1"/>
    </row>
    <row r="2097" spans="1:20" ht="33.75" customHeight="1">
      <c r="A2097" s="1" t="s">
        <v>12</v>
      </c>
      <c r="B2097" s="1" t="s">
        <v>5704</v>
      </c>
      <c r="C2097" s="4">
        <v>40290.726840277777</v>
      </c>
      <c r="D2097" s="1" t="s">
        <v>175</v>
      </c>
      <c r="E2097" s="1"/>
      <c r="F2097" s="2" t="s">
        <v>5711</v>
      </c>
      <c r="G2097" s="1">
        <f ca="1">IFERROR(__xludf.DUMMYFUNCTION("COUNTA(SPLIT(F2097,"" ""))"),583)</f>
        <v>583</v>
      </c>
      <c r="H2097" s="1">
        <v>583</v>
      </c>
      <c r="I2097" s="1"/>
      <c r="J2097" s="1"/>
      <c r="K2097" s="1"/>
      <c r="L2097" s="1"/>
      <c r="M2097" s="1"/>
      <c r="N2097" s="1"/>
      <c r="O2097" s="1"/>
      <c r="P2097" s="1"/>
      <c r="Q2097" s="1"/>
      <c r="R2097" s="1"/>
      <c r="S2097" s="1"/>
      <c r="T2097" s="1"/>
    </row>
    <row r="2098" spans="1:20" ht="33.75" customHeight="1">
      <c r="A2098" s="1" t="s">
        <v>5712</v>
      </c>
      <c r="B2098" s="1" t="s">
        <v>5704</v>
      </c>
      <c r="C2098" s="4">
        <v>40291.01666666667</v>
      </c>
      <c r="D2098" s="1" t="s">
        <v>381</v>
      </c>
      <c r="E2098" s="1"/>
      <c r="F2098" s="2" t="s">
        <v>5713</v>
      </c>
      <c r="G2098" s="1">
        <f ca="1">IFERROR(__xludf.DUMMYFUNCTION("COUNTA(SPLIT(F2098,"" ""))"),159)</f>
        <v>159</v>
      </c>
      <c r="H2098" s="1">
        <v>159</v>
      </c>
      <c r="I2098" s="1"/>
      <c r="J2098" s="1"/>
      <c r="K2098" s="1"/>
      <c r="L2098" s="1"/>
      <c r="M2098" s="1"/>
      <c r="N2098" s="1"/>
      <c r="O2098" s="1"/>
      <c r="P2098" s="1"/>
      <c r="Q2098" s="1"/>
      <c r="R2098" s="1"/>
      <c r="S2098" s="1"/>
      <c r="T2098" s="1"/>
    </row>
    <row r="2099" spans="1:20" ht="33.75" customHeight="1">
      <c r="A2099" s="1" t="s">
        <v>5714</v>
      </c>
      <c r="B2099" s="1" t="s">
        <v>5704</v>
      </c>
      <c r="C2099" s="4">
        <v>40291.49722222222</v>
      </c>
      <c r="D2099" s="1" t="s">
        <v>1768</v>
      </c>
      <c r="E2099" s="1"/>
      <c r="F2099" s="2" t="s">
        <v>5715</v>
      </c>
      <c r="G2099" s="1">
        <f ca="1">IFERROR(__xludf.DUMMYFUNCTION("COUNTA(SPLIT(F2099,"" ""))"),122)</f>
        <v>122</v>
      </c>
      <c r="H2099" s="1">
        <v>122</v>
      </c>
      <c r="I2099" s="1"/>
      <c r="J2099" s="1"/>
      <c r="K2099" s="1"/>
      <c r="L2099" s="1"/>
      <c r="M2099" s="1"/>
      <c r="N2099" s="1"/>
      <c r="O2099" s="1"/>
      <c r="P2099" s="1"/>
      <c r="Q2099" s="1"/>
      <c r="R2099" s="1"/>
      <c r="S2099" s="1"/>
      <c r="T2099" s="1"/>
    </row>
    <row r="2100" spans="1:20" ht="33.75" customHeight="1">
      <c r="A2100" s="1" t="s">
        <v>5716</v>
      </c>
      <c r="B2100" s="1" t="s">
        <v>5704</v>
      </c>
      <c r="C2100" s="4">
        <v>40291.53402777778</v>
      </c>
      <c r="D2100" s="1" t="s">
        <v>5717</v>
      </c>
      <c r="E2100" s="1"/>
      <c r="F2100" s="2" t="s">
        <v>5718</v>
      </c>
      <c r="G2100" s="1">
        <f ca="1">IFERROR(__xludf.DUMMYFUNCTION("COUNTA(SPLIT(F2100,"" ""))"),39)</f>
        <v>39</v>
      </c>
      <c r="H2100" s="1">
        <v>39</v>
      </c>
      <c r="I2100" s="1"/>
      <c r="J2100" s="1"/>
      <c r="K2100" s="1"/>
      <c r="L2100" s="1"/>
      <c r="M2100" s="1"/>
      <c r="N2100" s="1"/>
      <c r="O2100" s="1"/>
      <c r="P2100" s="1"/>
      <c r="Q2100" s="1"/>
      <c r="R2100" s="1"/>
      <c r="S2100" s="1"/>
      <c r="T2100" s="1"/>
    </row>
    <row r="2101" spans="1:20" ht="33.75" customHeight="1">
      <c r="A2101" s="1" t="s">
        <v>5719</v>
      </c>
      <c r="B2101" s="1" t="s">
        <v>5704</v>
      </c>
      <c r="C2101" s="4">
        <v>40291.544444444444</v>
      </c>
      <c r="D2101" s="1" t="s">
        <v>54</v>
      </c>
      <c r="E2101" s="1"/>
      <c r="F2101" s="2" t="s">
        <v>5720</v>
      </c>
      <c r="G2101" s="1">
        <f ca="1">IFERROR(__xludf.DUMMYFUNCTION("COUNTA(SPLIT(F2101,"" ""))"),144)</f>
        <v>144</v>
      </c>
      <c r="H2101" s="1">
        <v>144</v>
      </c>
      <c r="I2101" s="1"/>
      <c r="J2101" s="1"/>
      <c r="K2101" s="1"/>
      <c r="L2101" s="1"/>
      <c r="M2101" s="1"/>
      <c r="N2101" s="1"/>
      <c r="O2101" s="1"/>
      <c r="P2101" s="1"/>
      <c r="Q2101" s="1"/>
      <c r="R2101" s="1"/>
      <c r="S2101" s="1"/>
      <c r="T2101" s="1"/>
    </row>
    <row r="2102" spans="1:20" ht="33.75" customHeight="1">
      <c r="A2102" s="1" t="s">
        <v>5721</v>
      </c>
      <c r="B2102" s="1" t="s">
        <v>5704</v>
      </c>
      <c r="C2102" s="4">
        <v>40291.768750000003</v>
      </c>
      <c r="D2102" s="1" t="s">
        <v>110</v>
      </c>
      <c r="E2102" s="1"/>
      <c r="F2102" s="2" t="s">
        <v>5723</v>
      </c>
      <c r="G2102" s="1">
        <f ca="1">IFERROR(__xludf.DUMMYFUNCTION("COUNTA(SPLIT(F2102,"" ""))"),192)</f>
        <v>192</v>
      </c>
      <c r="H2102" s="1">
        <v>192</v>
      </c>
      <c r="I2102" s="1"/>
      <c r="J2102" s="1"/>
      <c r="K2102" s="1"/>
      <c r="L2102" s="1"/>
      <c r="M2102" s="1"/>
      <c r="N2102" s="1"/>
      <c r="O2102" s="1"/>
      <c r="P2102" s="1"/>
      <c r="Q2102" s="1"/>
      <c r="R2102" s="1"/>
      <c r="S2102" s="1"/>
      <c r="T2102" s="1"/>
    </row>
    <row r="2103" spans="1:20" ht="33.75" customHeight="1">
      <c r="A2103" s="1" t="s">
        <v>5724</v>
      </c>
      <c r="B2103" s="1" t="s">
        <v>5704</v>
      </c>
      <c r="C2103" s="4">
        <v>40291.770138888889</v>
      </c>
      <c r="D2103" s="1" t="s">
        <v>110</v>
      </c>
      <c r="E2103" s="1"/>
      <c r="F2103" s="2" t="s">
        <v>5726</v>
      </c>
      <c r="G2103" s="1">
        <f ca="1">IFERROR(__xludf.DUMMYFUNCTION("COUNTA(SPLIT(F2103,"" ""))"),56)</f>
        <v>56</v>
      </c>
      <c r="H2103" s="1">
        <v>56</v>
      </c>
      <c r="I2103" s="1"/>
      <c r="J2103" s="1"/>
      <c r="K2103" s="1"/>
      <c r="L2103" s="1"/>
      <c r="M2103" s="1"/>
      <c r="N2103" s="1"/>
      <c r="O2103" s="1"/>
      <c r="P2103" s="1"/>
      <c r="Q2103" s="1"/>
      <c r="R2103" s="1"/>
      <c r="S2103" s="1"/>
      <c r="T2103" s="1"/>
    </row>
    <row r="2104" spans="1:20" ht="33.75" customHeight="1">
      <c r="A2104" s="1" t="s">
        <v>5727</v>
      </c>
      <c r="B2104" s="1" t="s">
        <v>5704</v>
      </c>
      <c r="C2104" s="4">
        <v>40292.338888888888</v>
      </c>
      <c r="D2104" s="1" t="s">
        <v>1768</v>
      </c>
      <c r="E2104" s="1"/>
      <c r="F2104" s="2" t="s">
        <v>5728</v>
      </c>
      <c r="G2104" s="1">
        <f ca="1">IFERROR(__xludf.DUMMYFUNCTION("COUNTA(SPLIT(F2104,"" ""))"),132)</f>
        <v>132</v>
      </c>
      <c r="H2104" s="1">
        <v>132</v>
      </c>
      <c r="I2104" s="1"/>
      <c r="J2104" s="1"/>
      <c r="K2104" s="1"/>
      <c r="L2104" s="1"/>
      <c r="M2104" s="1"/>
      <c r="N2104" s="1"/>
      <c r="O2104" s="1"/>
      <c r="P2104" s="1"/>
      <c r="Q2104" s="1"/>
      <c r="R2104" s="1"/>
      <c r="S2104" s="1"/>
      <c r="T2104" s="1"/>
    </row>
    <row r="2105" spans="1:20" ht="33.75" customHeight="1">
      <c r="A2105" s="1" t="s">
        <v>5729</v>
      </c>
      <c r="B2105" s="1" t="s">
        <v>5704</v>
      </c>
      <c r="C2105" s="4">
        <v>40293.058333333334</v>
      </c>
      <c r="D2105" s="1" t="s">
        <v>3610</v>
      </c>
      <c r="E2105" s="1"/>
      <c r="F2105" s="2" t="s">
        <v>5730</v>
      </c>
      <c r="G2105" s="1">
        <f ca="1">IFERROR(__xludf.DUMMYFUNCTION("COUNTA(SPLIT(F2105,"" ""))"),49)</f>
        <v>49</v>
      </c>
      <c r="H2105" s="1">
        <v>49</v>
      </c>
      <c r="I2105" s="1"/>
      <c r="J2105" s="1"/>
      <c r="K2105" s="1"/>
      <c r="L2105" s="1"/>
      <c r="M2105" s="1"/>
      <c r="N2105" s="1"/>
      <c r="O2105" s="1"/>
      <c r="P2105" s="1"/>
      <c r="Q2105" s="1"/>
      <c r="R2105" s="1"/>
      <c r="S2105" s="1"/>
      <c r="T2105" s="1"/>
    </row>
    <row r="2106" spans="1:20" ht="33.75" customHeight="1">
      <c r="A2106" s="1" t="s">
        <v>5731</v>
      </c>
      <c r="B2106" s="1" t="s">
        <v>5704</v>
      </c>
      <c r="C2106" s="4">
        <v>40293.060416666667</v>
      </c>
      <c r="D2106" s="1" t="s">
        <v>1887</v>
      </c>
      <c r="E2106" s="1"/>
      <c r="F2106" s="2" t="s">
        <v>5732</v>
      </c>
      <c r="G2106" s="1">
        <f ca="1">IFERROR(__xludf.DUMMYFUNCTION("COUNTA(SPLIT(F2106,"" ""))"),9)</f>
        <v>9</v>
      </c>
      <c r="H2106" s="1">
        <v>9</v>
      </c>
      <c r="I2106" s="1"/>
      <c r="J2106" s="1"/>
      <c r="K2106" s="1"/>
      <c r="L2106" s="1"/>
      <c r="M2106" s="1"/>
      <c r="N2106" s="1"/>
      <c r="O2106" s="1"/>
      <c r="P2106" s="1"/>
      <c r="Q2106" s="1"/>
      <c r="R2106" s="1"/>
      <c r="S2106" s="1"/>
      <c r="T2106" s="1"/>
    </row>
    <row r="2107" spans="1:20" ht="33.75" customHeight="1">
      <c r="A2107" s="1" t="s">
        <v>5733</v>
      </c>
      <c r="B2107" s="1" t="s">
        <v>5704</v>
      </c>
      <c r="C2107" s="4">
        <v>40293.456250000003</v>
      </c>
      <c r="D2107" s="1" t="s">
        <v>54</v>
      </c>
      <c r="E2107" s="1"/>
      <c r="F2107" s="2" t="s">
        <v>5735</v>
      </c>
      <c r="G2107" s="1">
        <f ca="1">IFERROR(__xludf.DUMMYFUNCTION("COUNTA(SPLIT(F2107,"" ""))"),80)</f>
        <v>80</v>
      </c>
      <c r="H2107" s="1">
        <v>80</v>
      </c>
      <c r="I2107" s="1"/>
      <c r="J2107" s="1"/>
      <c r="K2107" s="1"/>
      <c r="L2107" s="1"/>
      <c r="M2107" s="1"/>
      <c r="N2107" s="1"/>
      <c r="O2107" s="1"/>
      <c r="P2107" s="1"/>
      <c r="Q2107" s="1"/>
      <c r="R2107" s="1"/>
      <c r="S2107" s="1"/>
      <c r="T2107" s="1"/>
    </row>
    <row r="2108" spans="1:20" ht="33.75" customHeight="1">
      <c r="A2108" s="1" t="s">
        <v>5736</v>
      </c>
      <c r="B2108" s="1" t="s">
        <v>5704</v>
      </c>
      <c r="C2108" s="4">
        <v>40294.30972222222</v>
      </c>
      <c r="D2108" s="1" t="s">
        <v>416</v>
      </c>
      <c r="E2108" s="1"/>
      <c r="F2108" s="2" t="s">
        <v>5738</v>
      </c>
      <c r="G2108" s="1">
        <f ca="1">IFERROR(__xludf.DUMMYFUNCTION("COUNTA(SPLIT(F2108,"" ""))"),96)</f>
        <v>96</v>
      </c>
      <c r="H2108" s="1">
        <v>96</v>
      </c>
      <c r="I2108" s="1"/>
      <c r="J2108" s="1"/>
      <c r="K2108" s="1"/>
      <c r="L2108" s="1"/>
      <c r="M2108" s="1"/>
      <c r="N2108" s="1"/>
      <c r="O2108" s="1"/>
      <c r="P2108" s="1"/>
      <c r="Q2108" s="1"/>
      <c r="R2108" s="1"/>
      <c r="S2108" s="1"/>
      <c r="T2108" s="1"/>
    </row>
    <row r="2109" spans="1:20" ht="33.75" hidden="1" customHeight="1">
      <c r="A2109" s="1" t="s">
        <v>5739</v>
      </c>
      <c r="B2109" s="1" t="s">
        <v>5704</v>
      </c>
      <c r="C2109" s="4">
        <v>40294.45416666667</v>
      </c>
      <c r="D2109" s="1" t="s">
        <v>54</v>
      </c>
      <c r="E2109" s="1" t="s">
        <v>5736</v>
      </c>
      <c r="F2109" s="2" t="s">
        <v>5740</v>
      </c>
      <c r="G2109" s="1">
        <f ca="1">IFERROR(__xludf.DUMMYFUNCTION("COUNTA(SPLIT(F2109,"" ""))"),71)</f>
        <v>71</v>
      </c>
      <c r="H2109" s="1">
        <v>71</v>
      </c>
      <c r="I2109" s="1"/>
      <c r="J2109" s="1"/>
      <c r="K2109" s="1"/>
      <c r="L2109" s="1"/>
      <c r="M2109" s="1"/>
      <c r="N2109" s="1"/>
      <c r="O2109" s="1"/>
      <c r="P2109" s="1"/>
      <c r="Q2109" s="1"/>
      <c r="R2109" s="1"/>
      <c r="S2109" s="1"/>
      <c r="T2109" s="1"/>
    </row>
    <row r="2110" spans="1:20" ht="33.75" customHeight="1">
      <c r="A2110" s="1" t="s">
        <v>5741</v>
      </c>
      <c r="B2110" s="1" t="s">
        <v>5704</v>
      </c>
      <c r="C2110" s="4">
        <v>40294.455555555556</v>
      </c>
      <c r="D2110" s="1" t="s">
        <v>54</v>
      </c>
      <c r="E2110" s="1"/>
      <c r="F2110" s="2" t="s">
        <v>5742</v>
      </c>
      <c r="G2110" s="1">
        <f ca="1">IFERROR(__xludf.DUMMYFUNCTION("COUNTA(SPLIT(F2110,"" ""))"),64)</f>
        <v>64</v>
      </c>
      <c r="H2110" s="1">
        <v>64</v>
      </c>
      <c r="I2110" s="1"/>
      <c r="J2110" s="1"/>
      <c r="K2110" s="1"/>
      <c r="L2110" s="1"/>
      <c r="M2110" s="1"/>
      <c r="N2110" s="1"/>
      <c r="O2110" s="1"/>
      <c r="P2110" s="1"/>
      <c r="Q2110" s="1"/>
      <c r="R2110" s="1"/>
      <c r="S2110" s="1"/>
      <c r="T2110" s="1"/>
    </row>
    <row r="2111" spans="1:20" ht="33.75" customHeight="1">
      <c r="A2111" s="1" t="s">
        <v>5743</v>
      </c>
      <c r="B2111" s="1" t="s">
        <v>5704</v>
      </c>
      <c r="C2111" s="4">
        <v>40294.633333333331</v>
      </c>
      <c r="D2111" s="1" t="s">
        <v>772</v>
      </c>
      <c r="E2111" s="1"/>
      <c r="F2111" s="2" t="s">
        <v>5744</v>
      </c>
      <c r="G2111" s="1">
        <f ca="1">IFERROR(__xludf.DUMMYFUNCTION("COUNTA(SPLIT(F2111,"" ""))"),19)</f>
        <v>19</v>
      </c>
      <c r="H2111" s="1">
        <v>19</v>
      </c>
      <c r="I2111" s="1"/>
      <c r="J2111" s="1"/>
      <c r="K2111" s="1"/>
      <c r="L2111" s="1"/>
      <c r="M2111" s="1"/>
      <c r="N2111" s="1"/>
      <c r="O2111" s="1"/>
      <c r="P2111" s="1"/>
      <c r="Q2111" s="1"/>
      <c r="R2111" s="1"/>
      <c r="S2111" s="1"/>
      <c r="T2111" s="1"/>
    </row>
    <row r="2112" spans="1:20" ht="33.75" customHeight="1">
      <c r="A2112" s="1" t="s">
        <v>5745</v>
      </c>
      <c r="B2112" s="1" t="s">
        <v>5704</v>
      </c>
      <c r="C2112" s="4">
        <v>40297.019444444442</v>
      </c>
      <c r="D2112" s="1" t="s">
        <v>3610</v>
      </c>
      <c r="E2112" s="1"/>
      <c r="F2112" s="2" t="s">
        <v>5746</v>
      </c>
      <c r="G2112" s="1">
        <f ca="1">IFERROR(__xludf.DUMMYFUNCTION("COUNTA(SPLIT(F2112,"" ""))"),67)</f>
        <v>67</v>
      </c>
      <c r="H2112" s="1">
        <v>67</v>
      </c>
      <c r="I2112" s="1"/>
      <c r="J2112" s="1"/>
      <c r="K2112" s="1"/>
      <c r="L2112" s="1"/>
      <c r="M2112" s="1"/>
      <c r="N2112" s="1"/>
      <c r="O2112" s="1"/>
      <c r="P2112" s="1"/>
      <c r="Q2112" s="1"/>
      <c r="R2112" s="1"/>
      <c r="S2112" s="1"/>
      <c r="T2112" s="1"/>
    </row>
    <row r="2113" spans="1:20" ht="33.75" customHeight="1">
      <c r="A2113" s="1" t="s">
        <v>5747</v>
      </c>
      <c r="B2113" s="3" t="s">
        <v>13</v>
      </c>
      <c r="C2113" s="4">
        <v>40410.534722222219</v>
      </c>
      <c r="D2113" s="1" t="s">
        <v>5748</v>
      </c>
      <c r="E2113" s="1"/>
      <c r="F2113" s="2" t="s">
        <v>5749</v>
      </c>
      <c r="G2113" s="1">
        <f ca="1">IFERROR(__xludf.DUMMYFUNCTION("COUNTA(SPLIT(F2113,"" ""))"),61)</f>
        <v>61</v>
      </c>
      <c r="H2113" s="1">
        <v>61</v>
      </c>
      <c r="I2113" s="1"/>
      <c r="J2113" s="1"/>
      <c r="K2113" s="1"/>
      <c r="L2113" s="1"/>
      <c r="M2113" s="1"/>
      <c r="N2113" s="1"/>
      <c r="O2113" s="1"/>
      <c r="P2113" s="1"/>
      <c r="Q2113" s="1"/>
      <c r="R2113" s="1"/>
      <c r="S2113" s="1"/>
      <c r="T2113" s="1"/>
    </row>
    <row r="2114" spans="1:20" ht="33.75" customHeight="1">
      <c r="A2114" s="1" t="s">
        <v>5750</v>
      </c>
      <c r="B2114" s="3" t="s">
        <v>13</v>
      </c>
      <c r="C2114" s="4">
        <v>40596.852777777778</v>
      </c>
      <c r="D2114" s="1" t="s">
        <v>5751</v>
      </c>
      <c r="E2114" s="1"/>
      <c r="F2114" s="2" t="s">
        <v>5752</v>
      </c>
      <c r="G2114" s="1">
        <f ca="1">IFERROR(__xludf.DUMMYFUNCTION("COUNTA(SPLIT(F2114,"" ""))"),347)</f>
        <v>347</v>
      </c>
      <c r="H2114" s="1">
        <v>347</v>
      </c>
      <c r="I2114" s="1"/>
      <c r="J2114" s="1"/>
      <c r="K2114" s="1"/>
      <c r="L2114" s="1"/>
      <c r="M2114" s="1"/>
      <c r="N2114" s="1"/>
      <c r="O2114" s="1"/>
      <c r="P2114" s="1"/>
      <c r="Q2114" s="1"/>
      <c r="R2114" s="1"/>
      <c r="S2114" s="1"/>
      <c r="T2114" s="1"/>
    </row>
    <row r="2115" spans="1:20" ht="33.75" customHeight="1">
      <c r="A2115" s="1" t="s">
        <v>5753</v>
      </c>
      <c r="B2115" s="1" t="s">
        <v>4460</v>
      </c>
      <c r="C2115" s="4">
        <v>40600.204861111109</v>
      </c>
      <c r="D2115" s="1" t="s">
        <v>5687</v>
      </c>
      <c r="E2115" s="1"/>
      <c r="F2115" s="2" t="s">
        <v>5754</v>
      </c>
      <c r="G2115" s="1">
        <f ca="1">IFERROR(__xludf.DUMMYFUNCTION("COUNTA(SPLIT(F2115,"" ""))"),89)</f>
        <v>89</v>
      </c>
      <c r="H2115" s="1">
        <v>89</v>
      </c>
      <c r="I2115" s="1"/>
      <c r="J2115" s="1"/>
      <c r="K2115" s="1"/>
      <c r="L2115" s="1"/>
      <c r="M2115" s="1"/>
      <c r="N2115" s="1"/>
      <c r="O2115" s="1"/>
      <c r="P2115" s="1"/>
      <c r="Q2115" s="1"/>
      <c r="R2115" s="1"/>
      <c r="S2115" s="1"/>
      <c r="T2115" s="1"/>
    </row>
    <row r="2116" spans="1:20" ht="33.75" customHeight="1">
      <c r="A2116" s="1" t="s">
        <v>5755</v>
      </c>
      <c r="B2116" s="3" t="s">
        <v>13</v>
      </c>
      <c r="C2116" s="4">
        <v>40641.808333333334</v>
      </c>
      <c r="D2116" s="1" t="s">
        <v>5756</v>
      </c>
      <c r="E2116" s="1"/>
      <c r="F2116" s="2" t="s">
        <v>5758</v>
      </c>
      <c r="G2116" s="1">
        <f ca="1">IFERROR(__xludf.DUMMYFUNCTION("COUNTA(SPLIT(F2116,"" ""))"),77)</f>
        <v>77</v>
      </c>
      <c r="H2116" s="1">
        <v>77</v>
      </c>
      <c r="I2116" s="1"/>
      <c r="J2116" s="1"/>
      <c r="K2116" s="1"/>
      <c r="L2116" s="1"/>
      <c r="M2116" s="1"/>
      <c r="N2116" s="1"/>
      <c r="O2116" s="1"/>
      <c r="P2116" s="1"/>
      <c r="Q2116" s="1"/>
      <c r="R2116" s="1"/>
      <c r="S2116" s="1"/>
      <c r="T2116" s="1"/>
    </row>
    <row r="2117" spans="1:20" ht="33.75" customHeight="1">
      <c r="A2117" s="1" t="s">
        <v>5759</v>
      </c>
      <c r="B2117" s="3" t="s">
        <v>13</v>
      </c>
      <c r="C2117" s="4">
        <v>40642.52847222222</v>
      </c>
      <c r="D2117" s="1" t="s">
        <v>5760</v>
      </c>
      <c r="E2117" s="1"/>
      <c r="F2117" s="2" t="s">
        <v>5761</v>
      </c>
      <c r="G2117" s="1">
        <f ca="1">IFERROR(__xludf.DUMMYFUNCTION("COUNTA(SPLIT(F2117,"" ""))"),21)</f>
        <v>21</v>
      </c>
      <c r="H2117" s="1">
        <v>21</v>
      </c>
      <c r="I2117" s="1"/>
      <c r="J2117" s="1"/>
      <c r="K2117" s="1"/>
      <c r="L2117" s="1"/>
      <c r="M2117" s="1"/>
      <c r="N2117" s="1"/>
      <c r="O2117" s="1"/>
      <c r="P2117" s="1"/>
      <c r="Q2117" s="1"/>
      <c r="R2117" s="1"/>
      <c r="S2117" s="1"/>
      <c r="T2117" s="1"/>
    </row>
    <row r="2118" spans="1:20" ht="33.75" customHeight="1">
      <c r="A2118" s="1" t="s">
        <v>5762</v>
      </c>
      <c r="B2118" s="1" t="s">
        <v>1696</v>
      </c>
      <c r="C2118" s="4">
        <v>40643.35</v>
      </c>
      <c r="D2118" s="1" t="s">
        <v>314</v>
      </c>
      <c r="E2118" s="1"/>
      <c r="F2118" s="2" t="s">
        <v>5765</v>
      </c>
      <c r="G2118" s="1">
        <f ca="1">IFERROR(__xludf.DUMMYFUNCTION("COUNTA(SPLIT(F2118,"" ""))"),34)</f>
        <v>34</v>
      </c>
      <c r="H2118" s="1">
        <v>34</v>
      </c>
      <c r="I2118" s="1"/>
      <c r="J2118" s="1"/>
      <c r="K2118" s="1"/>
      <c r="L2118" s="1"/>
      <c r="M2118" s="1"/>
      <c r="N2118" s="1"/>
      <c r="O2118" s="1"/>
      <c r="P2118" s="1"/>
      <c r="Q2118" s="1"/>
      <c r="R2118" s="1"/>
      <c r="S2118" s="1"/>
      <c r="T2118" s="1"/>
    </row>
    <row r="2119" spans="1:20" ht="33.75" customHeight="1">
      <c r="A2119" s="1" t="s">
        <v>5766</v>
      </c>
      <c r="B2119" s="1" t="s">
        <v>926</v>
      </c>
      <c r="C2119" s="4">
        <v>40851.024305555555</v>
      </c>
      <c r="D2119" s="1" t="s">
        <v>5767</v>
      </c>
      <c r="E2119" s="1"/>
      <c r="F2119" s="2" t="s">
        <v>5770</v>
      </c>
      <c r="G2119" s="1">
        <f ca="1">IFERROR(__xludf.DUMMYFUNCTION("COUNTA(SPLIT(F2119,"" ""))"),161)</f>
        <v>161</v>
      </c>
      <c r="H2119" s="1">
        <v>161</v>
      </c>
      <c r="I2119" s="1"/>
      <c r="J2119" s="1"/>
      <c r="K2119" s="1"/>
      <c r="L2119" s="1"/>
      <c r="M2119" s="1"/>
      <c r="N2119" s="1"/>
      <c r="O2119" s="1"/>
      <c r="P2119" s="1"/>
      <c r="Q2119" s="1"/>
      <c r="R2119" s="1"/>
      <c r="S2119" s="1"/>
      <c r="T2119" s="1"/>
    </row>
    <row r="2120" spans="1:20" ht="33.75" customHeight="1">
      <c r="A2120" s="1" t="s">
        <v>12</v>
      </c>
      <c r="B2120" s="1" t="s">
        <v>5771</v>
      </c>
      <c r="C2120" s="4">
        <v>41022.836909722224</v>
      </c>
      <c r="D2120" s="1" t="s">
        <v>14</v>
      </c>
      <c r="E2120" s="1"/>
      <c r="F2120" s="2" t="s">
        <v>5772</v>
      </c>
      <c r="G2120" s="1">
        <f ca="1">IFERROR(__xludf.DUMMYFUNCTION("COUNTA(SPLIT(F2120,"" ""))"),161)</f>
        <v>161</v>
      </c>
      <c r="H2120" s="1">
        <v>161</v>
      </c>
      <c r="I2120" s="1"/>
      <c r="J2120" s="1"/>
      <c r="K2120" s="1"/>
      <c r="L2120" s="1"/>
      <c r="M2120" s="1"/>
      <c r="N2120" s="1"/>
      <c r="O2120" s="1"/>
      <c r="P2120" s="1"/>
      <c r="Q2120" s="1"/>
      <c r="R2120" s="1"/>
      <c r="S2120" s="1"/>
      <c r="T2120" s="1"/>
    </row>
    <row r="2121" spans="1:20" ht="33.75" customHeight="1">
      <c r="A2121" s="1" t="s">
        <v>5773</v>
      </c>
      <c r="B2121" s="1" t="s">
        <v>5771</v>
      </c>
      <c r="C2121" s="4">
        <v>41023.146527777775</v>
      </c>
      <c r="D2121" s="1" t="s">
        <v>5774</v>
      </c>
      <c r="E2121" s="1"/>
      <c r="F2121" s="2" t="s">
        <v>5777</v>
      </c>
      <c r="G2121" s="1">
        <f ca="1">IFERROR(__xludf.DUMMYFUNCTION("COUNTA(SPLIT(F2121,"" ""))"),21)</f>
        <v>21</v>
      </c>
      <c r="H2121" s="1">
        <v>21</v>
      </c>
      <c r="I2121" s="1"/>
      <c r="J2121" s="1"/>
      <c r="K2121" s="1"/>
      <c r="L2121" s="1"/>
      <c r="M2121" s="1"/>
      <c r="N2121" s="1"/>
      <c r="O2121" s="1"/>
      <c r="P2121" s="1"/>
      <c r="Q2121" s="1"/>
      <c r="R2121" s="1"/>
      <c r="S2121" s="1"/>
      <c r="T2121" s="1"/>
    </row>
    <row r="2122" spans="1:20" ht="33.75" customHeight="1">
      <c r="A2122" s="1" t="s">
        <v>5778</v>
      </c>
      <c r="B2122" s="1" t="s">
        <v>5771</v>
      </c>
      <c r="C2122" s="4">
        <v>41023.398611111108</v>
      </c>
      <c r="D2122" s="1" t="s">
        <v>3610</v>
      </c>
      <c r="E2122" s="1"/>
      <c r="F2122" s="2" t="s">
        <v>5779</v>
      </c>
      <c r="G2122" s="1">
        <f ca="1">IFERROR(__xludf.DUMMYFUNCTION("COUNTA(SPLIT(F2122,"" ""))"),40)</f>
        <v>40</v>
      </c>
      <c r="H2122" s="1">
        <v>40</v>
      </c>
      <c r="I2122" s="1"/>
      <c r="J2122" s="1"/>
      <c r="K2122" s="1"/>
      <c r="L2122" s="1"/>
      <c r="M2122" s="1"/>
      <c r="N2122" s="1"/>
      <c r="O2122" s="1"/>
      <c r="P2122" s="1"/>
      <c r="Q2122" s="1"/>
      <c r="R2122" s="1"/>
      <c r="S2122" s="1"/>
      <c r="T2122" s="1"/>
    </row>
    <row r="2123" spans="1:20" ht="33.75" customHeight="1">
      <c r="A2123" s="1" t="s">
        <v>5780</v>
      </c>
      <c r="B2123" s="1" t="s">
        <v>5771</v>
      </c>
      <c r="C2123" s="4">
        <v>41023.850694444445</v>
      </c>
      <c r="D2123" s="1" t="s">
        <v>5781</v>
      </c>
      <c r="E2123" s="1"/>
      <c r="F2123" s="2" t="s">
        <v>5782</v>
      </c>
      <c r="G2123" s="1">
        <f ca="1">IFERROR(__xludf.DUMMYFUNCTION("COUNTA(SPLIT(F2123,"" ""))"),11)</f>
        <v>11</v>
      </c>
      <c r="H2123" s="1">
        <v>11</v>
      </c>
      <c r="I2123" s="1"/>
      <c r="J2123" s="1"/>
      <c r="K2123" s="1"/>
      <c r="L2123" s="1"/>
      <c r="M2123" s="1"/>
      <c r="N2123" s="1"/>
      <c r="O2123" s="1"/>
      <c r="P2123" s="1"/>
      <c r="Q2123" s="1"/>
      <c r="R2123" s="1"/>
      <c r="S2123" s="1"/>
      <c r="T2123" s="1"/>
    </row>
    <row r="2124" spans="1:20" ht="33.75" customHeight="1">
      <c r="A2124" s="1" t="s">
        <v>5783</v>
      </c>
      <c r="B2124" s="1" t="s">
        <v>5771</v>
      </c>
      <c r="C2124" s="4">
        <v>41024.164583333331</v>
      </c>
      <c r="D2124" s="1" t="s">
        <v>5784</v>
      </c>
      <c r="E2124" s="1"/>
      <c r="F2124" s="2" t="s">
        <v>5785</v>
      </c>
      <c r="G2124" s="1">
        <f ca="1">IFERROR(__xludf.DUMMYFUNCTION("COUNTA(SPLIT(F2124,"" ""))"),205)</f>
        <v>205</v>
      </c>
      <c r="H2124" s="1">
        <v>205</v>
      </c>
      <c r="I2124" s="1"/>
      <c r="J2124" s="1"/>
      <c r="K2124" s="1"/>
      <c r="L2124" s="1"/>
      <c r="M2124" s="1"/>
      <c r="N2124" s="1"/>
      <c r="O2124" s="1"/>
      <c r="P2124" s="1"/>
      <c r="Q2124" s="1"/>
      <c r="R2124" s="1"/>
      <c r="S2124" s="1"/>
      <c r="T2124" s="1"/>
    </row>
    <row r="2125" spans="1:20" ht="33.75" customHeight="1">
      <c r="A2125" s="1" t="s">
        <v>5786</v>
      </c>
      <c r="B2125" s="1" t="s">
        <v>5771</v>
      </c>
      <c r="C2125" s="4">
        <v>41024.915277777778</v>
      </c>
      <c r="D2125" s="1" t="s">
        <v>84</v>
      </c>
      <c r="E2125" s="1"/>
      <c r="F2125" s="2" t="s">
        <v>5788</v>
      </c>
      <c r="G2125" s="1">
        <f ca="1">IFERROR(__xludf.DUMMYFUNCTION("COUNTA(SPLIT(F2125,"" ""))"),43)</f>
        <v>43</v>
      </c>
      <c r="H2125" s="1">
        <v>43</v>
      </c>
      <c r="I2125" s="1"/>
      <c r="J2125" s="1"/>
      <c r="K2125" s="1"/>
      <c r="L2125" s="1"/>
      <c r="M2125" s="1"/>
      <c r="N2125" s="1"/>
      <c r="O2125" s="1"/>
      <c r="P2125" s="1"/>
      <c r="Q2125" s="1"/>
      <c r="R2125" s="1"/>
      <c r="S2125" s="1"/>
      <c r="T2125" s="1"/>
    </row>
    <row r="2126" spans="1:20" ht="33.75" customHeight="1">
      <c r="A2126" s="1" t="s">
        <v>5789</v>
      </c>
      <c r="B2126" s="1" t="s">
        <v>5771</v>
      </c>
      <c r="C2126" s="4">
        <v>41025.086805555555</v>
      </c>
      <c r="D2126" s="1" t="s">
        <v>5784</v>
      </c>
      <c r="E2126" s="1"/>
      <c r="F2126" s="2" t="s">
        <v>5790</v>
      </c>
      <c r="G2126" s="1">
        <f ca="1">IFERROR(__xludf.DUMMYFUNCTION("COUNTA(SPLIT(F2126,"" ""))"),18)</f>
        <v>18</v>
      </c>
      <c r="H2126" s="1">
        <v>18</v>
      </c>
      <c r="I2126" s="1"/>
      <c r="J2126" s="1"/>
      <c r="K2126" s="1"/>
      <c r="L2126" s="1"/>
      <c r="M2126" s="1"/>
      <c r="N2126" s="1"/>
      <c r="O2126" s="1"/>
      <c r="P2126" s="1"/>
      <c r="Q2126" s="1"/>
      <c r="R2126" s="1"/>
      <c r="S2126" s="1"/>
      <c r="T2126" s="1"/>
    </row>
    <row r="2127" spans="1:20" ht="33.75" customHeight="1">
      <c r="A2127" s="1" t="s">
        <v>5791</v>
      </c>
      <c r="B2127" s="3" t="s">
        <v>13</v>
      </c>
      <c r="C2127" s="4">
        <v>41152.790972222225</v>
      </c>
      <c r="D2127" s="1" t="s">
        <v>5792</v>
      </c>
      <c r="E2127" s="1"/>
      <c r="F2127" s="2" t="s">
        <v>5793</v>
      </c>
      <c r="G2127" s="1">
        <f ca="1">IFERROR(__xludf.DUMMYFUNCTION("COUNTA(SPLIT(F2127,"" ""))"),27)</f>
        <v>27</v>
      </c>
      <c r="H2127" s="1">
        <v>27</v>
      </c>
      <c r="I2127" s="1"/>
      <c r="J2127" s="1"/>
      <c r="K2127" s="1"/>
      <c r="L2127" s="1"/>
      <c r="M2127" s="1"/>
      <c r="N2127" s="1"/>
      <c r="O2127" s="1"/>
      <c r="P2127" s="1"/>
      <c r="Q2127" s="1"/>
      <c r="R2127" s="1"/>
      <c r="S2127" s="1"/>
      <c r="T2127" s="1"/>
    </row>
    <row r="2128" spans="1:20" ht="33.75" customHeight="1">
      <c r="A2128" s="1" t="s">
        <v>5794</v>
      </c>
      <c r="B2128" s="1" t="s">
        <v>5771</v>
      </c>
      <c r="C2128" s="4">
        <v>41269.109722222223</v>
      </c>
      <c r="D2128" s="1" t="s">
        <v>5795</v>
      </c>
      <c r="E2128" s="1"/>
      <c r="F2128" s="2" t="s">
        <v>5796</v>
      </c>
      <c r="G2128" s="1">
        <f ca="1">IFERROR(__xludf.DUMMYFUNCTION("COUNTA(SPLIT(F2128,"" ""))"),30)</f>
        <v>30</v>
      </c>
      <c r="H2128" s="1">
        <v>30</v>
      </c>
      <c r="I2128" s="1"/>
      <c r="J2128" s="1"/>
      <c r="K2128" s="1"/>
      <c r="L2128" s="1"/>
      <c r="M2128" s="1"/>
      <c r="N2128" s="1"/>
      <c r="O2128" s="1"/>
      <c r="P2128" s="1"/>
      <c r="Q2128" s="1"/>
      <c r="R2128" s="1"/>
      <c r="S2128" s="1"/>
      <c r="T2128" s="1"/>
    </row>
    <row r="2129" spans="1:20" ht="33.75" customHeight="1">
      <c r="A2129" s="1" t="s">
        <v>5797</v>
      </c>
      <c r="B2129" s="1" t="s">
        <v>5771</v>
      </c>
      <c r="C2129" s="4">
        <v>41269.715277777781</v>
      </c>
      <c r="D2129" s="1" t="s">
        <v>14</v>
      </c>
      <c r="E2129" s="1"/>
      <c r="F2129" s="2" t="s">
        <v>5798</v>
      </c>
      <c r="G2129" s="1">
        <f ca="1">IFERROR(__xludf.DUMMYFUNCTION("COUNTA(SPLIT(F2129,"" ""))"),12)</f>
        <v>12</v>
      </c>
      <c r="H2129" s="1">
        <v>12</v>
      </c>
      <c r="I2129" s="1"/>
      <c r="J2129" s="1"/>
      <c r="K2129" s="1"/>
      <c r="L2129" s="1"/>
      <c r="M2129" s="1"/>
      <c r="N2129" s="1"/>
      <c r="O2129" s="1"/>
      <c r="P2129" s="1"/>
      <c r="Q2129" s="1"/>
      <c r="R2129" s="1"/>
      <c r="S2129" s="1"/>
      <c r="T2129" s="1"/>
    </row>
  </sheetData>
  <autoFilter ref="A1:T2129" xr:uid="{00000000-0009-0000-0000-000001000000}">
    <filterColumn colId="4">
      <filters blank="1"/>
    </filterColumn>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28E1D1-87BC-324F-B040-FA823E69D510}">
  <dimension ref="A1:G446"/>
  <sheetViews>
    <sheetView workbookViewId="0">
      <selection activeCell="H1" sqref="H1:H1048576"/>
    </sheetView>
  </sheetViews>
  <sheetFormatPr baseColWidth="10" defaultRowHeight="15"/>
  <cols>
    <col min="6" max="6" width="108.83203125" customWidth="1"/>
  </cols>
  <sheetData>
    <row r="1" spans="1:7">
      <c r="A1" s="1" t="s">
        <v>1</v>
      </c>
      <c r="B1" s="1" t="s">
        <v>2</v>
      </c>
      <c r="C1" s="1" t="s">
        <v>3</v>
      </c>
      <c r="D1" s="1" t="s">
        <v>4</v>
      </c>
      <c r="E1" s="1" t="s">
        <v>5</v>
      </c>
      <c r="F1" s="2" t="s">
        <v>11</v>
      </c>
      <c r="G1" s="1" t="s">
        <v>5799</v>
      </c>
    </row>
    <row r="2" spans="1:7" ht="409.6">
      <c r="A2" s="1" t="s">
        <v>12</v>
      </c>
      <c r="B2" s="3" t="s">
        <v>13</v>
      </c>
      <c r="C2" s="4">
        <v>39840.65824074074</v>
      </c>
      <c r="D2" s="1" t="s">
        <v>14</v>
      </c>
      <c r="E2" s="1"/>
      <c r="F2" s="2" t="s">
        <v>19</v>
      </c>
      <c r="G2" s="1">
        <v>2580</v>
      </c>
    </row>
    <row r="3" spans="1:7" ht="183">
      <c r="A3" s="1" t="s">
        <v>20</v>
      </c>
      <c r="B3" s="3" t="s">
        <v>13</v>
      </c>
      <c r="C3" s="4">
        <v>39840.722222222219</v>
      </c>
      <c r="D3" s="1" t="s">
        <v>21</v>
      </c>
      <c r="E3" s="1"/>
      <c r="F3" s="2" t="s">
        <v>24</v>
      </c>
      <c r="G3" s="1">
        <v>244</v>
      </c>
    </row>
    <row r="4" spans="1:7" ht="127">
      <c r="A4" s="1" t="s">
        <v>25</v>
      </c>
      <c r="B4" s="3" t="s">
        <v>13</v>
      </c>
      <c r="C4" s="4">
        <v>39840.734027777777</v>
      </c>
      <c r="D4" s="1" t="s">
        <v>14</v>
      </c>
      <c r="E4" s="1"/>
      <c r="F4" s="2" t="s">
        <v>30</v>
      </c>
      <c r="G4" s="1">
        <v>207</v>
      </c>
    </row>
    <row r="5" spans="1:7" ht="29">
      <c r="A5" s="1" t="s">
        <v>31</v>
      </c>
      <c r="B5" s="3" t="s">
        <v>13</v>
      </c>
      <c r="C5" s="4">
        <v>39840.777777777781</v>
      </c>
      <c r="D5" s="1" t="s">
        <v>32</v>
      </c>
      <c r="E5" s="1"/>
      <c r="F5" s="2" t="s">
        <v>36</v>
      </c>
      <c r="G5" s="1">
        <v>41</v>
      </c>
    </row>
    <row r="6" spans="1:7" ht="85">
      <c r="A6" s="1" t="s">
        <v>37</v>
      </c>
      <c r="B6" s="3" t="s">
        <v>13</v>
      </c>
      <c r="C6" s="4">
        <v>39840.779861111114</v>
      </c>
      <c r="D6" s="1" t="s">
        <v>38</v>
      </c>
      <c r="E6" s="1"/>
      <c r="F6" s="2" t="s">
        <v>43</v>
      </c>
      <c r="G6" s="1">
        <v>141</v>
      </c>
    </row>
    <row r="7" spans="1:7" ht="99">
      <c r="A7" s="1" t="s">
        <v>44</v>
      </c>
      <c r="B7" s="3" t="s">
        <v>13</v>
      </c>
      <c r="C7" s="4">
        <v>39840.786805555559</v>
      </c>
      <c r="D7" s="1" t="s">
        <v>45</v>
      </c>
      <c r="E7" s="1"/>
      <c r="F7" s="2" t="s">
        <v>47</v>
      </c>
      <c r="G7" s="1">
        <v>121</v>
      </c>
    </row>
    <row r="8" spans="1:7" ht="141">
      <c r="A8" s="1" t="s">
        <v>48</v>
      </c>
      <c r="B8" s="3" t="s">
        <v>13</v>
      </c>
      <c r="C8" s="4">
        <v>39840.85</v>
      </c>
      <c r="D8" s="1" t="s">
        <v>49</v>
      </c>
      <c r="E8" s="1"/>
      <c r="F8" s="2" t="s">
        <v>52</v>
      </c>
      <c r="G8" s="1">
        <v>220</v>
      </c>
    </row>
    <row r="9" spans="1:7" ht="197">
      <c r="A9" s="1" t="s">
        <v>53</v>
      </c>
      <c r="B9" s="3" t="s">
        <v>13</v>
      </c>
      <c r="C9" s="4">
        <v>39841.03402777778</v>
      </c>
      <c r="D9" s="1" t="s">
        <v>54</v>
      </c>
      <c r="E9" s="1"/>
      <c r="F9" s="2" t="s">
        <v>57</v>
      </c>
      <c r="G9" s="1">
        <v>264</v>
      </c>
    </row>
    <row r="10" spans="1:7" ht="85">
      <c r="A10" s="1" t="s">
        <v>58</v>
      </c>
      <c r="B10" s="3" t="s">
        <v>13</v>
      </c>
      <c r="C10" s="4">
        <v>39841.186805555553</v>
      </c>
      <c r="D10" s="1" t="s">
        <v>59</v>
      </c>
      <c r="E10" s="1"/>
      <c r="F10" s="2" t="s">
        <v>61</v>
      </c>
      <c r="G10" s="1">
        <v>126</v>
      </c>
    </row>
    <row r="11" spans="1:7" ht="113">
      <c r="A11" s="1" t="s">
        <v>62</v>
      </c>
      <c r="B11" s="3" t="s">
        <v>13</v>
      </c>
      <c r="C11" s="4">
        <v>39841.53125</v>
      </c>
      <c r="D11" s="1" t="s">
        <v>63</v>
      </c>
      <c r="E11" s="1"/>
      <c r="F11" s="2" t="s">
        <v>68</v>
      </c>
      <c r="G11" s="1">
        <v>177</v>
      </c>
    </row>
    <row r="12" spans="1:7" ht="99">
      <c r="A12" s="1" t="s">
        <v>69</v>
      </c>
      <c r="B12" s="3" t="s">
        <v>13</v>
      </c>
      <c r="C12" s="4">
        <v>39841.593055555553</v>
      </c>
      <c r="D12" s="1" t="s">
        <v>70</v>
      </c>
      <c r="E12" s="1"/>
      <c r="F12" s="2" t="s">
        <v>73</v>
      </c>
      <c r="G12" s="1">
        <v>146</v>
      </c>
    </row>
    <row r="13" spans="1:7" ht="183">
      <c r="A13" s="1" t="s">
        <v>74</v>
      </c>
      <c r="B13" s="3" t="s">
        <v>13</v>
      </c>
      <c r="C13" s="4">
        <v>39841.607638888891</v>
      </c>
      <c r="D13" s="1" t="s">
        <v>21</v>
      </c>
      <c r="E13" s="1"/>
      <c r="F13" s="2" t="s">
        <v>76</v>
      </c>
      <c r="G13" s="1">
        <v>289</v>
      </c>
    </row>
    <row r="14" spans="1:7" ht="29">
      <c r="A14" s="1" t="s">
        <v>77</v>
      </c>
      <c r="B14" s="3" t="s">
        <v>13</v>
      </c>
      <c r="C14" s="4">
        <v>39841.757638888892</v>
      </c>
      <c r="D14" s="1" t="s">
        <v>54</v>
      </c>
      <c r="E14" s="1"/>
      <c r="F14" s="2" t="s">
        <v>82</v>
      </c>
      <c r="G14" s="1">
        <v>17</v>
      </c>
    </row>
    <row r="15" spans="1:7" ht="99">
      <c r="A15" s="1" t="s">
        <v>83</v>
      </c>
      <c r="B15" s="3" t="s">
        <v>13</v>
      </c>
      <c r="C15" s="4">
        <v>39841.765277777777</v>
      </c>
      <c r="D15" s="1" t="s">
        <v>84</v>
      </c>
      <c r="E15" s="1"/>
      <c r="F15" s="2" t="s">
        <v>86</v>
      </c>
      <c r="G15" s="1">
        <v>144</v>
      </c>
    </row>
    <row r="16" spans="1:7" ht="333">
      <c r="A16" s="1" t="s">
        <v>87</v>
      </c>
      <c r="B16" s="3" t="s">
        <v>13</v>
      </c>
      <c r="C16" s="4">
        <v>39841.981249999997</v>
      </c>
      <c r="D16" s="1" t="s">
        <v>14</v>
      </c>
      <c r="E16" s="1"/>
      <c r="F16" s="2" t="s">
        <v>91</v>
      </c>
      <c r="G16" s="1">
        <v>574</v>
      </c>
    </row>
    <row r="17" spans="1:7" ht="155">
      <c r="A17" s="1" t="s">
        <v>92</v>
      </c>
      <c r="B17" s="3" t="s">
        <v>13</v>
      </c>
      <c r="C17" s="4">
        <v>39842.952777777777</v>
      </c>
      <c r="D17" s="1" t="s">
        <v>93</v>
      </c>
      <c r="E17" s="1"/>
      <c r="F17" s="2" t="s">
        <v>95</v>
      </c>
      <c r="G17" s="1">
        <v>226</v>
      </c>
    </row>
    <row r="18" spans="1:7" ht="409.6">
      <c r="A18" s="1" t="s">
        <v>12</v>
      </c>
      <c r="B18" s="1" t="s">
        <v>96</v>
      </c>
      <c r="C18" s="4">
        <v>39843.452187499999</v>
      </c>
      <c r="D18" s="1" t="s">
        <v>14</v>
      </c>
      <c r="E18" s="1"/>
      <c r="F18" s="2" t="s">
        <v>99</v>
      </c>
      <c r="G18" s="1">
        <v>2015</v>
      </c>
    </row>
    <row r="19" spans="1:7" ht="169">
      <c r="A19" s="1" t="s">
        <v>100</v>
      </c>
      <c r="B19" s="3" t="s">
        <v>13</v>
      </c>
      <c r="C19" s="4">
        <v>39843.599999999999</v>
      </c>
      <c r="D19" s="1" t="s">
        <v>101</v>
      </c>
      <c r="E19" s="1"/>
      <c r="F19" s="2" t="s">
        <v>104</v>
      </c>
      <c r="G19" s="1">
        <v>279</v>
      </c>
    </row>
    <row r="20" spans="1:7" ht="71">
      <c r="A20" s="1" t="s">
        <v>105</v>
      </c>
      <c r="B20" s="3" t="s">
        <v>13</v>
      </c>
      <c r="C20" s="4">
        <v>39843.663194444445</v>
      </c>
      <c r="D20" s="1" t="s">
        <v>101</v>
      </c>
      <c r="E20" s="1"/>
      <c r="F20" s="2" t="s">
        <v>108</v>
      </c>
      <c r="G20" s="1">
        <v>112</v>
      </c>
    </row>
    <row r="21" spans="1:7" ht="43">
      <c r="A21" s="1" t="s">
        <v>117</v>
      </c>
      <c r="B21" s="1" t="s">
        <v>96</v>
      </c>
      <c r="C21" s="4">
        <v>39843.716666666667</v>
      </c>
      <c r="D21" s="1" t="s">
        <v>54</v>
      </c>
      <c r="E21" s="1"/>
      <c r="F21" s="2" t="s">
        <v>119</v>
      </c>
      <c r="G21" s="1">
        <v>69</v>
      </c>
    </row>
    <row r="22" spans="1:7" ht="57">
      <c r="A22" s="1" t="s">
        <v>120</v>
      </c>
      <c r="B22" s="3" t="s">
        <v>13</v>
      </c>
      <c r="C22" s="4">
        <v>39843.749305555553</v>
      </c>
      <c r="D22" s="1" t="s">
        <v>121</v>
      </c>
      <c r="E22" s="1"/>
      <c r="F22" s="2" t="s">
        <v>123</v>
      </c>
      <c r="G22" s="1">
        <v>60</v>
      </c>
    </row>
    <row r="23" spans="1:7" ht="29">
      <c r="A23" s="1" t="s">
        <v>132</v>
      </c>
      <c r="B23" s="1" t="s">
        <v>96</v>
      </c>
      <c r="C23" s="4">
        <v>39844.310416666667</v>
      </c>
      <c r="D23" s="1" t="s">
        <v>84</v>
      </c>
      <c r="E23" s="1"/>
      <c r="F23" s="2" t="s">
        <v>135</v>
      </c>
      <c r="G23" s="1">
        <v>41</v>
      </c>
    </row>
    <row r="24" spans="1:7" ht="99">
      <c r="A24" s="1" t="s">
        <v>139</v>
      </c>
      <c r="B24" s="3" t="s">
        <v>13</v>
      </c>
      <c r="C24" s="4">
        <v>39844.586805555555</v>
      </c>
      <c r="D24" s="1" t="s">
        <v>101</v>
      </c>
      <c r="E24" s="1"/>
      <c r="F24" s="2" t="s">
        <v>142</v>
      </c>
      <c r="G24" s="1">
        <v>147</v>
      </c>
    </row>
    <row r="25" spans="1:7" ht="29">
      <c r="A25" s="1" t="s">
        <v>143</v>
      </c>
      <c r="B25" s="3" t="s">
        <v>13</v>
      </c>
      <c r="C25" s="4">
        <v>39844.589583333334</v>
      </c>
      <c r="D25" s="1" t="s">
        <v>144</v>
      </c>
      <c r="E25" s="1"/>
      <c r="F25" s="2" t="s">
        <v>147</v>
      </c>
      <c r="G25" s="1">
        <v>38</v>
      </c>
    </row>
    <row r="26" spans="1:7" ht="43">
      <c r="A26" s="1" t="s">
        <v>153</v>
      </c>
      <c r="B26" s="3" t="s">
        <v>13</v>
      </c>
      <c r="C26" s="4">
        <v>39844.712500000001</v>
      </c>
      <c r="D26" s="1" t="s">
        <v>154</v>
      </c>
      <c r="E26" s="1"/>
      <c r="F26" s="2" t="s">
        <v>155</v>
      </c>
      <c r="G26" s="1">
        <v>66</v>
      </c>
    </row>
    <row r="27" spans="1:7" ht="409.6">
      <c r="A27" s="1" t="s">
        <v>12</v>
      </c>
      <c r="B27" s="1" t="s">
        <v>156</v>
      </c>
      <c r="C27" s="4">
        <v>39845.528981481482</v>
      </c>
      <c r="D27" s="1" t="s">
        <v>14</v>
      </c>
      <c r="E27" s="1"/>
      <c r="F27" s="2" t="s">
        <v>159</v>
      </c>
      <c r="G27" s="1">
        <v>1873</v>
      </c>
    </row>
    <row r="28" spans="1:7" ht="409.6">
      <c r="A28" s="1" t="s">
        <v>12</v>
      </c>
      <c r="B28" s="1" t="s">
        <v>160</v>
      </c>
      <c r="C28" s="4">
        <v>39845.530092592591</v>
      </c>
      <c r="D28" s="1" t="s">
        <v>14</v>
      </c>
      <c r="E28" s="1"/>
      <c r="F28" s="2" t="s">
        <v>161</v>
      </c>
      <c r="G28" s="1">
        <v>3265</v>
      </c>
    </row>
    <row r="29" spans="1:7" ht="385">
      <c r="A29" s="1" t="s">
        <v>12</v>
      </c>
      <c r="B29" s="1" t="s">
        <v>162</v>
      </c>
      <c r="C29" s="4">
        <v>39845.530590277776</v>
      </c>
      <c r="D29" s="1" t="s">
        <v>14</v>
      </c>
      <c r="E29" s="1"/>
      <c r="F29" s="2" t="s">
        <v>164</v>
      </c>
      <c r="G29" s="1">
        <v>610</v>
      </c>
    </row>
    <row r="30" spans="1:7" ht="169">
      <c r="A30" s="1" t="s">
        <v>165</v>
      </c>
      <c r="B30" s="3" t="s">
        <v>13</v>
      </c>
      <c r="C30" s="4">
        <v>39845.607638888891</v>
      </c>
      <c r="D30" s="1" t="s">
        <v>101</v>
      </c>
      <c r="E30" s="1"/>
      <c r="F30" s="2" t="s">
        <v>169</v>
      </c>
      <c r="G30" s="1">
        <v>265</v>
      </c>
    </row>
    <row r="31" spans="1:7" ht="267">
      <c r="A31" s="1" t="s">
        <v>170</v>
      </c>
      <c r="B31" s="3" t="s">
        <v>13</v>
      </c>
      <c r="C31" s="4">
        <v>39845.740972222222</v>
      </c>
      <c r="D31" s="1" t="s">
        <v>171</v>
      </c>
      <c r="E31" s="1"/>
      <c r="F31" s="2" t="s">
        <v>173</v>
      </c>
      <c r="G31" s="1">
        <v>387</v>
      </c>
    </row>
    <row r="32" spans="1:7" ht="293">
      <c r="A32" s="1" t="s">
        <v>12</v>
      </c>
      <c r="B32" s="1" t="s">
        <v>174</v>
      </c>
      <c r="C32" s="4">
        <v>39845.799675925926</v>
      </c>
      <c r="D32" s="1" t="s">
        <v>175</v>
      </c>
      <c r="E32" s="1"/>
      <c r="F32" s="8" t="s">
        <v>176</v>
      </c>
      <c r="G32" s="1">
        <v>409</v>
      </c>
    </row>
    <row r="33" spans="1:7">
      <c r="A33" s="1" t="s">
        <v>177</v>
      </c>
      <c r="B33" s="1" t="s">
        <v>156</v>
      </c>
      <c r="C33" s="4">
        <v>39845.837500000001</v>
      </c>
      <c r="D33" s="1" t="s">
        <v>178</v>
      </c>
      <c r="E33" s="1"/>
      <c r="F33" s="2" t="s">
        <v>180</v>
      </c>
      <c r="G33" s="1">
        <v>14</v>
      </c>
    </row>
    <row r="34" spans="1:7">
      <c r="A34" s="1" t="s">
        <v>181</v>
      </c>
      <c r="B34" s="1" t="s">
        <v>156</v>
      </c>
      <c r="C34" s="4">
        <v>39845.839583333334</v>
      </c>
      <c r="D34" s="1" t="s">
        <v>178</v>
      </c>
      <c r="E34" s="1"/>
      <c r="F34" s="2" t="s">
        <v>183</v>
      </c>
      <c r="G34" s="1">
        <v>22</v>
      </c>
    </row>
    <row r="35" spans="1:7" ht="43">
      <c r="A35" s="1" t="s">
        <v>188</v>
      </c>
      <c r="B35" s="1" t="s">
        <v>160</v>
      </c>
      <c r="C35" s="4">
        <v>39845.874305555553</v>
      </c>
      <c r="D35" s="1" t="s">
        <v>14</v>
      </c>
      <c r="E35" s="1"/>
      <c r="F35" s="2" t="s">
        <v>190</v>
      </c>
      <c r="G35" s="1">
        <v>51</v>
      </c>
    </row>
    <row r="36" spans="1:7" ht="211">
      <c r="A36" s="1" t="s">
        <v>191</v>
      </c>
      <c r="B36" s="1" t="s">
        <v>156</v>
      </c>
      <c r="C36" s="4">
        <v>39845.875</v>
      </c>
      <c r="D36" s="1" t="s">
        <v>192</v>
      </c>
      <c r="E36" s="1"/>
      <c r="F36" s="2" t="s">
        <v>194</v>
      </c>
      <c r="G36" s="1">
        <v>331</v>
      </c>
    </row>
    <row r="37" spans="1:7" ht="225">
      <c r="A37" s="1" t="s">
        <v>195</v>
      </c>
      <c r="B37" s="1" t="s">
        <v>160</v>
      </c>
      <c r="C37" s="4">
        <v>39845.880555555559</v>
      </c>
      <c r="D37" s="1" t="s">
        <v>196</v>
      </c>
      <c r="E37" s="1"/>
      <c r="F37" s="2" t="s">
        <v>200</v>
      </c>
      <c r="G37" s="1">
        <v>352</v>
      </c>
    </row>
    <row r="38" spans="1:7" ht="85">
      <c r="A38" s="1" t="s">
        <v>201</v>
      </c>
      <c r="B38" s="1" t="s">
        <v>160</v>
      </c>
      <c r="C38" s="4">
        <v>39845.890972222223</v>
      </c>
      <c r="D38" s="1" t="s">
        <v>84</v>
      </c>
      <c r="E38" s="1"/>
      <c r="F38" s="2" t="s">
        <v>203</v>
      </c>
      <c r="G38" s="1">
        <v>127</v>
      </c>
    </row>
    <row r="39" spans="1:7" ht="253">
      <c r="A39" s="1" t="s">
        <v>204</v>
      </c>
      <c r="B39" s="1" t="s">
        <v>160</v>
      </c>
      <c r="C39" s="4">
        <v>39845.893055555556</v>
      </c>
      <c r="D39" s="1" t="s">
        <v>54</v>
      </c>
      <c r="E39" s="1"/>
      <c r="F39" s="2" t="s">
        <v>207</v>
      </c>
      <c r="G39" s="1">
        <v>388</v>
      </c>
    </row>
    <row r="40" spans="1:7" ht="71">
      <c r="A40" s="1" t="s">
        <v>208</v>
      </c>
      <c r="B40" s="1" t="s">
        <v>160</v>
      </c>
      <c r="C40" s="4">
        <v>39845.895833333336</v>
      </c>
      <c r="D40" s="1" t="s">
        <v>54</v>
      </c>
      <c r="E40" s="1"/>
      <c r="F40" s="2" t="s">
        <v>210</v>
      </c>
      <c r="G40" s="1">
        <v>99</v>
      </c>
    </row>
    <row r="41" spans="1:7" ht="169">
      <c r="A41" s="1" t="s">
        <v>211</v>
      </c>
      <c r="B41" s="1" t="s">
        <v>160</v>
      </c>
      <c r="C41" s="4">
        <v>39845.927777777775</v>
      </c>
      <c r="D41" s="1" t="s">
        <v>212</v>
      </c>
      <c r="E41" s="1"/>
      <c r="F41" s="2" t="s">
        <v>216</v>
      </c>
      <c r="G41" s="1">
        <v>245</v>
      </c>
    </row>
    <row r="42" spans="1:7" ht="127">
      <c r="A42" s="1" t="s">
        <v>222</v>
      </c>
      <c r="B42" s="1" t="s">
        <v>160</v>
      </c>
      <c r="C42" s="4">
        <v>39846.063194444447</v>
      </c>
      <c r="D42" s="1" t="s">
        <v>54</v>
      </c>
      <c r="E42" s="1"/>
      <c r="F42" s="2" t="s">
        <v>226</v>
      </c>
      <c r="G42" s="1">
        <v>201</v>
      </c>
    </row>
    <row r="43" spans="1:7" ht="113">
      <c r="A43" s="1" t="s">
        <v>230</v>
      </c>
      <c r="B43" s="1" t="s">
        <v>160</v>
      </c>
      <c r="C43" s="4">
        <v>39846.072916666664</v>
      </c>
      <c r="D43" s="1" t="s">
        <v>14</v>
      </c>
      <c r="E43" s="1"/>
      <c r="F43" s="2" t="s">
        <v>233</v>
      </c>
      <c r="G43" s="1">
        <v>177</v>
      </c>
    </row>
    <row r="44" spans="1:7" ht="29">
      <c r="A44" s="1" t="s">
        <v>237</v>
      </c>
      <c r="B44" s="1" t="s">
        <v>160</v>
      </c>
      <c r="C44" s="4">
        <v>39846.095138888886</v>
      </c>
      <c r="D44" s="1" t="s">
        <v>84</v>
      </c>
      <c r="E44" s="1"/>
      <c r="F44" s="2" t="s">
        <v>239</v>
      </c>
      <c r="G44" s="1">
        <v>49</v>
      </c>
    </row>
    <row r="45" spans="1:7" ht="85">
      <c r="A45" s="1" t="s">
        <v>244</v>
      </c>
      <c r="B45" s="3" t="s">
        <v>13</v>
      </c>
      <c r="C45" s="4">
        <v>39846.132638888892</v>
      </c>
      <c r="D45" s="1" t="s">
        <v>54</v>
      </c>
      <c r="E45" s="1"/>
      <c r="F45" s="2" t="s">
        <v>247</v>
      </c>
      <c r="G45" s="1">
        <v>125</v>
      </c>
    </row>
    <row r="46" spans="1:7" ht="29">
      <c r="A46" s="1" t="s">
        <v>254</v>
      </c>
      <c r="B46" s="1" t="s">
        <v>160</v>
      </c>
      <c r="C46" s="4">
        <v>39846.313888888886</v>
      </c>
      <c r="D46" s="1" t="s">
        <v>255</v>
      </c>
      <c r="E46" s="1"/>
      <c r="F46" s="2" t="s">
        <v>256</v>
      </c>
      <c r="G46" s="1">
        <v>32</v>
      </c>
    </row>
    <row r="47" spans="1:7" ht="99">
      <c r="A47" s="1" t="s">
        <v>262</v>
      </c>
      <c r="B47" s="1" t="s">
        <v>160</v>
      </c>
      <c r="C47" s="4">
        <v>39846.365277777775</v>
      </c>
      <c r="D47" s="1" t="s">
        <v>54</v>
      </c>
      <c r="E47" s="1"/>
      <c r="F47" s="2" t="s">
        <v>265</v>
      </c>
      <c r="G47" s="1">
        <v>150</v>
      </c>
    </row>
    <row r="48" spans="1:7" ht="127">
      <c r="A48" s="1" t="s">
        <v>266</v>
      </c>
      <c r="B48" s="1" t="s">
        <v>160</v>
      </c>
      <c r="C48" s="4">
        <v>39846.375694444447</v>
      </c>
      <c r="D48" s="1" t="s">
        <v>54</v>
      </c>
      <c r="E48" s="1"/>
      <c r="F48" s="2" t="s">
        <v>269</v>
      </c>
      <c r="G48" s="1">
        <v>199</v>
      </c>
    </row>
    <row r="49" spans="1:7" ht="29">
      <c r="A49" s="1" t="s">
        <v>273</v>
      </c>
      <c r="B49" s="1" t="s">
        <v>160</v>
      </c>
      <c r="C49" s="4">
        <v>39846.386805555558</v>
      </c>
      <c r="D49" s="1" t="s">
        <v>14</v>
      </c>
      <c r="E49" s="1"/>
      <c r="F49" s="2" t="s">
        <v>275</v>
      </c>
      <c r="G49" s="1">
        <v>45</v>
      </c>
    </row>
    <row r="50" spans="1:7" ht="71">
      <c r="A50" s="1" t="s">
        <v>290</v>
      </c>
      <c r="B50" s="1" t="s">
        <v>156</v>
      </c>
      <c r="C50" s="4">
        <v>39846.509027777778</v>
      </c>
      <c r="D50" s="1" t="s">
        <v>14</v>
      </c>
      <c r="E50" s="1"/>
      <c r="F50" s="2" t="s">
        <v>292</v>
      </c>
      <c r="G50" s="1">
        <v>111</v>
      </c>
    </row>
    <row r="51" spans="1:7" ht="239">
      <c r="A51" s="1" t="s">
        <v>298</v>
      </c>
      <c r="B51" s="1" t="s">
        <v>160</v>
      </c>
      <c r="C51" s="4">
        <v>39846.572222222225</v>
      </c>
      <c r="D51" s="1" t="s">
        <v>14</v>
      </c>
      <c r="E51" s="1"/>
      <c r="F51" s="2" t="s">
        <v>301</v>
      </c>
      <c r="G51" s="1">
        <v>402</v>
      </c>
    </row>
    <row r="52" spans="1:7" ht="71">
      <c r="A52" s="1" t="s">
        <v>302</v>
      </c>
      <c r="B52" s="3" t="s">
        <v>13</v>
      </c>
      <c r="C52" s="4">
        <v>39846.59097222222</v>
      </c>
      <c r="D52" s="1" t="s">
        <v>101</v>
      </c>
      <c r="E52" s="1"/>
      <c r="F52" s="2" t="s">
        <v>303</v>
      </c>
      <c r="G52" s="1">
        <v>95</v>
      </c>
    </row>
    <row r="53" spans="1:7" ht="183">
      <c r="A53" s="1" t="s">
        <v>313</v>
      </c>
      <c r="B53" s="1" t="s">
        <v>160</v>
      </c>
      <c r="C53" s="4">
        <v>39846.677777777775</v>
      </c>
      <c r="D53" s="1" t="s">
        <v>314</v>
      </c>
      <c r="E53" s="1"/>
      <c r="F53" s="2" t="s">
        <v>318</v>
      </c>
      <c r="G53" s="1">
        <v>280</v>
      </c>
    </row>
    <row r="54" spans="1:7" ht="127">
      <c r="A54" s="1" t="s">
        <v>335</v>
      </c>
      <c r="B54" s="1" t="s">
        <v>160</v>
      </c>
      <c r="C54" s="4">
        <v>39846.705555555556</v>
      </c>
      <c r="D54" s="1" t="s">
        <v>84</v>
      </c>
      <c r="E54" s="1"/>
      <c r="F54" s="2" t="s">
        <v>338</v>
      </c>
      <c r="G54" s="1">
        <v>94</v>
      </c>
    </row>
    <row r="55" spans="1:7" ht="99">
      <c r="A55" s="1" t="s">
        <v>353</v>
      </c>
      <c r="B55" s="1" t="s">
        <v>160</v>
      </c>
      <c r="C55" s="4">
        <v>39846.729166666664</v>
      </c>
      <c r="D55" s="1" t="s">
        <v>84</v>
      </c>
      <c r="E55" s="1"/>
      <c r="F55" s="2" t="s">
        <v>356</v>
      </c>
      <c r="G55" s="1">
        <v>137</v>
      </c>
    </row>
    <row r="56" spans="1:7" ht="43">
      <c r="A56" s="1" t="s">
        <v>371</v>
      </c>
      <c r="B56" s="1" t="s">
        <v>160</v>
      </c>
      <c r="C56" s="4">
        <v>39846.772222222222</v>
      </c>
      <c r="D56" s="1" t="s">
        <v>54</v>
      </c>
      <c r="E56" s="1"/>
      <c r="F56" s="2" t="s">
        <v>373</v>
      </c>
      <c r="G56" s="1">
        <v>42</v>
      </c>
    </row>
    <row r="57" spans="1:7" ht="99">
      <c r="A57" s="1" t="s">
        <v>374</v>
      </c>
      <c r="B57" s="1" t="s">
        <v>160</v>
      </c>
      <c r="C57" s="4">
        <v>39846.825694444444</v>
      </c>
      <c r="D57" s="1" t="s">
        <v>84</v>
      </c>
      <c r="E57" s="1"/>
      <c r="F57" s="2" t="s">
        <v>377</v>
      </c>
      <c r="G57" s="1">
        <v>141</v>
      </c>
    </row>
    <row r="58" spans="1:7" ht="307">
      <c r="A58" s="1" t="s">
        <v>380</v>
      </c>
      <c r="B58" s="1" t="s">
        <v>160</v>
      </c>
      <c r="C58" s="4">
        <v>39846.852083333331</v>
      </c>
      <c r="D58" s="1" t="s">
        <v>381</v>
      </c>
      <c r="E58" s="1"/>
      <c r="F58" s="2" t="s">
        <v>383</v>
      </c>
      <c r="G58" s="1">
        <v>219</v>
      </c>
    </row>
    <row r="59" spans="1:7" ht="57">
      <c r="A59" s="1" t="s">
        <v>388</v>
      </c>
      <c r="B59" s="1" t="s">
        <v>156</v>
      </c>
      <c r="C59" s="4">
        <v>39846.861805555556</v>
      </c>
      <c r="D59" s="1" t="s">
        <v>54</v>
      </c>
      <c r="E59" s="1"/>
      <c r="F59" s="2" t="s">
        <v>391</v>
      </c>
      <c r="G59" s="1">
        <v>89</v>
      </c>
    </row>
    <row r="60" spans="1:7" ht="113">
      <c r="A60" s="1" t="s">
        <v>392</v>
      </c>
      <c r="B60" s="1" t="s">
        <v>160</v>
      </c>
      <c r="C60" s="4">
        <v>39846.863194444442</v>
      </c>
      <c r="D60" s="1" t="s">
        <v>393</v>
      </c>
      <c r="E60" s="1"/>
      <c r="F60" s="2" t="s">
        <v>395</v>
      </c>
      <c r="G60" s="1">
        <v>193</v>
      </c>
    </row>
    <row r="61" spans="1:7" ht="43">
      <c r="A61" s="1" t="s">
        <v>398</v>
      </c>
      <c r="B61" s="1" t="s">
        <v>160</v>
      </c>
      <c r="C61" s="4">
        <v>39846.865972222222</v>
      </c>
      <c r="D61" s="1" t="s">
        <v>54</v>
      </c>
      <c r="E61" s="1"/>
      <c r="F61" s="2" t="s">
        <v>399</v>
      </c>
      <c r="G61" s="1">
        <v>47</v>
      </c>
    </row>
    <row r="62" spans="1:7" ht="43">
      <c r="A62" s="1" t="s">
        <v>400</v>
      </c>
      <c r="B62" s="1" t="s">
        <v>160</v>
      </c>
      <c r="C62" s="4">
        <v>39846.904166666667</v>
      </c>
      <c r="D62" s="1" t="s">
        <v>401</v>
      </c>
      <c r="E62" s="1"/>
      <c r="F62" s="2" t="s">
        <v>404</v>
      </c>
      <c r="G62" s="1">
        <v>18</v>
      </c>
    </row>
    <row r="63" spans="1:7" ht="99">
      <c r="A63" s="1" t="s">
        <v>425</v>
      </c>
      <c r="B63" s="1" t="s">
        <v>160</v>
      </c>
      <c r="C63" s="4">
        <v>39846.968055555553</v>
      </c>
      <c r="D63" s="1" t="s">
        <v>54</v>
      </c>
      <c r="E63" s="1"/>
      <c r="F63" s="2" t="s">
        <v>426</v>
      </c>
      <c r="G63" s="1">
        <v>143</v>
      </c>
    </row>
    <row r="64" spans="1:7" ht="197">
      <c r="A64" s="1" t="s">
        <v>434</v>
      </c>
      <c r="B64" s="3" t="s">
        <v>13</v>
      </c>
      <c r="C64" s="4">
        <v>39846.995833333334</v>
      </c>
      <c r="D64" s="1" t="s">
        <v>435</v>
      </c>
      <c r="E64" s="1"/>
      <c r="F64" s="2" t="s">
        <v>437</v>
      </c>
      <c r="G64" s="1">
        <v>321</v>
      </c>
    </row>
    <row r="65" spans="1:7" ht="29">
      <c r="A65" s="1" t="s">
        <v>445</v>
      </c>
      <c r="B65" s="1" t="s">
        <v>156</v>
      </c>
      <c r="C65" s="4">
        <v>39847.056250000001</v>
      </c>
      <c r="D65" s="1" t="s">
        <v>446</v>
      </c>
      <c r="E65" s="1"/>
      <c r="F65" s="2" t="s">
        <v>448</v>
      </c>
      <c r="G65" s="1">
        <v>47</v>
      </c>
    </row>
    <row r="66" spans="1:7" ht="85">
      <c r="A66" s="1" t="s">
        <v>449</v>
      </c>
      <c r="B66" s="1" t="s">
        <v>160</v>
      </c>
      <c r="C66" s="4">
        <v>39847.064583333333</v>
      </c>
      <c r="D66" s="1" t="s">
        <v>54</v>
      </c>
      <c r="E66" s="1"/>
      <c r="F66" s="2" t="s">
        <v>451</v>
      </c>
      <c r="G66" s="1">
        <v>129</v>
      </c>
    </row>
    <row r="67" spans="1:7" ht="99">
      <c r="A67" s="1" t="s">
        <v>452</v>
      </c>
      <c r="B67" s="1" t="s">
        <v>160</v>
      </c>
      <c r="C67" s="4">
        <v>39847.077777777777</v>
      </c>
      <c r="D67" s="1" t="s">
        <v>14</v>
      </c>
      <c r="E67" s="1"/>
      <c r="F67" s="2" t="s">
        <v>455</v>
      </c>
      <c r="G67" s="1">
        <v>170</v>
      </c>
    </row>
    <row r="68" spans="1:7" ht="169">
      <c r="A68" s="1" t="s">
        <v>456</v>
      </c>
      <c r="B68" s="1" t="s">
        <v>160</v>
      </c>
      <c r="C68" s="4">
        <v>39847.12777777778</v>
      </c>
      <c r="D68" s="1" t="s">
        <v>54</v>
      </c>
      <c r="E68" s="1"/>
      <c r="F68" s="2" t="s">
        <v>459</v>
      </c>
      <c r="G68" s="1">
        <v>280</v>
      </c>
    </row>
    <row r="69" spans="1:7" ht="43">
      <c r="A69" s="1" t="s">
        <v>467</v>
      </c>
      <c r="B69" s="1" t="s">
        <v>156</v>
      </c>
      <c r="C69" s="4">
        <v>39847.453472222223</v>
      </c>
      <c r="D69" s="1" t="s">
        <v>101</v>
      </c>
      <c r="E69" s="1"/>
      <c r="F69" s="2" t="s">
        <v>469</v>
      </c>
      <c r="G69" s="1">
        <v>70</v>
      </c>
    </row>
    <row r="70" spans="1:7" ht="29">
      <c r="A70" s="1" t="s">
        <v>473</v>
      </c>
      <c r="B70" s="1" t="s">
        <v>160</v>
      </c>
      <c r="C70" s="4">
        <v>39847.491666666669</v>
      </c>
      <c r="D70" s="1" t="s">
        <v>474</v>
      </c>
      <c r="E70" s="1"/>
      <c r="F70" s="2" t="s">
        <v>476</v>
      </c>
      <c r="G70" s="1">
        <v>11</v>
      </c>
    </row>
    <row r="71" spans="1:7" ht="85">
      <c r="A71" s="1" t="s">
        <v>484</v>
      </c>
      <c r="B71" s="3" t="s">
        <v>13</v>
      </c>
      <c r="C71" s="4">
        <v>39847.532638888886</v>
      </c>
      <c r="D71" s="1" t="s">
        <v>485</v>
      </c>
      <c r="E71" s="1"/>
      <c r="F71" s="2" t="s">
        <v>487</v>
      </c>
      <c r="G71" s="1">
        <v>135</v>
      </c>
    </row>
    <row r="72" spans="1:7" ht="127">
      <c r="A72" s="1" t="s">
        <v>503</v>
      </c>
      <c r="B72" s="1" t="s">
        <v>160</v>
      </c>
      <c r="C72" s="4">
        <v>39847.585416666669</v>
      </c>
      <c r="D72" s="1" t="s">
        <v>14</v>
      </c>
      <c r="E72" s="1"/>
      <c r="F72" s="2" t="s">
        <v>506</v>
      </c>
      <c r="G72" s="1">
        <v>227</v>
      </c>
    </row>
    <row r="73" spans="1:7" ht="183">
      <c r="A73" s="1" t="s">
        <v>522</v>
      </c>
      <c r="B73" s="1" t="s">
        <v>160</v>
      </c>
      <c r="C73" s="4">
        <v>39847.662499999999</v>
      </c>
      <c r="D73" s="1" t="s">
        <v>14</v>
      </c>
      <c r="E73" s="1"/>
      <c r="F73" s="2" t="s">
        <v>524</v>
      </c>
      <c r="G73" s="1">
        <v>296</v>
      </c>
    </row>
    <row r="74" spans="1:7" ht="57">
      <c r="A74" s="1" t="s">
        <v>544</v>
      </c>
      <c r="B74" s="3" t="s">
        <v>13</v>
      </c>
      <c r="C74" s="4">
        <v>39847.726388888892</v>
      </c>
      <c r="D74" s="1" t="s">
        <v>545</v>
      </c>
      <c r="E74" s="1"/>
      <c r="F74" s="2" t="s">
        <v>546</v>
      </c>
      <c r="G74" s="1">
        <v>59</v>
      </c>
    </row>
    <row r="75" spans="1:7" ht="29">
      <c r="A75" s="1" t="s">
        <v>569</v>
      </c>
      <c r="B75" s="1" t="s">
        <v>160</v>
      </c>
      <c r="C75" s="4">
        <v>39847.786805555559</v>
      </c>
      <c r="D75" s="1" t="s">
        <v>14</v>
      </c>
      <c r="E75" s="1"/>
      <c r="F75" s="2" t="s">
        <v>570</v>
      </c>
      <c r="G75" s="1">
        <v>43</v>
      </c>
    </row>
    <row r="76" spans="1:7" ht="113">
      <c r="A76" s="1" t="s">
        <v>583</v>
      </c>
      <c r="B76" s="3" t="s">
        <v>13</v>
      </c>
      <c r="C76" s="4">
        <v>39847.845138888886</v>
      </c>
      <c r="D76" s="1" t="s">
        <v>584</v>
      </c>
      <c r="E76" s="1"/>
      <c r="F76" s="2" t="s">
        <v>587</v>
      </c>
      <c r="G76" s="1">
        <v>156</v>
      </c>
    </row>
    <row r="77" spans="1:7" ht="409.6">
      <c r="A77" s="1" t="s">
        <v>595</v>
      </c>
      <c r="B77" s="3" t="s">
        <v>13</v>
      </c>
      <c r="C77" s="4">
        <v>39847.879166666666</v>
      </c>
      <c r="D77" s="1" t="s">
        <v>596</v>
      </c>
      <c r="E77" s="1"/>
      <c r="F77" s="2" t="s">
        <v>598</v>
      </c>
      <c r="G77" s="1">
        <v>1915</v>
      </c>
    </row>
    <row r="78" spans="1:7" ht="155">
      <c r="A78" s="1" t="s">
        <v>599</v>
      </c>
      <c r="B78" s="1" t="s">
        <v>156</v>
      </c>
      <c r="C78" s="4">
        <v>39847.943055555559</v>
      </c>
      <c r="D78" s="1" t="s">
        <v>14</v>
      </c>
      <c r="E78" s="1"/>
      <c r="F78" s="2" t="s">
        <v>601</v>
      </c>
      <c r="G78" s="1">
        <v>236</v>
      </c>
    </row>
    <row r="79" spans="1:7" ht="71">
      <c r="A79" s="1" t="s">
        <v>616</v>
      </c>
      <c r="B79" s="1" t="s">
        <v>156</v>
      </c>
      <c r="C79" s="4">
        <v>39848.004166666666</v>
      </c>
      <c r="D79" s="1" t="s">
        <v>101</v>
      </c>
      <c r="E79" s="1"/>
      <c r="F79" s="2" t="s">
        <v>618</v>
      </c>
      <c r="G79" s="1">
        <v>95</v>
      </c>
    </row>
    <row r="80" spans="1:7" ht="57">
      <c r="A80" s="1" t="s">
        <v>628</v>
      </c>
      <c r="B80" s="1" t="s">
        <v>160</v>
      </c>
      <c r="C80" s="4">
        <v>39848.040972222225</v>
      </c>
      <c r="D80" s="1" t="s">
        <v>320</v>
      </c>
      <c r="E80" s="1"/>
      <c r="F80" s="2" t="s">
        <v>630</v>
      </c>
      <c r="G80" s="1">
        <v>92</v>
      </c>
    </row>
    <row r="81" spans="1:7">
      <c r="A81" s="1" t="s">
        <v>660</v>
      </c>
      <c r="B81" s="1" t="s">
        <v>160</v>
      </c>
      <c r="C81" s="4">
        <v>39848.412499999999</v>
      </c>
      <c r="D81" s="1" t="s">
        <v>196</v>
      </c>
      <c r="E81" s="1"/>
      <c r="F81" s="2" t="s">
        <v>662</v>
      </c>
      <c r="G81" s="1">
        <v>10</v>
      </c>
    </row>
    <row r="82" spans="1:7" ht="127">
      <c r="A82" s="1" t="s">
        <v>669</v>
      </c>
      <c r="B82" s="1" t="s">
        <v>160</v>
      </c>
      <c r="C82" s="4">
        <v>39848.470138888886</v>
      </c>
      <c r="D82" s="1" t="s">
        <v>14</v>
      </c>
      <c r="E82" s="1"/>
      <c r="F82" s="2" t="s">
        <v>670</v>
      </c>
      <c r="G82" s="1">
        <v>199</v>
      </c>
    </row>
    <row r="83" spans="1:7" ht="141">
      <c r="A83" s="1" t="s">
        <v>12</v>
      </c>
      <c r="B83" s="1" t="s">
        <v>680</v>
      </c>
      <c r="C83" s="4">
        <v>39848.504895833335</v>
      </c>
      <c r="D83" s="1" t="s">
        <v>14</v>
      </c>
      <c r="E83" s="1"/>
      <c r="F83" s="2" t="s">
        <v>682</v>
      </c>
      <c r="G83" s="1">
        <v>211</v>
      </c>
    </row>
    <row r="84" spans="1:7" ht="127">
      <c r="A84" s="1" t="s">
        <v>683</v>
      </c>
      <c r="B84" s="1" t="s">
        <v>160</v>
      </c>
      <c r="C84" s="4">
        <v>39848.555555555555</v>
      </c>
      <c r="D84" s="1" t="s">
        <v>14</v>
      </c>
      <c r="E84" s="1"/>
      <c r="F84" s="2" t="s">
        <v>686</v>
      </c>
      <c r="G84" s="1">
        <v>208</v>
      </c>
    </row>
    <row r="85" spans="1:7" ht="71">
      <c r="A85" s="1" t="s">
        <v>687</v>
      </c>
      <c r="B85" s="1" t="s">
        <v>680</v>
      </c>
      <c r="C85" s="4">
        <v>39848.560416666667</v>
      </c>
      <c r="D85" s="1" t="s">
        <v>688</v>
      </c>
      <c r="E85" s="1"/>
      <c r="F85" s="2" t="s">
        <v>689</v>
      </c>
      <c r="G85" s="1">
        <v>57</v>
      </c>
    </row>
    <row r="86" spans="1:7" ht="127">
      <c r="A86" s="1" t="s">
        <v>690</v>
      </c>
      <c r="B86" s="1" t="s">
        <v>160</v>
      </c>
      <c r="C86" s="4">
        <v>39848.561805555553</v>
      </c>
      <c r="D86" s="1" t="s">
        <v>14</v>
      </c>
      <c r="E86" s="1"/>
      <c r="F86" s="2" t="s">
        <v>692</v>
      </c>
      <c r="G86" s="1">
        <v>225</v>
      </c>
    </row>
    <row r="87" spans="1:7">
      <c r="A87" s="1" t="s">
        <v>693</v>
      </c>
      <c r="B87" s="1" t="s">
        <v>680</v>
      </c>
      <c r="C87" s="4">
        <v>39848.567361111112</v>
      </c>
      <c r="D87" s="1" t="s">
        <v>70</v>
      </c>
      <c r="E87" s="1"/>
      <c r="F87" s="2" t="s">
        <v>695</v>
      </c>
      <c r="G87" s="1">
        <v>19</v>
      </c>
    </row>
    <row r="88" spans="1:7">
      <c r="A88" s="1" t="s">
        <v>696</v>
      </c>
      <c r="B88" s="1" t="s">
        <v>680</v>
      </c>
      <c r="C88" s="4">
        <v>39848.569444444445</v>
      </c>
      <c r="D88" s="1" t="s">
        <v>70</v>
      </c>
      <c r="E88" s="1"/>
      <c r="F88" s="2" t="s">
        <v>697</v>
      </c>
      <c r="G88" s="1">
        <v>16</v>
      </c>
    </row>
    <row r="89" spans="1:7" ht="57">
      <c r="A89" s="1" t="s">
        <v>712</v>
      </c>
      <c r="B89" s="1" t="s">
        <v>680</v>
      </c>
      <c r="C89" s="4">
        <v>39848.697916666664</v>
      </c>
      <c r="D89" s="1" t="s">
        <v>84</v>
      </c>
      <c r="E89" s="1"/>
      <c r="F89" s="2" t="s">
        <v>714</v>
      </c>
      <c r="G89" s="1">
        <v>49</v>
      </c>
    </row>
    <row r="90" spans="1:7" ht="71">
      <c r="A90" s="1" t="s">
        <v>717</v>
      </c>
      <c r="B90" s="1" t="s">
        <v>680</v>
      </c>
      <c r="C90" s="4">
        <v>39848.743055555555</v>
      </c>
      <c r="D90" s="1" t="s">
        <v>416</v>
      </c>
      <c r="E90" s="1"/>
      <c r="F90" s="2" t="s">
        <v>719</v>
      </c>
      <c r="G90" s="1">
        <v>117</v>
      </c>
    </row>
    <row r="91" spans="1:7" ht="99">
      <c r="A91" s="1" t="s">
        <v>741</v>
      </c>
      <c r="B91" s="3" t="s">
        <v>13</v>
      </c>
      <c r="C91" s="4">
        <v>39848.79583333333</v>
      </c>
      <c r="D91" s="1" t="s">
        <v>742</v>
      </c>
      <c r="E91" s="1"/>
      <c r="F91" s="2" t="s">
        <v>744</v>
      </c>
      <c r="G91" s="1">
        <v>148</v>
      </c>
    </row>
    <row r="92" spans="1:7" ht="43">
      <c r="A92" s="1" t="s">
        <v>745</v>
      </c>
      <c r="B92" s="1" t="s">
        <v>160</v>
      </c>
      <c r="C92" s="4">
        <v>39848.801388888889</v>
      </c>
      <c r="D92" s="1" t="s">
        <v>320</v>
      </c>
      <c r="E92" s="1"/>
      <c r="F92" s="2" t="s">
        <v>747</v>
      </c>
      <c r="G92" s="1">
        <v>50</v>
      </c>
    </row>
    <row r="93" spans="1:7" ht="43">
      <c r="A93" s="1" t="s">
        <v>756</v>
      </c>
      <c r="B93" s="3" t="s">
        <v>13</v>
      </c>
      <c r="C93" s="4">
        <v>39848.838194444441</v>
      </c>
      <c r="D93" s="1" t="s">
        <v>688</v>
      </c>
      <c r="E93" s="1"/>
      <c r="F93" s="2" t="s">
        <v>758</v>
      </c>
      <c r="G93" s="1">
        <v>65</v>
      </c>
    </row>
    <row r="94" spans="1:7" ht="57">
      <c r="A94" s="1" t="s">
        <v>764</v>
      </c>
      <c r="B94" s="1" t="s">
        <v>680</v>
      </c>
      <c r="C94" s="4">
        <v>39848.857638888891</v>
      </c>
      <c r="D94" s="1" t="s">
        <v>54</v>
      </c>
      <c r="E94" s="1"/>
      <c r="F94" s="2" t="s">
        <v>765</v>
      </c>
      <c r="G94" s="1">
        <v>76</v>
      </c>
    </row>
    <row r="95" spans="1:7" ht="29">
      <c r="A95" s="1" t="s">
        <v>771</v>
      </c>
      <c r="B95" s="1" t="s">
        <v>680</v>
      </c>
      <c r="C95" s="4">
        <v>39848.911111111112</v>
      </c>
      <c r="D95" s="1" t="s">
        <v>772</v>
      </c>
      <c r="E95" s="1"/>
      <c r="F95" s="2" t="s">
        <v>773</v>
      </c>
      <c r="G95" s="1">
        <v>34</v>
      </c>
    </row>
    <row r="96" spans="1:7" ht="43">
      <c r="A96" s="1" t="s">
        <v>774</v>
      </c>
      <c r="B96" s="1" t="s">
        <v>680</v>
      </c>
      <c r="C96" s="4">
        <v>39848.953472222223</v>
      </c>
      <c r="D96" s="1" t="s">
        <v>101</v>
      </c>
      <c r="E96" s="1"/>
      <c r="F96" s="2" t="s">
        <v>775</v>
      </c>
      <c r="G96" s="1">
        <v>57</v>
      </c>
    </row>
    <row r="97" spans="1:7" ht="71">
      <c r="A97" s="1" t="s">
        <v>779</v>
      </c>
      <c r="B97" s="1" t="s">
        <v>160</v>
      </c>
      <c r="C97" s="4">
        <v>39848.959027777775</v>
      </c>
      <c r="D97" s="1" t="s">
        <v>14</v>
      </c>
      <c r="E97" s="1"/>
      <c r="F97" s="2" t="s">
        <v>781</v>
      </c>
      <c r="G97" s="1">
        <v>101</v>
      </c>
    </row>
    <row r="98" spans="1:7" ht="113">
      <c r="A98" s="1" t="s">
        <v>782</v>
      </c>
      <c r="B98" s="1" t="s">
        <v>680</v>
      </c>
      <c r="C98" s="4">
        <v>39848.963888888888</v>
      </c>
      <c r="D98" s="1" t="s">
        <v>14</v>
      </c>
      <c r="E98" s="1"/>
      <c r="F98" s="2" t="s">
        <v>784</v>
      </c>
      <c r="G98" s="1">
        <v>169</v>
      </c>
    </row>
    <row r="99" spans="1:7" ht="99">
      <c r="A99" s="1" t="s">
        <v>785</v>
      </c>
      <c r="B99" s="1" t="s">
        <v>156</v>
      </c>
      <c r="C99" s="4">
        <v>39848.970138888886</v>
      </c>
      <c r="D99" s="1" t="s">
        <v>14</v>
      </c>
      <c r="E99" s="1"/>
      <c r="F99" s="2" t="s">
        <v>787</v>
      </c>
      <c r="G99" s="1">
        <v>158</v>
      </c>
    </row>
    <row r="100" spans="1:7" ht="71">
      <c r="A100" s="1" t="s">
        <v>788</v>
      </c>
      <c r="B100" s="1" t="s">
        <v>680</v>
      </c>
      <c r="C100" s="4">
        <v>39849.026388888888</v>
      </c>
      <c r="D100" s="1" t="s">
        <v>54</v>
      </c>
      <c r="E100" s="1"/>
      <c r="F100" s="2" t="s">
        <v>790</v>
      </c>
      <c r="G100" s="1">
        <v>106</v>
      </c>
    </row>
    <row r="101" spans="1:7" ht="113">
      <c r="A101" s="1" t="s">
        <v>791</v>
      </c>
      <c r="B101" s="1" t="s">
        <v>160</v>
      </c>
      <c r="C101" s="4">
        <v>39849.171527777777</v>
      </c>
      <c r="D101" s="1" t="s">
        <v>54</v>
      </c>
      <c r="E101" s="1"/>
      <c r="F101" s="2" t="s">
        <v>795</v>
      </c>
      <c r="G101" s="1">
        <v>166</v>
      </c>
    </row>
    <row r="102" spans="1:7" ht="57">
      <c r="A102" s="1" t="s">
        <v>808</v>
      </c>
      <c r="B102" s="1" t="s">
        <v>160</v>
      </c>
      <c r="C102" s="4">
        <v>39849.253472222219</v>
      </c>
      <c r="D102" s="1" t="s">
        <v>320</v>
      </c>
      <c r="E102" s="1"/>
      <c r="F102" s="2" t="s">
        <v>810</v>
      </c>
      <c r="G102" s="1">
        <v>86</v>
      </c>
    </row>
    <row r="103" spans="1:7" ht="99">
      <c r="A103" s="1" t="s">
        <v>811</v>
      </c>
      <c r="B103" s="1" t="s">
        <v>160</v>
      </c>
      <c r="C103" s="4">
        <v>39849.3125</v>
      </c>
      <c r="D103" s="1" t="s">
        <v>196</v>
      </c>
      <c r="E103" s="1"/>
      <c r="F103" s="2" t="s">
        <v>813</v>
      </c>
      <c r="G103" s="1">
        <v>157</v>
      </c>
    </row>
    <row r="104" spans="1:7" ht="29">
      <c r="A104" s="1" t="s">
        <v>816</v>
      </c>
      <c r="B104" s="1" t="s">
        <v>160</v>
      </c>
      <c r="C104" s="4">
        <v>39849.338888888888</v>
      </c>
      <c r="D104" s="1" t="s">
        <v>196</v>
      </c>
      <c r="E104" s="1"/>
      <c r="F104" s="2" t="s">
        <v>817</v>
      </c>
      <c r="G104" s="1">
        <v>42</v>
      </c>
    </row>
    <row r="105" spans="1:7" ht="141">
      <c r="A105" s="1" t="s">
        <v>822</v>
      </c>
      <c r="B105" s="1" t="s">
        <v>160</v>
      </c>
      <c r="C105" s="4">
        <v>39849.455555555556</v>
      </c>
      <c r="D105" s="1" t="s">
        <v>14</v>
      </c>
      <c r="E105" s="1"/>
      <c r="F105" s="2" t="s">
        <v>824</v>
      </c>
      <c r="G105" s="1">
        <v>270</v>
      </c>
    </row>
    <row r="106" spans="1:7" ht="43">
      <c r="A106" s="1" t="s">
        <v>825</v>
      </c>
      <c r="B106" s="1" t="s">
        <v>160</v>
      </c>
      <c r="C106" s="4">
        <v>39849.480555555558</v>
      </c>
      <c r="D106" s="1" t="s">
        <v>14</v>
      </c>
      <c r="E106" s="1"/>
      <c r="F106" s="2" t="s">
        <v>828</v>
      </c>
      <c r="G106" s="1">
        <v>67</v>
      </c>
    </row>
    <row r="107" spans="1:7" ht="43">
      <c r="A107" s="1" t="s">
        <v>829</v>
      </c>
      <c r="B107" s="1" t="s">
        <v>680</v>
      </c>
      <c r="C107" s="4">
        <v>39849.693749999999</v>
      </c>
      <c r="D107" s="1" t="s">
        <v>830</v>
      </c>
      <c r="E107" s="1"/>
      <c r="F107" s="2" t="s">
        <v>832</v>
      </c>
      <c r="G107" s="1">
        <v>53</v>
      </c>
    </row>
    <row r="108" spans="1:7" ht="155">
      <c r="A108" s="1" t="s">
        <v>833</v>
      </c>
      <c r="B108" s="1" t="s">
        <v>160</v>
      </c>
      <c r="C108" s="4">
        <v>39849.715277777781</v>
      </c>
      <c r="D108" s="1" t="s">
        <v>14</v>
      </c>
      <c r="E108" s="1"/>
      <c r="F108" s="2" t="s">
        <v>835</v>
      </c>
      <c r="G108" s="1">
        <v>280</v>
      </c>
    </row>
    <row r="109" spans="1:7" ht="197">
      <c r="A109" s="1" t="s">
        <v>839</v>
      </c>
      <c r="B109" s="1" t="s">
        <v>160</v>
      </c>
      <c r="C109" s="4">
        <v>39849.747916666667</v>
      </c>
      <c r="D109" s="1" t="s">
        <v>14</v>
      </c>
      <c r="E109" s="1"/>
      <c r="F109" s="2" t="s">
        <v>841</v>
      </c>
      <c r="G109" s="1">
        <v>336</v>
      </c>
    </row>
    <row r="110" spans="1:7">
      <c r="A110" s="1" t="s">
        <v>845</v>
      </c>
      <c r="B110" s="1" t="s">
        <v>846</v>
      </c>
      <c r="C110" s="4">
        <v>39849.779861111114</v>
      </c>
      <c r="D110" s="1" t="s">
        <v>847</v>
      </c>
      <c r="E110" s="1"/>
      <c r="F110" s="2" t="s">
        <v>848</v>
      </c>
      <c r="G110" s="1">
        <v>18</v>
      </c>
    </row>
    <row r="111" spans="1:7" ht="29">
      <c r="A111" s="1" t="s">
        <v>884</v>
      </c>
      <c r="B111" s="1" t="s">
        <v>160</v>
      </c>
      <c r="C111" s="4">
        <v>39849.993055555555</v>
      </c>
      <c r="D111" s="1" t="s">
        <v>320</v>
      </c>
      <c r="E111" s="1"/>
      <c r="F111" s="2" t="s">
        <v>885</v>
      </c>
      <c r="G111" s="1">
        <v>46</v>
      </c>
    </row>
    <row r="112" spans="1:7" ht="409.6">
      <c r="A112" s="1" t="s">
        <v>12</v>
      </c>
      <c r="B112" s="1" t="s">
        <v>846</v>
      </c>
      <c r="C112" s="4">
        <v>39850.045520833337</v>
      </c>
      <c r="D112" s="1" t="s">
        <v>175</v>
      </c>
      <c r="E112" s="1"/>
      <c r="F112" s="2" t="s">
        <v>888</v>
      </c>
      <c r="G112" s="1">
        <v>1489</v>
      </c>
    </row>
    <row r="113" spans="1:7" ht="127">
      <c r="A113" s="1" t="s">
        <v>889</v>
      </c>
      <c r="B113" s="1" t="s">
        <v>160</v>
      </c>
      <c r="C113" s="4">
        <v>39850.086111111108</v>
      </c>
      <c r="D113" s="1" t="s">
        <v>14</v>
      </c>
      <c r="E113" s="1"/>
      <c r="F113" s="2" t="s">
        <v>892</v>
      </c>
      <c r="G113" s="1">
        <v>221</v>
      </c>
    </row>
    <row r="114" spans="1:7" ht="43">
      <c r="A114" s="1" t="s">
        <v>893</v>
      </c>
      <c r="B114" s="1" t="s">
        <v>160</v>
      </c>
      <c r="C114" s="4">
        <v>39850.087500000001</v>
      </c>
      <c r="D114" s="1" t="s">
        <v>54</v>
      </c>
      <c r="E114" s="1"/>
      <c r="F114" s="2" t="s">
        <v>895</v>
      </c>
      <c r="G114" s="1">
        <v>30</v>
      </c>
    </row>
    <row r="115" spans="1:7" ht="113">
      <c r="A115" s="1" t="s">
        <v>899</v>
      </c>
      <c r="B115" s="1" t="s">
        <v>846</v>
      </c>
      <c r="C115" s="4">
        <v>39850.097222222219</v>
      </c>
      <c r="D115" s="1" t="s">
        <v>416</v>
      </c>
      <c r="E115" s="1"/>
      <c r="F115" s="2" t="s">
        <v>902</v>
      </c>
      <c r="G115" s="1">
        <v>146</v>
      </c>
    </row>
    <row r="116" spans="1:7" ht="127">
      <c r="A116" s="1" t="s">
        <v>905</v>
      </c>
      <c r="B116" s="1" t="s">
        <v>160</v>
      </c>
      <c r="C116" s="4">
        <v>39850.255555555559</v>
      </c>
      <c r="D116" s="1" t="s">
        <v>906</v>
      </c>
      <c r="E116" s="1"/>
      <c r="F116" s="2" t="s">
        <v>908</v>
      </c>
      <c r="G116" s="1">
        <v>188</v>
      </c>
    </row>
    <row r="117" spans="1:7" ht="113">
      <c r="A117" s="1" t="s">
        <v>909</v>
      </c>
      <c r="B117" s="1" t="s">
        <v>160</v>
      </c>
      <c r="C117" s="4">
        <v>39850.283333333333</v>
      </c>
      <c r="D117" s="1" t="s">
        <v>196</v>
      </c>
      <c r="E117" s="1"/>
      <c r="F117" s="2" t="s">
        <v>911</v>
      </c>
      <c r="G117" s="1">
        <v>151</v>
      </c>
    </row>
    <row r="118" spans="1:7">
      <c r="A118" s="1" t="s">
        <v>912</v>
      </c>
      <c r="B118" s="1" t="s">
        <v>160</v>
      </c>
      <c r="C118" s="4">
        <v>39850.286805555559</v>
      </c>
      <c r="D118" s="1" t="s">
        <v>913</v>
      </c>
      <c r="E118" s="1"/>
      <c r="F118" s="2" t="s">
        <v>915</v>
      </c>
      <c r="G118" s="1">
        <v>16</v>
      </c>
    </row>
    <row r="119" spans="1:7" ht="71">
      <c r="A119" s="1" t="s">
        <v>932</v>
      </c>
      <c r="B119" s="1" t="s">
        <v>160</v>
      </c>
      <c r="C119" s="4">
        <v>39850.42083333333</v>
      </c>
      <c r="D119" s="1" t="s">
        <v>14</v>
      </c>
      <c r="E119" s="1"/>
      <c r="F119" s="2" t="s">
        <v>933</v>
      </c>
      <c r="G119" s="1">
        <v>94</v>
      </c>
    </row>
    <row r="120" spans="1:7" ht="169">
      <c r="A120" s="1" t="s">
        <v>934</v>
      </c>
      <c r="B120" s="1" t="s">
        <v>926</v>
      </c>
      <c r="C120" s="4">
        <v>39850.469444444447</v>
      </c>
      <c r="D120" s="1" t="s">
        <v>14</v>
      </c>
      <c r="E120" s="1"/>
      <c r="F120" s="2" t="s">
        <v>936</v>
      </c>
      <c r="G120" s="1">
        <v>292</v>
      </c>
    </row>
    <row r="121" spans="1:7" ht="127">
      <c r="A121" s="1" t="s">
        <v>937</v>
      </c>
      <c r="B121" s="1" t="s">
        <v>926</v>
      </c>
      <c r="C121" s="4">
        <v>39850.478472222225</v>
      </c>
      <c r="D121" s="1" t="s">
        <v>14</v>
      </c>
      <c r="E121" s="1"/>
      <c r="F121" s="2" t="s">
        <v>938</v>
      </c>
      <c r="G121" s="1">
        <v>236</v>
      </c>
    </row>
    <row r="122" spans="1:7" ht="197">
      <c r="A122" s="1" t="s">
        <v>941</v>
      </c>
      <c r="B122" s="1" t="s">
        <v>926</v>
      </c>
      <c r="C122" s="4">
        <v>39850.518055555556</v>
      </c>
      <c r="D122" s="1" t="s">
        <v>14</v>
      </c>
      <c r="E122" s="1"/>
      <c r="F122" s="2" t="s">
        <v>942</v>
      </c>
      <c r="G122" s="1">
        <v>334</v>
      </c>
    </row>
    <row r="123" spans="1:7" ht="57">
      <c r="A123" s="1" t="s">
        <v>943</v>
      </c>
      <c r="B123" s="1" t="s">
        <v>926</v>
      </c>
      <c r="C123" s="4">
        <v>39850.525000000001</v>
      </c>
      <c r="D123" s="1" t="s">
        <v>14</v>
      </c>
      <c r="E123" s="1"/>
      <c r="F123" s="2" t="s">
        <v>944</v>
      </c>
      <c r="G123" s="1">
        <v>94</v>
      </c>
    </row>
    <row r="124" spans="1:7" ht="99">
      <c r="A124" s="1" t="s">
        <v>945</v>
      </c>
      <c r="B124" s="1" t="s">
        <v>926</v>
      </c>
      <c r="C124" s="4">
        <v>39850.538888888892</v>
      </c>
      <c r="D124" s="1" t="s">
        <v>14</v>
      </c>
      <c r="E124" s="1"/>
      <c r="F124" s="2" t="s">
        <v>946</v>
      </c>
      <c r="G124" s="1">
        <v>166</v>
      </c>
    </row>
    <row r="125" spans="1:7" ht="29">
      <c r="A125" s="1" t="s">
        <v>947</v>
      </c>
      <c r="B125" s="1" t="s">
        <v>926</v>
      </c>
      <c r="C125" s="4">
        <v>39850.552777777775</v>
      </c>
      <c r="D125" s="1" t="s">
        <v>14</v>
      </c>
      <c r="E125" s="1"/>
      <c r="F125" s="2" t="s">
        <v>948</v>
      </c>
      <c r="G125" s="1">
        <v>41</v>
      </c>
    </row>
    <row r="126" spans="1:7" ht="169">
      <c r="A126" s="1" t="s">
        <v>949</v>
      </c>
      <c r="B126" s="1" t="s">
        <v>926</v>
      </c>
      <c r="C126" s="4">
        <v>39850.568055555559</v>
      </c>
      <c r="D126" s="1" t="s">
        <v>14</v>
      </c>
      <c r="E126" s="1"/>
      <c r="F126" s="2" t="s">
        <v>950</v>
      </c>
      <c r="G126" s="1">
        <v>284</v>
      </c>
    </row>
    <row r="127" spans="1:7" ht="99">
      <c r="A127" s="1" t="s">
        <v>951</v>
      </c>
      <c r="B127" s="1" t="s">
        <v>926</v>
      </c>
      <c r="C127" s="4">
        <v>39850.582638888889</v>
      </c>
      <c r="D127" s="1" t="s">
        <v>14</v>
      </c>
      <c r="E127" s="1"/>
      <c r="F127" s="2" t="s">
        <v>952</v>
      </c>
      <c r="G127" s="1">
        <v>168</v>
      </c>
    </row>
    <row r="128" spans="1:7" ht="71">
      <c r="A128" s="1" t="s">
        <v>953</v>
      </c>
      <c r="B128" s="1" t="s">
        <v>926</v>
      </c>
      <c r="C128" s="4">
        <v>39850.634722222225</v>
      </c>
      <c r="D128" s="1" t="s">
        <v>320</v>
      </c>
      <c r="E128" s="1"/>
      <c r="F128" s="2" t="s">
        <v>956</v>
      </c>
      <c r="G128" s="1">
        <v>99</v>
      </c>
    </row>
    <row r="129" spans="1:7" ht="85">
      <c r="A129" s="1" t="s">
        <v>959</v>
      </c>
      <c r="B129" s="1" t="s">
        <v>926</v>
      </c>
      <c r="C129" s="4">
        <v>39850.700694444444</v>
      </c>
      <c r="D129" s="1" t="s">
        <v>14</v>
      </c>
      <c r="E129" s="1"/>
      <c r="F129" s="2" t="s">
        <v>961</v>
      </c>
      <c r="G129" s="1">
        <v>123</v>
      </c>
    </row>
    <row r="130" spans="1:7" ht="29">
      <c r="A130" s="1" t="s">
        <v>964</v>
      </c>
      <c r="B130" s="1" t="s">
        <v>926</v>
      </c>
      <c r="C130" s="4">
        <v>39850.71597222222</v>
      </c>
      <c r="D130" s="1" t="s">
        <v>84</v>
      </c>
      <c r="E130" s="1"/>
      <c r="F130" s="2" t="s">
        <v>966</v>
      </c>
      <c r="G130" s="1">
        <v>44</v>
      </c>
    </row>
    <row r="131" spans="1:7" ht="169">
      <c r="A131" s="1" t="s">
        <v>967</v>
      </c>
      <c r="B131" s="1" t="s">
        <v>926</v>
      </c>
      <c r="C131" s="4">
        <v>39850.717361111114</v>
      </c>
      <c r="D131" s="1" t="s">
        <v>14</v>
      </c>
      <c r="E131" s="1"/>
      <c r="F131" s="2" t="s">
        <v>969</v>
      </c>
      <c r="G131" s="1">
        <v>306</v>
      </c>
    </row>
    <row r="132" spans="1:7">
      <c r="A132" s="1" t="s">
        <v>970</v>
      </c>
      <c r="B132" s="1" t="s">
        <v>926</v>
      </c>
      <c r="C132" s="4">
        <v>39850.71875</v>
      </c>
      <c r="D132" s="1" t="s">
        <v>84</v>
      </c>
      <c r="E132" s="1"/>
      <c r="F132" s="2" t="s">
        <v>971</v>
      </c>
      <c r="G132" s="1">
        <v>25</v>
      </c>
    </row>
    <row r="133" spans="1:7" ht="113">
      <c r="A133" s="1" t="s">
        <v>978</v>
      </c>
      <c r="B133" s="1" t="s">
        <v>926</v>
      </c>
      <c r="C133" s="4">
        <v>39850.759722222225</v>
      </c>
      <c r="D133" s="1" t="s">
        <v>14</v>
      </c>
      <c r="E133" s="1"/>
      <c r="F133" s="2" t="s">
        <v>980</v>
      </c>
      <c r="G133" s="1">
        <v>195</v>
      </c>
    </row>
    <row r="134" spans="1:7" ht="141">
      <c r="A134" s="1" t="s">
        <v>981</v>
      </c>
      <c r="B134" s="3" t="s">
        <v>13</v>
      </c>
      <c r="C134" s="4">
        <v>39850.771527777775</v>
      </c>
      <c r="D134" s="1" t="s">
        <v>982</v>
      </c>
      <c r="E134" s="1"/>
      <c r="F134" s="2" t="s">
        <v>984</v>
      </c>
      <c r="G134" s="1">
        <v>181</v>
      </c>
    </row>
    <row r="135" spans="1:7" ht="57">
      <c r="A135" s="1" t="s">
        <v>985</v>
      </c>
      <c r="B135" s="1" t="s">
        <v>846</v>
      </c>
      <c r="C135" s="4">
        <v>39850.771527777775</v>
      </c>
      <c r="D135" s="1" t="s">
        <v>84</v>
      </c>
      <c r="E135" s="1"/>
      <c r="F135" s="2" t="s">
        <v>987</v>
      </c>
      <c r="G135" s="1">
        <v>61</v>
      </c>
    </row>
    <row r="136" spans="1:7" ht="71">
      <c r="A136" s="1" t="s">
        <v>988</v>
      </c>
      <c r="B136" s="1" t="s">
        <v>926</v>
      </c>
      <c r="C136" s="4">
        <v>39850.772916666669</v>
      </c>
      <c r="D136" s="1" t="s">
        <v>196</v>
      </c>
      <c r="E136" s="1"/>
      <c r="F136" s="2" t="s">
        <v>990</v>
      </c>
      <c r="G136" s="1">
        <v>108</v>
      </c>
    </row>
    <row r="137" spans="1:7" ht="127">
      <c r="A137" s="1" t="s">
        <v>994</v>
      </c>
      <c r="B137" s="1" t="s">
        <v>846</v>
      </c>
      <c r="C137" s="4">
        <v>39850.803472222222</v>
      </c>
      <c r="D137" s="1" t="s">
        <v>54</v>
      </c>
      <c r="E137" s="1"/>
      <c r="F137" s="2" t="s">
        <v>995</v>
      </c>
      <c r="G137" s="1">
        <v>205</v>
      </c>
    </row>
    <row r="138" spans="1:7" ht="29">
      <c r="A138" s="1" t="s">
        <v>996</v>
      </c>
      <c r="B138" s="1" t="s">
        <v>926</v>
      </c>
      <c r="C138" s="4">
        <v>39850.809027777781</v>
      </c>
      <c r="D138" s="1" t="s">
        <v>320</v>
      </c>
      <c r="E138" s="1"/>
      <c r="F138" s="2" t="s">
        <v>997</v>
      </c>
      <c r="G138" s="1">
        <v>42</v>
      </c>
    </row>
    <row r="139" spans="1:7" ht="57">
      <c r="A139" s="1" t="s">
        <v>998</v>
      </c>
      <c r="B139" s="1" t="s">
        <v>926</v>
      </c>
      <c r="C139" s="4">
        <v>39850.811111111114</v>
      </c>
      <c r="D139" s="1" t="s">
        <v>196</v>
      </c>
      <c r="E139" s="1"/>
      <c r="F139" s="2" t="s">
        <v>1000</v>
      </c>
      <c r="G139" s="1">
        <v>71</v>
      </c>
    </row>
    <row r="140" spans="1:7" ht="113">
      <c r="A140" s="1" t="s">
        <v>1007</v>
      </c>
      <c r="B140" s="1" t="s">
        <v>926</v>
      </c>
      <c r="C140" s="4">
        <v>39850.838888888888</v>
      </c>
      <c r="D140" s="1" t="s">
        <v>14</v>
      </c>
      <c r="E140" s="1"/>
      <c r="F140" s="2" t="s">
        <v>1008</v>
      </c>
      <c r="G140" s="1">
        <v>188</v>
      </c>
    </row>
    <row r="141" spans="1:7" ht="57">
      <c r="A141" s="1" t="s">
        <v>1016</v>
      </c>
      <c r="B141" s="1" t="s">
        <v>926</v>
      </c>
      <c r="C141" s="4">
        <v>39850.904861111114</v>
      </c>
      <c r="D141" s="1" t="s">
        <v>14</v>
      </c>
      <c r="E141" s="1"/>
      <c r="F141" s="2" t="s">
        <v>1019</v>
      </c>
      <c r="G141" s="1">
        <v>96</v>
      </c>
    </row>
    <row r="142" spans="1:7" ht="307">
      <c r="A142" s="1" t="s">
        <v>1026</v>
      </c>
      <c r="B142" s="1" t="s">
        <v>926</v>
      </c>
      <c r="C142" s="4">
        <v>39850.994444444441</v>
      </c>
      <c r="D142" s="1" t="s">
        <v>14</v>
      </c>
      <c r="E142" s="1"/>
      <c r="F142" s="2" t="s">
        <v>1028</v>
      </c>
      <c r="G142" s="1">
        <v>542</v>
      </c>
    </row>
    <row r="143" spans="1:7" ht="71">
      <c r="A143" s="1" t="s">
        <v>1031</v>
      </c>
      <c r="B143" s="1" t="s">
        <v>846</v>
      </c>
      <c r="C143" s="4">
        <v>39851.027777777781</v>
      </c>
      <c r="D143" s="1" t="s">
        <v>1032</v>
      </c>
      <c r="E143" s="1"/>
      <c r="F143" s="2" t="s">
        <v>1034</v>
      </c>
      <c r="G143" s="1">
        <v>84</v>
      </c>
    </row>
    <row r="144" spans="1:7" ht="71">
      <c r="A144" s="1" t="s">
        <v>1035</v>
      </c>
      <c r="B144" s="1" t="s">
        <v>926</v>
      </c>
      <c r="C144" s="4">
        <v>39851.074999999997</v>
      </c>
      <c r="D144" s="1" t="s">
        <v>14</v>
      </c>
      <c r="E144" s="1"/>
      <c r="F144" s="2" t="s">
        <v>1036</v>
      </c>
      <c r="G144" s="1">
        <v>110</v>
      </c>
    </row>
    <row r="145" spans="1:7" ht="169">
      <c r="A145" s="1" t="s">
        <v>1041</v>
      </c>
      <c r="B145" s="1" t="s">
        <v>926</v>
      </c>
      <c r="C145" s="4">
        <v>39851.28402777778</v>
      </c>
      <c r="D145" s="1" t="s">
        <v>196</v>
      </c>
      <c r="E145" s="1"/>
      <c r="F145" s="2" t="s">
        <v>1043</v>
      </c>
      <c r="G145" s="1">
        <v>267</v>
      </c>
    </row>
    <row r="146" spans="1:7" ht="29">
      <c r="A146" s="1" t="s">
        <v>1044</v>
      </c>
      <c r="B146" s="1" t="s">
        <v>926</v>
      </c>
      <c r="C146" s="4">
        <v>39851.292361111111</v>
      </c>
      <c r="D146" s="1" t="s">
        <v>196</v>
      </c>
      <c r="E146" s="1"/>
      <c r="F146" s="2" t="s">
        <v>1045</v>
      </c>
      <c r="G146" s="1">
        <v>24</v>
      </c>
    </row>
    <row r="147" spans="1:7" ht="29">
      <c r="A147" s="1" t="s">
        <v>1052</v>
      </c>
      <c r="B147" s="1" t="s">
        <v>846</v>
      </c>
      <c r="C147" s="4">
        <v>39851.37222222222</v>
      </c>
      <c r="D147" s="1" t="s">
        <v>54</v>
      </c>
      <c r="E147" s="1"/>
      <c r="F147" s="2" t="s">
        <v>1054</v>
      </c>
      <c r="G147" s="1">
        <v>39</v>
      </c>
    </row>
    <row r="148" spans="1:7">
      <c r="A148" s="1" t="s">
        <v>1055</v>
      </c>
      <c r="B148" s="1" t="s">
        <v>846</v>
      </c>
      <c r="C148" s="4">
        <v>39851.38958333333</v>
      </c>
      <c r="D148" s="1" t="s">
        <v>84</v>
      </c>
      <c r="E148" s="1"/>
      <c r="F148" s="2" t="s">
        <v>1056</v>
      </c>
      <c r="G148" s="1">
        <v>10</v>
      </c>
    </row>
    <row r="149" spans="1:7">
      <c r="A149" s="1" t="s">
        <v>1057</v>
      </c>
      <c r="B149" s="1" t="s">
        <v>846</v>
      </c>
      <c r="C149" s="4">
        <v>39851.394444444442</v>
      </c>
      <c r="D149" s="1" t="s">
        <v>474</v>
      </c>
      <c r="E149" s="1"/>
      <c r="F149" s="2" t="s">
        <v>1058</v>
      </c>
      <c r="G149" s="1">
        <v>23</v>
      </c>
    </row>
    <row r="150" spans="1:7" ht="29">
      <c r="A150" s="1" t="s">
        <v>1059</v>
      </c>
      <c r="B150" s="1" t="s">
        <v>846</v>
      </c>
      <c r="C150" s="4">
        <v>39851.40625</v>
      </c>
      <c r="D150" s="1" t="s">
        <v>54</v>
      </c>
      <c r="E150" s="1"/>
      <c r="F150" s="2" t="s">
        <v>1060</v>
      </c>
      <c r="G150" s="1">
        <v>28</v>
      </c>
    </row>
    <row r="151" spans="1:7" ht="211">
      <c r="A151" s="1" t="s">
        <v>1072</v>
      </c>
      <c r="B151" s="3" t="s">
        <v>13</v>
      </c>
      <c r="C151" s="4">
        <v>39851.510416666664</v>
      </c>
      <c r="D151" s="1" t="s">
        <v>1073</v>
      </c>
      <c r="E151" s="1"/>
      <c r="F151" s="2" t="s">
        <v>1074</v>
      </c>
      <c r="G151" s="1">
        <v>339</v>
      </c>
    </row>
    <row r="152" spans="1:7" ht="294">
      <c r="A152" s="1" t="s">
        <v>1075</v>
      </c>
      <c r="B152" s="3" t="s">
        <v>13</v>
      </c>
      <c r="C152" s="4">
        <v>39851.540277777778</v>
      </c>
      <c r="D152" s="1" t="s">
        <v>1073</v>
      </c>
      <c r="E152" s="1"/>
      <c r="F152" s="2" t="s">
        <v>1076</v>
      </c>
      <c r="G152" s="1">
        <v>487</v>
      </c>
    </row>
    <row r="153" spans="1:7" ht="141">
      <c r="A153" s="1" t="s">
        <v>1077</v>
      </c>
      <c r="B153" s="3" t="s">
        <v>13</v>
      </c>
      <c r="C153" s="4">
        <v>39851.542361111111</v>
      </c>
      <c r="D153" s="1" t="s">
        <v>1078</v>
      </c>
      <c r="E153" s="1"/>
      <c r="F153" s="2" t="s">
        <v>1080</v>
      </c>
      <c r="G153" s="1">
        <v>49</v>
      </c>
    </row>
    <row r="154" spans="1:7" ht="183">
      <c r="A154" s="1" t="s">
        <v>1081</v>
      </c>
      <c r="B154" s="3" t="s">
        <v>13</v>
      </c>
      <c r="C154" s="4">
        <v>39851.561111111114</v>
      </c>
      <c r="D154" s="1" t="s">
        <v>1073</v>
      </c>
      <c r="E154" s="1"/>
      <c r="F154" s="2" t="s">
        <v>1084</v>
      </c>
      <c r="G154" s="1">
        <v>278</v>
      </c>
    </row>
    <row r="155" spans="1:7" ht="57">
      <c r="A155" s="1" t="s">
        <v>1088</v>
      </c>
      <c r="B155" s="1" t="s">
        <v>846</v>
      </c>
      <c r="C155" s="4">
        <v>39851.57916666667</v>
      </c>
      <c r="D155" s="1" t="s">
        <v>1089</v>
      </c>
      <c r="E155" s="1"/>
      <c r="F155" s="2" t="s">
        <v>1090</v>
      </c>
      <c r="G155" s="1">
        <v>32</v>
      </c>
    </row>
    <row r="156" spans="1:7" ht="127">
      <c r="A156" s="1" t="s">
        <v>1091</v>
      </c>
      <c r="B156" s="3" t="s">
        <v>13</v>
      </c>
      <c r="C156" s="4">
        <v>39851.590277777781</v>
      </c>
      <c r="D156" s="1" t="s">
        <v>688</v>
      </c>
      <c r="E156" s="1"/>
      <c r="F156" s="2" t="s">
        <v>1092</v>
      </c>
      <c r="G156" s="1">
        <v>151</v>
      </c>
    </row>
    <row r="157" spans="1:7" ht="85">
      <c r="A157" s="1" t="s">
        <v>1106</v>
      </c>
      <c r="B157" s="1" t="s">
        <v>926</v>
      </c>
      <c r="C157" s="4">
        <v>39851.79791666667</v>
      </c>
      <c r="D157" s="1" t="s">
        <v>474</v>
      </c>
      <c r="E157" s="1"/>
      <c r="F157" s="2" t="s">
        <v>1109</v>
      </c>
      <c r="G157" s="1">
        <v>120</v>
      </c>
    </row>
    <row r="158" spans="1:7" ht="57">
      <c r="A158" s="1" t="s">
        <v>1110</v>
      </c>
      <c r="B158" s="1" t="s">
        <v>846</v>
      </c>
      <c r="C158" s="4">
        <v>39851.893055555556</v>
      </c>
      <c r="D158" s="1" t="s">
        <v>1089</v>
      </c>
      <c r="E158" s="1"/>
      <c r="F158" s="2" t="s">
        <v>1111</v>
      </c>
      <c r="G158" s="1">
        <v>66</v>
      </c>
    </row>
    <row r="159" spans="1:7">
      <c r="A159" s="1" t="s">
        <v>1120</v>
      </c>
      <c r="B159" s="1" t="s">
        <v>926</v>
      </c>
      <c r="C159" s="4">
        <v>39851.984027777777</v>
      </c>
      <c r="D159" s="1" t="s">
        <v>393</v>
      </c>
      <c r="E159" s="1"/>
      <c r="F159" s="2" t="s">
        <v>1121</v>
      </c>
      <c r="G159" s="1">
        <v>11</v>
      </c>
    </row>
    <row r="160" spans="1:7" ht="71">
      <c r="A160" s="1" t="s">
        <v>1125</v>
      </c>
      <c r="B160" s="1" t="s">
        <v>926</v>
      </c>
      <c r="C160" s="4">
        <v>39852.002083333333</v>
      </c>
      <c r="D160" s="1" t="s">
        <v>196</v>
      </c>
      <c r="E160" s="1"/>
      <c r="F160" s="2" t="s">
        <v>1128</v>
      </c>
      <c r="G160" s="1">
        <v>111</v>
      </c>
    </row>
    <row r="161" spans="1:7" ht="155">
      <c r="A161" s="1" t="s">
        <v>1129</v>
      </c>
      <c r="B161" s="1" t="s">
        <v>846</v>
      </c>
      <c r="C161" s="4">
        <v>39852.009027777778</v>
      </c>
      <c r="D161" s="1" t="s">
        <v>1089</v>
      </c>
      <c r="E161" s="1"/>
      <c r="F161" s="2" t="s">
        <v>1130</v>
      </c>
      <c r="G161" s="1">
        <v>109</v>
      </c>
    </row>
    <row r="162" spans="1:7" ht="43">
      <c r="A162" s="1" t="s">
        <v>1131</v>
      </c>
      <c r="B162" s="1" t="s">
        <v>926</v>
      </c>
      <c r="C162" s="4">
        <v>39852.011805555558</v>
      </c>
      <c r="D162" s="1" t="s">
        <v>393</v>
      </c>
      <c r="E162" s="1"/>
      <c r="F162" s="2" t="s">
        <v>1133</v>
      </c>
      <c r="G162" s="1">
        <v>49</v>
      </c>
    </row>
    <row r="163" spans="1:7" ht="57">
      <c r="A163" s="1" t="s">
        <v>1142</v>
      </c>
      <c r="B163" s="1" t="s">
        <v>926</v>
      </c>
      <c r="C163" s="4">
        <v>39852.085416666669</v>
      </c>
      <c r="D163" s="1" t="s">
        <v>196</v>
      </c>
      <c r="E163" s="1"/>
      <c r="F163" s="2" t="s">
        <v>1144</v>
      </c>
      <c r="G163" s="1">
        <v>97</v>
      </c>
    </row>
    <row r="164" spans="1:7" ht="29">
      <c r="A164" s="1" t="s">
        <v>1145</v>
      </c>
      <c r="B164" s="1" t="s">
        <v>926</v>
      </c>
      <c r="C164" s="4">
        <v>39852.093055555553</v>
      </c>
      <c r="D164" s="1" t="s">
        <v>196</v>
      </c>
      <c r="E164" s="1"/>
      <c r="F164" s="2" t="s">
        <v>1148</v>
      </c>
      <c r="G164" s="1">
        <v>26</v>
      </c>
    </row>
    <row r="165" spans="1:7">
      <c r="A165" s="1" t="s">
        <v>1155</v>
      </c>
      <c r="B165" s="1" t="s">
        <v>926</v>
      </c>
      <c r="C165" s="4">
        <v>39852.105555555558</v>
      </c>
      <c r="D165" s="1" t="s">
        <v>14</v>
      </c>
      <c r="E165" s="1"/>
      <c r="F165" s="2" t="s">
        <v>1156</v>
      </c>
      <c r="G165" s="1">
        <v>13</v>
      </c>
    </row>
    <row r="166" spans="1:7" ht="71">
      <c r="A166" s="1" t="s">
        <v>1157</v>
      </c>
      <c r="B166" s="1" t="s">
        <v>846</v>
      </c>
      <c r="C166" s="4">
        <v>39852.14166666667</v>
      </c>
      <c r="D166" s="1" t="s">
        <v>474</v>
      </c>
      <c r="E166" s="1"/>
      <c r="F166" s="2" t="s">
        <v>1159</v>
      </c>
      <c r="G166" s="1">
        <v>114</v>
      </c>
    </row>
    <row r="167" spans="1:7" ht="57">
      <c r="A167" s="1" t="s">
        <v>1169</v>
      </c>
      <c r="B167" s="1" t="s">
        <v>846</v>
      </c>
      <c r="C167" s="4">
        <v>39852.339583333334</v>
      </c>
      <c r="D167" s="1" t="s">
        <v>54</v>
      </c>
      <c r="E167" s="1"/>
      <c r="F167" s="2" t="s">
        <v>1171</v>
      </c>
      <c r="G167" s="1">
        <v>77</v>
      </c>
    </row>
    <row r="168" spans="1:7" ht="71">
      <c r="A168" s="1" t="s">
        <v>1172</v>
      </c>
      <c r="B168" s="1" t="s">
        <v>926</v>
      </c>
      <c r="C168" s="4">
        <v>39852.35833333333</v>
      </c>
      <c r="D168" s="1" t="s">
        <v>196</v>
      </c>
      <c r="E168" s="1"/>
      <c r="F168" s="2" t="s">
        <v>1174</v>
      </c>
      <c r="G168" s="1">
        <v>126</v>
      </c>
    </row>
    <row r="169" spans="1:7" ht="99">
      <c r="A169" s="1" t="s">
        <v>1175</v>
      </c>
      <c r="B169" s="1" t="s">
        <v>926</v>
      </c>
      <c r="C169" s="4">
        <v>39852.364583333336</v>
      </c>
      <c r="D169" s="1" t="s">
        <v>196</v>
      </c>
      <c r="E169" s="1"/>
      <c r="F169" s="2" t="s">
        <v>1176</v>
      </c>
      <c r="G169" s="1">
        <v>170</v>
      </c>
    </row>
    <row r="170" spans="1:7" ht="294">
      <c r="A170" s="1" t="s">
        <v>1177</v>
      </c>
      <c r="B170" s="3" t="s">
        <v>13</v>
      </c>
      <c r="C170" s="4">
        <v>39852.477083333331</v>
      </c>
      <c r="D170" s="1" t="s">
        <v>1073</v>
      </c>
      <c r="E170" s="1"/>
      <c r="F170" s="2" t="s">
        <v>1179</v>
      </c>
      <c r="G170" s="1">
        <v>475</v>
      </c>
    </row>
    <row r="171" spans="1:7">
      <c r="A171" s="1" t="s">
        <v>1180</v>
      </c>
      <c r="B171" s="3" t="s">
        <v>13</v>
      </c>
      <c r="C171" s="4">
        <v>39852.484722222223</v>
      </c>
      <c r="D171" s="1" t="s">
        <v>101</v>
      </c>
      <c r="E171" s="1"/>
      <c r="F171" s="2" t="s">
        <v>1182</v>
      </c>
      <c r="G171" s="1">
        <v>15</v>
      </c>
    </row>
    <row r="172" spans="1:7" ht="57">
      <c r="A172" s="1" t="s">
        <v>1183</v>
      </c>
      <c r="B172" s="1" t="s">
        <v>926</v>
      </c>
      <c r="C172" s="4">
        <v>39852.493750000001</v>
      </c>
      <c r="D172" s="1" t="s">
        <v>14</v>
      </c>
      <c r="E172" s="1"/>
      <c r="F172" s="2" t="s">
        <v>1184</v>
      </c>
      <c r="G172" s="1">
        <v>93</v>
      </c>
    </row>
    <row r="173" spans="1:7">
      <c r="A173" s="1" t="s">
        <v>1194</v>
      </c>
      <c r="B173" s="1" t="s">
        <v>846</v>
      </c>
      <c r="C173" s="4">
        <v>39852.574305555558</v>
      </c>
      <c r="D173" s="1" t="s">
        <v>84</v>
      </c>
      <c r="E173" s="1"/>
      <c r="F173" s="2" t="s">
        <v>1195</v>
      </c>
      <c r="G173" s="1">
        <v>11</v>
      </c>
    </row>
    <row r="174" spans="1:7" ht="409.6">
      <c r="A174" s="1" t="s">
        <v>12</v>
      </c>
      <c r="B174" s="1" t="s">
        <v>1196</v>
      </c>
      <c r="C174" s="4">
        <v>39852.662118055552</v>
      </c>
      <c r="D174" s="1" t="s">
        <v>14</v>
      </c>
      <c r="E174" s="1"/>
      <c r="F174" s="2" t="s">
        <v>1197</v>
      </c>
      <c r="G174" s="1">
        <v>2466</v>
      </c>
    </row>
    <row r="175" spans="1:7" ht="183">
      <c r="A175" s="1" t="s">
        <v>1198</v>
      </c>
      <c r="B175" s="3" t="s">
        <v>13</v>
      </c>
      <c r="C175" s="4">
        <v>39852.727777777778</v>
      </c>
      <c r="D175" s="1" t="s">
        <v>913</v>
      </c>
      <c r="E175" s="1"/>
      <c r="F175" s="2" t="s">
        <v>1199</v>
      </c>
      <c r="G175" s="1">
        <v>263</v>
      </c>
    </row>
    <row r="176" spans="1:7" ht="29">
      <c r="A176" s="1" t="s">
        <v>1200</v>
      </c>
      <c r="B176" s="3" t="s">
        <v>13</v>
      </c>
      <c r="C176" s="4">
        <v>39852.736111111109</v>
      </c>
      <c r="D176" s="1" t="s">
        <v>913</v>
      </c>
      <c r="E176" s="1"/>
      <c r="F176" s="2" t="s">
        <v>1202</v>
      </c>
      <c r="G176" s="1">
        <v>34</v>
      </c>
    </row>
    <row r="177" spans="1:7" ht="267">
      <c r="A177" s="1" t="s">
        <v>1203</v>
      </c>
      <c r="B177" s="1" t="s">
        <v>1196</v>
      </c>
      <c r="C177" s="4">
        <v>39852.755555555559</v>
      </c>
      <c r="D177" s="1" t="s">
        <v>14</v>
      </c>
      <c r="E177" s="1"/>
      <c r="F177" s="2" t="s">
        <v>1205</v>
      </c>
      <c r="G177" s="1">
        <v>474</v>
      </c>
    </row>
    <row r="178" spans="1:7" ht="43">
      <c r="A178" s="1" t="s">
        <v>1206</v>
      </c>
      <c r="B178" s="1" t="s">
        <v>846</v>
      </c>
      <c r="C178" s="4">
        <v>39852.763194444444</v>
      </c>
      <c r="D178" s="1" t="s">
        <v>110</v>
      </c>
      <c r="E178" s="1"/>
      <c r="F178" s="2" t="s">
        <v>1207</v>
      </c>
      <c r="G178" s="1">
        <v>53</v>
      </c>
    </row>
    <row r="179" spans="1:7" ht="29">
      <c r="A179" s="1" t="s">
        <v>1208</v>
      </c>
      <c r="B179" s="1" t="s">
        <v>926</v>
      </c>
      <c r="C179" s="4">
        <v>39852.765277777777</v>
      </c>
      <c r="D179" s="1" t="s">
        <v>196</v>
      </c>
      <c r="E179" s="1"/>
      <c r="F179" s="2" t="s">
        <v>1209</v>
      </c>
      <c r="G179" s="1">
        <v>40</v>
      </c>
    </row>
    <row r="180" spans="1:7" ht="211">
      <c r="A180" s="1" t="s">
        <v>1210</v>
      </c>
      <c r="B180" s="1" t="s">
        <v>1196</v>
      </c>
      <c r="C180" s="4">
        <v>39852.771527777775</v>
      </c>
      <c r="D180" s="1" t="s">
        <v>14</v>
      </c>
      <c r="E180" s="1"/>
      <c r="F180" s="2" t="s">
        <v>1211</v>
      </c>
      <c r="G180" s="1">
        <v>363</v>
      </c>
    </row>
    <row r="181" spans="1:7">
      <c r="A181" s="1" t="s">
        <v>1212</v>
      </c>
      <c r="B181" s="1" t="s">
        <v>926</v>
      </c>
      <c r="C181" s="4">
        <v>39852.775694444441</v>
      </c>
      <c r="D181" s="1" t="s">
        <v>14</v>
      </c>
      <c r="E181" s="1"/>
      <c r="F181" s="2" t="s">
        <v>1214</v>
      </c>
      <c r="G181" s="1">
        <v>24</v>
      </c>
    </row>
    <row r="182" spans="1:7" ht="43">
      <c r="A182" s="1" t="s">
        <v>1221</v>
      </c>
      <c r="B182" s="1" t="s">
        <v>846</v>
      </c>
      <c r="C182" s="4">
        <v>39852.795138888891</v>
      </c>
      <c r="D182" s="1" t="s">
        <v>1089</v>
      </c>
      <c r="E182" s="1"/>
      <c r="F182" s="2" t="s">
        <v>1222</v>
      </c>
      <c r="G182" s="1">
        <v>27</v>
      </c>
    </row>
    <row r="183" spans="1:7">
      <c r="A183" s="1" t="s">
        <v>1229</v>
      </c>
      <c r="B183" s="1" t="s">
        <v>926</v>
      </c>
      <c r="C183" s="4">
        <v>39852.8125</v>
      </c>
      <c r="D183" s="1" t="s">
        <v>393</v>
      </c>
      <c r="E183" s="1"/>
      <c r="F183" s="2" t="s">
        <v>1231</v>
      </c>
      <c r="G183" s="1">
        <v>6</v>
      </c>
    </row>
    <row r="184" spans="1:7" ht="127">
      <c r="A184" s="1" t="s">
        <v>1235</v>
      </c>
      <c r="B184" s="1" t="s">
        <v>1196</v>
      </c>
      <c r="C184" s="4">
        <v>39852.833333333336</v>
      </c>
      <c r="D184" s="1" t="s">
        <v>255</v>
      </c>
      <c r="E184" s="1"/>
      <c r="F184" s="2" t="s">
        <v>1236</v>
      </c>
      <c r="G184" s="1">
        <v>176</v>
      </c>
    </row>
    <row r="185" spans="1:7" ht="99">
      <c r="A185" s="1" t="s">
        <v>1237</v>
      </c>
      <c r="B185" s="1" t="s">
        <v>926</v>
      </c>
      <c r="C185" s="4">
        <v>39852.836805555555</v>
      </c>
      <c r="D185" s="1" t="s">
        <v>393</v>
      </c>
      <c r="E185" s="1"/>
      <c r="F185" s="2" t="s">
        <v>1239</v>
      </c>
      <c r="G185" s="1">
        <v>151</v>
      </c>
    </row>
    <row r="186" spans="1:7" ht="183">
      <c r="A186" s="1" t="s">
        <v>1240</v>
      </c>
      <c r="B186" s="1" t="s">
        <v>846</v>
      </c>
      <c r="C186" s="4">
        <v>39852.838194444441</v>
      </c>
      <c r="D186" s="1" t="s">
        <v>1241</v>
      </c>
      <c r="E186" s="1"/>
      <c r="F186" s="2" t="s">
        <v>1242</v>
      </c>
      <c r="G186" s="1">
        <v>293</v>
      </c>
    </row>
    <row r="187" spans="1:7" ht="57">
      <c r="A187" s="1" t="s">
        <v>1243</v>
      </c>
      <c r="B187" s="1" t="s">
        <v>1196</v>
      </c>
      <c r="C187" s="4">
        <v>39852.843055555553</v>
      </c>
      <c r="D187" s="1" t="s">
        <v>255</v>
      </c>
      <c r="E187" s="1"/>
      <c r="F187" s="2" t="s">
        <v>1245</v>
      </c>
      <c r="G187" s="1">
        <v>70</v>
      </c>
    </row>
    <row r="188" spans="1:7">
      <c r="A188" s="1" t="s">
        <v>1246</v>
      </c>
      <c r="B188" s="1" t="s">
        <v>160</v>
      </c>
      <c r="C188" s="4">
        <v>39852.849305555559</v>
      </c>
      <c r="D188" s="1" t="s">
        <v>393</v>
      </c>
      <c r="E188" s="1"/>
      <c r="F188" s="2" t="s">
        <v>1248</v>
      </c>
      <c r="G188" s="1">
        <v>9</v>
      </c>
    </row>
    <row r="189" spans="1:7" ht="197">
      <c r="A189" s="1" t="s">
        <v>1249</v>
      </c>
      <c r="B189" s="1" t="s">
        <v>1196</v>
      </c>
      <c r="C189" s="4">
        <v>39852.856944444444</v>
      </c>
      <c r="D189" s="1" t="s">
        <v>14</v>
      </c>
      <c r="E189" s="1"/>
      <c r="F189" s="2" t="s">
        <v>1251</v>
      </c>
      <c r="G189" s="1">
        <v>334</v>
      </c>
    </row>
    <row r="190" spans="1:7" ht="29">
      <c r="A190" s="1" t="s">
        <v>1252</v>
      </c>
      <c r="B190" s="1" t="s">
        <v>846</v>
      </c>
      <c r="C190" s="4">
        <v>39852.873611111114</v>
      </c>
      <c r="D190" s="1" t="s">
        <v>772</v>
      </c>
      <c r="E190" s="1"/>
      <c r="F190" s="2" t="s">
        <v>1253</v>
      </c>
      <c r="G190" s="1">
        <v>15</v>
      </c>
    </row>
    <row r="191" spans="1:7" ht="85">
      <c r="A191" s="1" t="s">
        <v>1259</v>
      </c>
      <c r="B191" s="1" t="s">
        <v>1196</v>
      </c>
      <c r="C191" s="4">
        <v>39852.949999999997</v>
      </c>
      <c r="D191" s="1" t="s">
        <v>14</v>
      </c>
      <c r="E191" s="1"/>
      <c r="F191" s="2" t="s">
        <v>1260</v>
      </c>
      <c r="G191" s="1">
        <v>141</v>
      </c>
    </row>
    <row r="192" spans="1:7" ht="409.6">
      <c r="A192" s="1" t="s">
        <v>1261</v>
      </c>
      <c r="B192" s="3" t="s">
        <v>13</v>
      </c>
      <c r="C192" s="4">
        <v>39852.968055555553</v>
      </c>
      <c r="D192" s="1" t="s">
        <v>913</v>
      </c>
      <c r="E192" s="1"/>
      <c r="F192" s="2" t="s">
        <v>1262</v>
      </c>
      <c r="G192" s="1">
        <v>650</v>
      </c>
    </row>
    <row r="193" spans="1:7" ht="281">
      <c r="A193" s="1" t="s">
        <v>1270</v>
      </c>
      <c r="B193" s="1" t="s">
        <v>926</v>
      </c>
      <c r="C193" s="4">
        <v>39853.002083333333</v>
      </c>
      <c r="D193" s="1" t="s">
        <v>54</v>
      </c>
      <c r="E193" s="1"/>
      <c r="F193" s="2" t="s">
        <v>1272</v>
      </c>
      <c r="G193" s="1">
        <v>483</v>
      </c>
    </row>
    <row r="194" spans="1:7" ht="281">
      <c r="A194" s="1" t="s">
        <v>1273</v>
      </c>
      <c r="B194" s="1" t="s">
        <v>1196</v>
      </c>
      <c r="C194" s="4">
        <v>39853.009027777778</v>
      </c>
      <c r="D194" s="1" t="s">
        <v>14</v>
      </c>
      <c r="E194" s="1"/>
      <c r="F194" s="2" t="s">
        <v>1275</v>
      </c>
      <c r="G194" s="1">
        <v>491</v>
      </c>
    </row>
    <row r="195" spans="1:7" ht="99">
      <c r="A195" s="1" t="s">
        <v>1276</v>
      </c>
      <c r="B195" s="1" t="s">
        <v>926</v>
      </c>
      <c r="C195" s="4">
        <v>39853.01666666667</v>
      </c>
      <c r="D195" s="1" t="s">
        <v>14</v>
      </c>
      <c r="E195" s="1"/>
      <c r="F195" s="2" t="s">
        <v>1278</v>
      </c>
      <c r="G195" s="1">
        <v>164</v>
      </c>
    </row>
    <row r="196" spans="1:7" ht="71">
      <c r="A196" s="1" t="s">
        <v>1279</v>
      </c>
      <c r="B196" s="1" t="s">
        <v>846</v>
      </c>
      <c r="C196" s="4">
        <v>39853.044444444444</v>
      </c>
      <c r="D196" s="1" t="s">
        <v>393</v>
      </c>
      <c r="E196" s="1"/>
      <c r="F196" s="2" t="s">
        <v>1280</v>
      </c>
      <c r="G196" s="1">
        <v>112</v>
      </c>
    </row>
    <row r="197" spans="1:7" ht="113">
      <c r="A197" s="1" t="s">
        <v>1281</v>
      </c>
      <c r="B197" s="3" t="s">
        <v>13</v>
      </c>
      <c r="C197" s="4">
        <v>39853.053472222222</v>
      </c>
      <c r="D197" s="1" t="s">
        <v>553</v>
      </c>
      <c r="E197" s="1"/>
      <c r="F197" s="2" t="s">
        <v>1283</v>
      </c>
      <c r="G197" s="1">
        <v>184</v>
      </c>
    </row>
    <row r="198" spans="1:7" ht="409.6">
      <c r="A198" s="1" t="s">
        <v>1287</v>
      </c>
      <c r="B198" s="1" t="s">
        <v>846</v>
      </c>
      <c r="C198" s="4">
        <v>39853.070833333331</v>
      </c>
      <c r="D198" s="1" t="s">
        <v>1089</v>
      </c>
      <c r="E198" s="1"/>
      <c r="F198" s="2" t="s">
        <v>1288</v>
      </c>
      <c r="G198" s="1">
        <v>301</v>
      </c>
    </row>
    <row r="199" spans="1:7" ht="57">
      <c r="A199" s="1" t="s">
        <v>1289</v>
      </c>
      <c r="B199" s="1" t="s">
        <v>926</v>
      </c>
      <c r="C199" s="4">
        <v>39853.10833333333</v>
      </c>
      <c r="D199" s="1" t="s">
        <v>54</v>
      </c>
      <c r="E199" s="1"/>
      <c r="F199" s="2" t="s">
        <v>1291</v>
      </c>
      <c r="G199" s="1">
        <v>83</v>
      </c>
    </row>
    <row r="200" spans="1:7" ht="71">
      <c r="A200" s="1" t="s">
        <v>1294</v>
      </c>
      <c r="B200" s="1" t="s">
        <v>846</v>
      </c>
      <c r="C200" s="4">
        <v>39853.151388888888</v>
      </c>
      <c r="D200" s="1" t="s">
        <v>255</v>
      </c>
      <c r="E200" s="1"/>
      <c r="F200" s="2" t="s">
        <v>1295</v>
      </c>
      <c r="G200" s="1">
        <v>134</v>
      </c>
    </row>
    <row r="201" spans="1:7">
      <c r="A201" s="1" t="s">
        <v>1296</v>
      </c>
      <c r="B201" s="1" t="s">
        <v>846</v>
      </c>
      <c r="C201" s="4">
        <v>39853.329861111109</v>
      </c>
      <c r="D201" s="1" t="s">
        <v>84</v>
      </c>
      <c r="E201" s="1"/>
      <c r="F201" s="2" t="s">
        <v>1297</v>
      </c>
      <c r="G201" s="1">
        <v>11</v>
      </c>
    </row>
    <row r="202" spans="1:7" ht="43">
      <c r="A202" s="1" t="s">
        <v>1303</v>
      </c>
      <c r="B202" s="1" t="s">
        <v>846</v>
      </c>
      <c r="C202" s="4">
        <v>39853.352083333331</v>
      </c>
      <c r="D202" s="1" t="s">
        <v>393</v>
      </c>
      <c r="E202" s="1"/>
      <c r="F202" s="2" t="s">
        <v>1306</v>
      </c>
      <c r="G202" s="1">
        <v>63</v>
      </c>
    </row>
    <row r="203" spans="1:7" ht="43">
      <c r="A203" s="1" t="s">
        <v>1317</v>
      </c>
      <c r="B203" s="1" t="s">
        <v>1196</v>
      </c>
      <c r="C203" s="4">
        <v>39853.43472222222</v>
      </c>
      <c r="D203" s="1" t="s">
        <v>14</v>
      </c>
      <c r="E203" s="1"/>
      <c r="F203" s="2" t="s">
        <v>1319</v>
      </c>
      <c r="G203" s="1">
        <v>70</v>
      </c>
    </row>
    <row r="204" spans="1:7" ht="85">
      <c r="A204" s="1" t="s">
        <v>1320</v>
      </c>
      <c r="B204" s="3" t="s">
        <v>13</v>
      </c>
      <c r="C204" s="4">
        <v>39853.443749999999</v>
      </c>
      <c r="D204" s="1" t="s">
        <v>101</v>
      </c>
      <c r="E204" s="1"/>
      <c r="F204" s="2" t="s">
        <v>1323</v>
      </c>
      <c r="G204" s="1">
        <v>82</v>
      </c>
    </row>
    <row r="205" spans="1:7" ht="71">
      <c r="A205" s="1" t="s">
        <v>1334</v>
      </c>
      <c r="B205" s="1" t="s">
        <v>846</v>
      </c>
      <c r="C205" s="4">
        <v>39853.572222222225</v>
      </c>
      <c r="D205" s="1" t="s">
        <v>393</v>
      </c>
      <c r="E205" s="1"/>
      <c r="F205" s="2" t="s">
        <v>1337</v>
      </c>
      <c r="G205" s="1">
        <v>94</v>
      </c>
    </row>
    <row r="206" spans="1:7" ht="29">
      <c r="A206" s="1" t="s">
        <v>1345</v>
      </c>
      <c r="B206" s="1" t="s">
        <v>680</v>
      </c>
      <c r="C206" s="4">
        <v>39853.741666666669</v>
      </c>
      <c r="D206" s="1" t="s">
        <v>101</v>
      </c>
      <c r="E206" s="1"/>
      <c r="F206" s="2" t="s">
        <v>1348</v>
      </c>
      <c r="G206" s="1">
        <v>34</v>
      </c>
    </row>
    <row r="207" spans="1:7" ht="141">
      <c r="A207" s="1" t="s">
        <v>1388</v>
      </c>
      <c r="B207" s="1" t="s">
        <v>1196</v>
      </c>
      <c r="C207" s="4">
        <v>39853.979861111111</v>
      </c>
      <c r="D207" s="1" t="s">
        <v>54</v>
      </c>
      <c r="E207" s="1"/>
      <c r="F207" s="2" t="s">
        <v>1391</v>
      </c>
      <c r="G207" s="1">
        <v>221</v>
      </c>
    </row>
    <row r="208" spans="1:7">
      <c r="A208" s="1" t="s">
        <v>1396</v>
      </c>
      <c r="B208" s="1" t="s">
        <v>1196</v>
      </c>
      <c r="C208" s="4">
        <v>39853.995138888888</v>
      </c>
      <c r="D208" s="1" t="s">
        <v>393</v>
      </c>
      <c r="E208" s="1"/>
      <c r="F208" s="2" t="s">
        <v>1398</v>
      </c>
      <c r="G208" s="1">
        <v>21</v>
      </c>
    </row>
    <row r="209" spans="1:7" ht="169">
      <c r="A209" s="1" t="s">
        <v>1408</v>
      </c>
      <c r="B209" s="1" t="s">
        <v>1196</v>
      </c>
      <c r="C209" s="4">
        <v>39854.150694444441</v>
      </c>
      <c r="D209" s="1" t="s">
        <v>54</v>
      </c>
      <c r="E209" s="1"/>
      <c r="F209" s="2" t="s">
        <v>1409</v>
      </c>
      <c r="G209" s="1">
        <v>255</v>
      </c>
    </row>
    <row r="210" spans="1:7" ht="113">
      <c r="A210" s="1" t="s">
        <v>1410</v>
      </c>
      <c r="B210" s="1" t="s">
        <v>846</v>
      </c>
      <c r="C210" s="4">
        <v>39854.163888888892</v>
      </c>
      <c r="D210" s="1" t="s">
        <v>416</v>
      </c>
      <c r="E210" s="1"/>
      <c r="F210" s="2" t="s">
        <v>1411</v>
      </c>
      <c r="G210" s="1">
        <v>171</v>
      </c>
    </row>
    <row r="211" spans="1:7" ht="183">
      <c r="A211" s="1" t="s">
        <v>1412</v>
      </c>
      <c r="B211" s="1" t="s">
        <v>1196</v>
      </c>
      <c r="C211" s="4">
        <v>39854.316666666666</v>
      </c>
      <c r="D211" s="1" t="s">
        <v>255</v>
      </c>
      <c r="E211" s="1"/>
      <c r="F211" s="2" t="s">
        <v>1413</v>
      </c>
      <c r="G211" s="1">
        <v>247</v>
      </c>
    </row>
    <row r="212" spans="1:7" ht="127">
      <c r="A212" s="1" t="s">
        <v>1428</v>
      </c>
      <c r="B212" s="3" t="s">
        <v>13</v>
      </c>
      <c r="C212" s="4">
        <v>39854.531944444447</v>
      </c>
      <c r="D212" s="1" t="s">
        <v>1429</v>
      </c>
      <c r="E212" s="1"/>
      <c r="F212" s="2" t="s">
        <v>1430</v>
      </c>
      <c r="G212" s="1">
        <v>176</v>
      </c>
    </row>
    <row r="213" spans="1:7" ht="113">
      <c r="A213" s="1" t="s">
        <v>1434</v>
      </c>
      <c r="B213" s="3" t="s">
        <v>13</v>
      </c>
      <c r="C213" s="4">
        <v>39854.794444444444</v>
      </c>
      <c r="D213" s="1" t="s">
        <v>1435</v>
      </c>
      <c r="E213" s="1"/>
      <c r="F213" s="2" t="s">
        <v>1437</v>
      </c>
      <c r="G213" s="1">
        <v>109</v>
      </c>
    </row>
    <row r="214" spans="1:7" ht="169">
      <c r="A214" s="1" t="s">
        <v>1438</v>
      </c>
      <c r="B214" s="1" t="s">
        <v>1196</v>
      </c>
      <c r="C214" s="4">
        <v>39854.84097222222</v>
      </c>
      <c r="D214" s="1" t="s">
        <v>14</v>
      </c>
      <c r="E214" s="1"/>
      <c r="F214" s="2" t="s">
        <v>1439</v>
      </c>
      <c r="G214" s="1">
        <v>259</v>
      </c>
    </row>
    <row r="215" spans="1:7" ht="253">
      <c r="A215" s="1" t="s">
        <v>1442</v>
      </c>
      <c r="B215" s="1" t="s">
        <v>1196</v>
      </c>
      <c r="C215" s="4">
        <v>39854.888194444444</v>
      </c>
      <c r="D215" s="1" t="s">
        <v>14</v>
      </c>
      <c r="E215" s="1"/>
      <c r="F215" s="2" t="s">
        <v>1444</v>
      </c>
      <c r="G215" s="1">
        <v>434</v>
      </c>
    </row>
    <row r="216" spans="1:7" ht="197">
      <c r="A216" s="1" t="s">
        <v>1445</v>
      </c>
      <c r="B216" s="1" t="s">
        <v>846</v>
      </c>
      <c r="C216" s="4">
        <v>39854.911805555559</v>
      </c>
      <c r="D216" s="1" t="s">
        <v>1089</v>
      </c>
      <c r="E216" s="1"/>
      <c r="F216" s="2" t="s">
        <v>1446</v>
      </c>
      <c r="G216" s="1">
        <v>196</v>
      </c>
    </row>
    <row r="217" spans="1:7" ht="43">
      <c r="A217" s="1" t="s">
        <v>1478</v>
      </c>
      <c r="B217" s="1" t="s">
        <v>846</v>
      </c>
      <c r="C217" s="4">
        <v>39855.406944444447</v>
      </c>
      <c r="D217" s="1" t="s">
        <v>54</v>
      </c>
      <c r="E217" s="1"/>
      <c r="F217" s="2" t="s">
        <v>1479</v>
      </c>
      <c r="G217" s="1">
        <v>51</v>
      </c>
    </row>
    <row r="218" spans="1:7" ht="409.6">
      <c r="A218" s="1" t="s">
        <v>1483</v>
      </c>
      <c r="B218" s="1" t="s">
        <v>846</v>
      </c>
      <c r="C218" s="4">
        <v>39855.531944444447</v>
      </c>
      <c r="D218" s="1" t="s">
        <v>772</v>
      </c>
      <c r="E218" s="1"/>
      <c r="F218" s="2" t="s">
        <v>1484</v>
      </c>
      <c r="G218" s="1">
        <v>239</v>
      </c>
    </row>
    <row r="219" spans="1:7" ht="197">
      <c r="A219" s="1" t="s">
        <v>1488</v>
      </c>
      <c r="B219" s="1" t="s">
        <v>846</v>
      </c>
      <c r="C219" s="4">
        <v>39855.570138888892</v>
      </c>
      <c r="D219" s="1" t="s">
        <v>54</v>
      </c>
      <c r="E219" s="1"/>
      <c r="F219" s="2" t="s">
        <v>1489</v>
      </c>
      <c r="G219" s="1">
        <v>321</v>
      </c>
    </row>
    <row r="220" spans="1:7" ht="57">
      <c r="A220" s="1" t="s">
        <v>1490</v>
      </c>
      <c r="B220" s="1" t="s">
        <v>1196</v>
      </c>
      <c r="C220" s="4">
        <v>39855.612500000003</v>
      </c>
      <c r="D220" s="1" t="s">
        <v>314</v>
      </c>
      <c r="E220" s="1"/>
      <c r="F220" s="2" t="s">
        <v>1491</v>
      </c>
      <c r="G220" s="1">
        <v>84</v>
      </c>
    </row>
    <row r="221" spans="1:7" ht="85">
      <c r="A221" s="1" t="s">
        <v>1492</v>
      </c>
      <c r="B221" s="1" t="s">
        <v>156</v>
      </c>
      <c r="C221" s="4">
        <v>39855.625694444447</v>
      </c>
      <c r="D221" s="1" t="s">
        <v>314</v>
      </c>
      <c r="E221" s="1"/>
      <c r="F221" s="2" t="s">
        <v>1494</v>
      </c>
      <c r="G221" s="1">
        <v>119</v>
      </c>
    </row>
    <row r="222" spans="1:7" ht="85">
      <c r="A222" s="1" t="s">
        <v>1495</v>
      </c>
      <c r="B222" s="1" t="s">
        <v>1196</v>
      </c>
      <c r="C222" s="4">
        <v>39855.62777777778</v>
      </c>
      <c r="D222" s="1" t="s">
        <v>320</v>
      </c>
      <c r="E222" s="1"/>
      <c r="F222" s="2" t="s">
        <v>1496</v>
      </c>
      <c r="G222" s="1">
        <v>126</v>
      </c>
    </row>
    <row r="223" spans="1:7" ht="43">
      <c r="A223" s="1" t="s">
        <v>1497</v>
      </c>
      <c r="B223" s="1" t="s">
        <v>1196</v>
      </c>
      <c r="C223" s="4">
        <v>39855.647222222222</v>
      </c>
      <c r="D223" s="1" t="s">
        <v>314</v>
      </c>
      <c r="E223" s="1"/>
      <c r="F223" s="2" t="s">
        <v>1499</v>
      </c>
      <c r="G223" s="1">
        <v>57</v>
      </c>
    </row>
    <row r="224" spans="1:7" ht="43">
      <c r="A224" s="1" t="s">
        <v>1500</v>
      </c>
      <c r="B224" s="1" t="s">
        <v>1196</v>
      </c>
      <c r="C224" s="4">
        <v>39855.668749999997</v>
      </c>
      <c r="D224" s="1" t="s">
        <v>255</v>
      </c>
      <c r="E224" s="1"/>
      <c r="F224" s="2" t="s">
        <v>1501</v>
      </c>
      <c r="G224" s="1">
        <v>60</v>
      </c>
    </row>
    <row r="225" spans="1:7" ht="57">
      <c r="A225" s="1" t="s">
        <v>1502</v>
      </c>
      <c r="B225" s="1" t="s">
        <v>1196</v>
      </c>
      <c r="C225" s="4">
        <v>39855.679166666669</v>
      </c>
      <c r="D225" s="1" t="s">
        <v>54</v>
      </c>
      <c r="E225" s="1"/>
      <c r="F225" s="2" t="s">
        <v>1504</v>
      </c>
      <c r="G225" s="1">
        <v>79</v>
      </c>
    </row>
    <row r="226" spans="1:7" ht="57">
      <c r="A226" s="1" t="s">
        <v>1505</v>
      </c>
      <c r="B226" s="1" t="s">
        <v>846</v>
      </c>
      <c r="C226" s="4">
        <v>39855.684027777781</v>
      </c>
      <c r="D226" s="1" t="s">
        <v>416</v>
      </c>
      <c r="E226" s="1"/>
      <c r="F226" s="2" t="s">
        <v>1506</v>
      </c>
      <c r="G226" s="1">
        <v>76</v>
      </c>
    </row>
    <row r="227" spans="1:7" ht="113">
      <c r="A227" s="1" t="s">
        <v>1507</v>
      </c>
      <c r="B227" s="1" t="s">
        <v>846</v>
      </c>
      <c r="C227" s="4">
        <v>39855.697916666664</v>
      </c>
      <c r="D227" s="1" t="s">
        <v>54</v>
      </c>
      <c r="E227" s="1"/>
      <c r="F227" s="2" t="s">
        <v>1508</v>
      </c>
      <c r="G227" s="1">
        <v>173</v>
      </c>
    </row>
    <row r="228" spans="1:7" ht="225">
      <c r="A228" s="1" t="s">
        <v>1511</v>
      </c>
      <c r="B228" s="1" t="s">
        <v>1196</v>
      </c>
      <c r="C228" s="4">
        <v>39855.736111111109</v>
      </c>
      <c r="D228" s="1" t="s">
        <v>14</v>
      </c>
      <c r="E228" s="1"/>
      <c r="F228" s="2" t="s">
        <v>1512</v>
      </c>
      <c r="G228" s="1">
        <v>362</v>
      </c>
    </row>
    <row r="229" spans="1:7" ht="409.6">
      <c r="A229" s="1" t="s">
        <v>1513</v>
      </c>
      <c r="B229" s="1" t="s">
        <v>1196</v>
      </c>
      <c r="C229" s="4">
        <v>39855.761111111111</v>
      </c>
      <c r="D229" s="1" t="s">
        <v>54</v>
      </c>
      <c r="E229" s="1"/>
      <c r="F229" s="2" t="s">
        <v>1514</v>
      </c>
      <c r="G229" s="1">
        <v>954</v>
      </c>
    </row>
    <row r="230" spans="1:7" ht="43">
      <c r="A230" s="1" t="s">
        <v>1522</v>
      </c>
      <c r="B230" s="1" t="s">
        <v>1196</v>
      </c>
      <c r="C230" s="4">
        <v>39855.780555555553</v>
      </c>
      <c r="D230" s="1" t="s">
        <v>84</v>
      </c>
      <c r="E230" s="1"/>
      <c r="F230" s="2" t="s">
        <v>1524</v>
      </c>
      <c r="G230" s="1">
        <v>61</v>
      </c>
    </row>
    <row r="231" spans="1:7" ht="320">
      <c r="A231" s="1" t="s">
        <v>1525</v>
      </c>
      <c r="B231" s="1" t="s">
        <v>1196</v>
      </c>
      <c r="C231" s="4">
        <v>39855.786111111112</v>
      </c>
      <c r="D231" s="1" t="s">
        <v>14</v>
      </c>
      <c r="E231" s="1"/>
      <c r="F231" s="2" t="s">
        <v>1526</v>
      </c>
      <c r="G231" s="1">
        <v>562</v>
      </c>
    </row>
    <row r="232" spans="1:7" ht="127">
      <c r="A232" s="1" t="s">
        <v>1527</v>
      </c>
      <c r="B232" s="1" t="s">
        <v>1196</v>
      </c>
      <c r="C232" s="4">
        <v>39855.792361111111</v>
      </c>
      <c r="D232" s="1" t="s">
        <v>1528</v>
      </c>
      <c r="E232" s="1"/>
      <c r="F232" s="2" t="s">
        <v>1530</v>
      </c>
      <c r="G232" s="1">
        <v>87</v>
      </c>
    </row>
    <row r="233" spans="1:7" ht="29">
      <c r="A233" s="1" t="s">
        <v>1531</v>
      </c>
      <c r="B233" s="1" t="s">
        <v>846</v>
      </c>
      <c r="C233" s="4">
        <v>39855.802083333336</v>
      </c>
      <c r="D233" s="1" t="s">
        <v>84</v>
      </c>
      <c r="E233" s="1"/>
      <c r="F233" s="2" t="s">
        <v>1532</v>
      </c>
      <c r="G233" s="1">
        <v>21</v>
      </c>
    </row>
    <row r="234" spans="1:7" ht="225">
      <c r="A234" s="1" t="s">
        <v>1533</v>
      </c>
      <c r="B234" s="1" t="s">
        <v>1196</v>
      </c>
      <c r="C234" s="4">
        <v>39855.807638888888</v>
      </c>
      <c r="D234" s="1" t="s">
        <v>14</v>
      </c>
      <c r="E234" s="1"/>
      <c r="F234" s="2" t="s">
        <v>1534</v>
      </c>
      <c r="G234" s="1">
        <v>385</v>
      </c>
    </row>
    <row r="235" spans="1:7" ht="29">
      <c r="A235" s="1" t="s">
        <v>1535</v>
      </c>
      <c r="B235" s="1" t="s">
        <v>846</v>
      </c>
      <c r="C235" s="4">
        <v>39855.824999999997</v>
      </c>
      <c r="D235" s="1" t="s">
        <v>54</v>
      </c>
      <c r="E235" s="1"/>
      <c r="F235" s="2" t="s">
        <v>1536</v>
      </c>
      <c r="G235" s="1">
        <v>29</v>
      </c>
    </row>
    <row r="236" spans="1:7" ht="211">
      <c r="A236" s="1" t="s">
        <v>1540</v>
      </c>
      <c r="B236" s="1" t="s">
        <v>1519</v>
      </c>
      <c r="C236" s="4">
        <v>39855.834027777775</v>
      </c>
      <c r="D236" s="1" t="s">
        <v>54</v>
      </c>
      <c r="E236" s="1"/>
      <c r="F236" s="2" t="s">
        <v>1542</v>
      </c>
      <c r="G236" s="1">
        <v>343</v>
      </c>
    </row>
    <row r="237" spans="1:7" ht="127">
      <c r="A237" s="1" t="s">
        <v>1543</v>
      </c>
      <c r="B237" s="1" t="s">
        <v>846</v>
      </c>
      <c r="C237" s="4">
        <v>39855.841666666667</v>
      </c>
      <c r="D237" s="1" t="s">
        <v>84</v>
      </c>
      <c r="E237" s="1"/>
      <c r="F237" s="2" t="s">
        <v>1545</v>
      </c>
      <c r="G237" s="1">
        <v>74</v>
      </c>
    </row>
    <row r="238" spans="1:7" ht="85">
      <c r="A238" s="1" t="s">
        <v>1550</v>
      </c>
      <c r="B238" s="1" t="s">
        <v>1196</v>
      </c>
      <c r="C238" s="4">
        <v>39855.887499999997</v>
      </c>
      <c r="D238" s="1" t="s">
        <v>54</v>
      </c>
      <c r="E238" s="1"/>
      <c r="F238" s="2" t="s">
        <v>1552</v>
      </c>
      <c r="G238" s="1">
        <v>129</v>
      </c>
    </row>
    <row r="239" spans="1:7" ht="43">
      <c r="A239" s="1" t="s">
        <v>1555</v>
      </c>
      <c r="B239" s="1" t="s">
        <v>1196</v>
      </c>
      <c r="C239" s="4">
        <v>39855.9375</v>
      </c>
      <c r="D239" s="1" t="s">
        <v>1528</v>
      </c>
      <c r="E239" s="1"/>
      <c r="F239" s="2" t="s">
        <v>1556</v>
      </c>
      <c r="G239" s="1">
        <v>64</v>
      </c>
    </row>
    <row r="240" spans="1:7" ht="43">
      <c r="A240" s="1" t="s">
        <v>1557</v>
      </c>
      <c r="B240" s="1" t="s">
        <v>1196</v>
      </c>
      <c r="C240" s="4">
        <v>39855.947916666664</v>
      </c>
      <c r="D240" s="1" t="s">
        <v>54</v>
      </c>
      <c r="E240" s="1"/>
      <c r="F240" s="2" t="s">
        <v>1558</v>
      </c>
      <c r="G240" s="1">
        <v>52</v>
      </c>
    </row>
    <row r="241" spans="1:7" ht="57">
      <c r="A241" s="1" t="s">
        <v>1559</v>
      </c>
      <c r="B241" s="1" t="s">
        <v>1196</v>
      </c>
      <c r="C241" s="4">
        <v>39855.977083333331</v>
      </c>
      <c r="D241" s="1" t="s">
        <v>54</v>
      </c>
      <c r="E241" s="1"/>
      <c r="F241" s="2" t="s">
        <v>1560</v>
      </c>
      <c r="G241" s="1">
        <v>64</v>
      </c>
    </row>
    <row r="242" spans="1:7" ht="169">
      <c r="A242" s="1" t="s">
        <v>1566</v>
      </c>
      <c r="B242" s="1" t="s">
        <v>1196</v>
      </c>
      <c r="C242" s="4">
        <v>39856.032638888886</v>
      </c>
      <c r="D242" s="1" t="s">
        <v>14</v>
      </c>
      <c r="E242" s="1"/>
      <c r="F242" s="2" t="s">
        <v>1568</v>
      </c>
      <c r="G242" s="1">
        <v>286</v>
      </c>
    </row>
    <row r="243" spans="1:7" ht="127">
      <c r="A243" s="1" t="s">
        <v>1574</v>
      </c>
      <c r="B243" s="1" t="s">
        <v>1196</v>
      </c>
      <c r="C243" s="4">
        <v>39856.056250000001</v>
      </c>
      <c r="D243" s="1" t="s">
        <v>54</v>
      </c>
      <c r="E243" s="1"/>
      <c r="F243" s="2" t="s">
        <v>1576</v>
      </c>
      <c r="G243" s="1">
        <v>194</v>
      </c>
    </row>
    <row r="244" spans="1:7" ht="141">
      <c r="A244" s="1" t="s">
        <v>1589</v>
      </c>
      <c r="B244" s="1" t="s">
        <v>1519</v>
      </c>
      <c r="C244" s="4">
        <v>39856.090277777781</v>
      </c>
      <c r="D244" s="1" t="s">
        <v>14</v>
      </c>
      <c r="E244" s="1"/>
      <c r="F244" s="2" t="s">
        <v>1591</v>
      </c>
      <c r="G244" s="1">
        <v>222</v>
      </c>
    </row>
    <row r="245" spans="1:7" ht="359">
      <c r="A245" s="1" t="s">
        <v>12</v>
      </c>
      <c r="B245" s="1" t="s">
        <v>1519</v>
      </c>
      <c r="C245" s="4">
        <v>39856.09888888889</v>
      </c>
      <c r="D245" s="1" t="s">
        <v>175</v>
      </c>
      <c r="E245" s="1"/>
      <c r="F245" s="2" t="s">
        <v>1593</v>
      </c>
      <c r="G245" s="1">
        <v>417</v>
      </c>
    </row>
    <row r="246" spans="1:7" ht="43">
      <c r="A246" s="1" t="s">
        <v>1594</v>
      </c>
      <c r="B246" s="1" t="s">
        <v>1196</v>
      </c>
      <c r="C246" s="4">
        <v>39856.163888888892</v>
      </c>
      <c r="D246" s="1" t="s">
        <v>54</v>
      </c>
      <c r="E246" s="1"/>
      <c r="F246" s="2" t="s">
        <v>1595</v>
      </c>
      <c r="G246" s="1">
        <v>57</v>
      </c>
    </row>
    <row r="247" spans="1:7" ht="29">
      <c r="A247" s="1" t="s">
        <v>1596</v>
      </c>
      <c r="B247" s="1" t="s">
        <v>1519</v>
      </c>
      <c r="C247" s="4">
        <v>39856.188888888886</v>
      </c>
      <c r="D247" s="1" t="s">
        <v>1597</v>
      </c>
      <c r="E247" s="1"/>
      <c r="F247" s="2" t="s">
        <v>1598</v>
      </c>
      <c r="G247" s="1">
        <v>10</v>
      </c>
    </row>
    <row r="248" spans="1:7" ht="71">
      <c r="A248" s="1" t="s">
        <v>1604</v>
      </c>
      <c r="B248" s="1" t="s">
        <v>1196</v>
      </c>
      <c r="C248" s="4">
        <v>39856.271527777775</v>
      </c>
      <c r="D248" s="1" t="s">
        <v>54</v>
      </c>
      <c r="E248" s="1"/>
      <c r="F248" s="2" t="s">
        <v>1607</v>
      </c>
      <c r="G248" s="1">
        <v>72</v>
      </c>
    </row>
    <row r="249" spans="1:7" ht="43">
      <c r="A249" s="1" t="s">
        <v>1611</v>
      </c>
      <c r="B249" s="1" t="s">
        <v>846</v>
      </c>
      <c r="C249" s="4">
        <v>39856.313888888886</v>
      </c>
      <c r="D249" s="1" t="s">
        <v>84</v>
      </c>
      <c r="E249" s="1"/>
      <c r="F249" s="2" t="s">
        <v>1613</v>
      </c>
      <c r="G249" s="1">
        <v>43</v>
      </c>
    </row>
    <row r="250" spans="1:7" ht="57">
      <c r="A250" s="1" t="s">
        <v>1614</v>
      </c>
      <c r="B250" s="1" t="s">
        <v>846</v>
      </c>
      <c r="C250" s="4">
        <v>39856.32708333333</v>
      </c>
      <c r="D250" s="1" t="s">
        <v>84</v>
      </c>
      <c r="E250" s="1"/>
      <c r="F250" s="2" t="s">
        <v>1616</v>
      </c>
      <c r="G250" s="1">
        <v>87</v>
      </c>
    </row>
    <row r="251" spans="1:7" ht="253">
      <c r="A251" s="1" t="s">
        <v>1617</v>
      </c>
      <c r="B251" s="1" t="s">
        <v>1519</v>
      </c>
      <c r="C251" s="4">
        <v>39856.34652777778</v>
      </c>
      <c r="D251" s="1" t="s">
        <v>1618</v>
      </c>
      <c r="E251" s="1"/>
      <c r="F251" s="2" t="s">
        <v>1620</v>
      </c>
      <c r="G251" s="1">
        <v>454</v>
      </c>
    </row>
    <row r="252" spans="1:7" ht="183">
      <c r="A252" s="1" t="s">
        <v>1621</v>
      </c>
      <c r="B252" s="1" t="s">
        <v>1196</v>
      </c>
      <c r="C252" s="4">
        <v>39856.40902777778</v>
      </c>
      <c r="D252" s="1" t="s">
        <v>255</v>
      </c>
      <c r="E252" s="1"/>
      <c r="F252" s="2" t="s">
        <v>1623</v>
      </c>
      <c r="G252" s="1">
        <v>297</v>
      </c>
    </row>
    <row r="253" spans="1:7" ht="99">
      <c r="A253" s="1" t="s">
        <v>1626</v>
      </c>
      <c r="B253" s="1" t="s">
        <v>1196</v>
      </c>
      <c r="C253" s="4">
        <v>39856.418749999997</v>
      </c>
      <c r="D253" s="1" t="s">
        <v>255</v>
      </c>
      <c r="E253" s="1"/>
      <c r="F253" s="2" t="s">
        <v>1628</v>
      </c>
      <c r="G253" s="1">
        <v>146</v>
      </c>
    </row>
    <row r="254" spans="1:7" ht="85">
      <c r="A254" s="1" t="s">
        <v>1632</v>
      </c>
      <c r="B254" s="1" t="s">
        <v>846</v>
      </c>
      <c r="C254" s="4">
        <v>39856.448611111111</v>
      </c>
      <c r="D254" s="1" t="s">
        <v>474</v>
      </c>
      <c r="E254" s="1"/>
      <c r="F254" s="2" t="s">
        <v>1633</v>
      </c>
      <c r="G254" s="1">
        <v>128</v>
      </c>
    </row>
    <row r="255" spans="1:7" ht="113">
      <c r="A255" s="1" t="s">
        <v>1634</v>
      </c>
      <c r="B255" s="1" t="s">
        <v>680</v>
      </c>
      <c r="C255" s="4">
        <v>39856.454861111109</v>
      </c>
      <c r="D255" s="1" t="s">
        <v>830</v>
      </c>
      <c r="E255" s="1"/>
      <c r="F255" s="2" t="s">
        <v>1636</v>
      </c>
      <c r="G255" s="1">
        <v>181</v>
      </c>
    </row>
    <row r="256" spans="1:7" ht="169">
      <c r="A256" s="1" t="s">
        <v>1637</v>
      </c>
      <c r="B256" s="1" t="s">
        <v>846</v>
      </c>
      <c r="C256" s="4">
        <v>39856.480555555558</v>
      </c>
      <c r="D256" s="1" t="s">
        <v>474</v>
      </c>
      <c r="E256" s="1"/>
      <c r="F256" s="2" t="s">
        <v>1638</v>
      </c>
      <c r="G256" s="1">
        <v>121</v>
      </c>
    </row>
    <row r="257" spans="1:7" ht="211">
      <c r="A257" s="1" t="s">
        <v>1639</v>
      </c>
      <c r="B257" s="1" t="s">
        <v>1519</v>
      </c>
      <c r="C257" s="4">
        <v>39856.493750000001</v>
      </c>
      <c r="D257" s="1" t="s">
        <v>54</v>
      </c>
      <c r="E257" s="1"/>
      <c r="F257" s="2" t="s">
        <v>1641</v>
      </c>
      <c r="G257" s="1">
        <v>340</v>
      </c>
    </row>
    <row r="258" spans="1:7" ht="155">
      <c r="A258" s="1" t="s">
        <v>1642</v>
      </c>
      <c r="B258" s="1" t="s">
        <v>846</v>
      </c>
      <c r="C258" s="4">
        <v>39856.543749999997</v>
      </c>
      <c r="D258" s="1" t="s">
        <v>381</v>
      </c>
      <c r="E258" s="1"/>
      <c r="F258" s="2" t="s">
        <v>1643</v>
      </c>
      <c r="G258" s="1">
        <v>103</v>
      </c>
    </row>
    <row r="259" spans="1:7" ht="239">
      <c r="A259" s="1" t="s">
        <v>1644</v>
      </c>
      <c r="B259" s="1" t="s">
        <v>1519</v>
      </c>
      <c r="C259" s="4">
        <v>39856.550694444442</v>
      </c>
      <c r="D259" s="1" t="s">
        <v>54</v>
      </c>
      <c r="E259" s="1"/>
      <c r="F259" s="2" t="s">
        <v>1646</v>
      </c>
      <c r="G259" s="1">
        <v>383</v>
      </c>
    </row>
    <row r="260" spans="1:7" ht="294">
      <c r="A260" s="1" t="s">
        <v>1647</v>
      </c>
      <c r="B260" s="1" t="s">
        <v>1196</v>
      </c>
      <c r="C260" s="4">
        <v>39856.557638888888</v>
      </c>
      <c r="D260" s="1" t="s">
        <v>14</v>
      </c>
      <c r="E260" s="1"/>
      <c r="F260" s="2" t="s">
        <v>1649</v>
      </c>
      <c r="G260" s="1">
        <v>512</v>
      </c>
    </row>
    <row r="261" spans="1:7" ht="43">
      <c r="A261" s="1" t="s">
        <v>1653</v>
      </c>
      <c r="B261" s="1" t="s">
        <v>846</v>
      </c>
      <c r="C261" s="4">
        <v>39856.5625</v>
      </c>
      <c r="D261" s="1" t="s">
        <v>54</v>
      </c>
      <c r="E261" s="1"/>
      <c r="F261" s="2" t="s">
        <v>1654</v>
      </c>
      <c r="G261" s="1">
        <v>47</v>
      </c>
    </row>
    <row r="262" spans="1:7" ht="29">
      <c r="A262" s="1" t="s">
        <v>1655</v>
      </c>
      <c r="B262" s="1" t="s">
        <v>1519</v>
      </c>
      <c r="C262" s="4">
        <v>39856.569444444445</v>
      </c>
      <c r="D262" s="1" t="s">
        <v>772</v>
      </c>
      <c r="E262" s="1"/>
      <c r="F262" s="2" t="s">
        <v>1657</v>
      </c>
      <c r="G262" s="1">
        <v>29</v>
      </c>
    </row>
    <row r="263" spans="1:7" ht="57">
      <c r="A263" s="1" t="s">
        <v>1666</v>
      </c>
      <c r="B263" s="1" t="s">
        <v>846</v>
      </c>
      <c r="C263" s="4">
        <v>39856.580555555556</v>
      </c>
      <c r="D263" s="1" t="s">
        <v>84</v>
      </c>
      <c r="E263" s="1"/>
      <c r="F263" s="2" t="s">
        <v>1668</v>
      </c>
      <c r="G263" s="1">
        <v>83</v>
      </c>
    </row>
    <row r="264" spans="1:7" ht="85">
      <c r="A264" s="1" t="s">
        <v>1674</v>
      </c>
      <c r="B264" s="1" t="s">
        <v>846</v>
      </c>
      <c r="C264" s="4">
        <v>39856.698611111111</v>
      </c>
      <c r="D264" s="1" t="s">
        <v>1089</v>
      </c>
      <c r="E264" s="1"/>
      <c r="F264" s="2" t="s">
        <v>1676</v>
      </c>
      <c r="G264" s="1">
        <v>68</v>
      </c>
    </row>
    <row r="265" spans="1:7" ht="99">
      <c r="A265" s="1" t="s">
        <v>1677</v>
      </c>
      <c r="B265" s="1" t="s">
        <v>1196</v>
      </c>
      <c r="C265" s="4">
        <v>39856.729861111111</v>
      </c>
      <c r="D265" s="1" t="s">
        <v>14</v>
      </c>
      <c r="E265" s="1"/>
      <c r="F265" s="2" t="s">
        <v>1679</v>
      </c>
      <c r="G265" s="1">
        <v>154</v>
      </c>
    </row>
    <row r="266" spans="1:7" ht="43">
      <c r="A266" s="1" t="s">
        <v>1683</v>
      </c>
      <c r="B266" s="1" t="s">
        <v>1519</v>
      </c>
      <c r="C266" s="4">
        <v>39856.779861111114</v>
      </c>
      <c r="D266" s="1" t="s">
        <v>1618</v>
      </c>
      <c r="E266" s="1"/>
      <c r="F266" s="2" t="s">
        <v>1685</v>
      </c>
      <c r="G266" s="1">
        <v>65</v>
      </c>
    </row>
    <row r="267" spans="1:7" ht="29">
      <c r="A267" s="1" t="s">
        <v>1686</v>
      </c>
      <c r="B267" s="1" t="s">
        <v>846</v>
      </c>
      <c r="C267" s="4">
        <v>39856.836111111108</v>
      </c>
      <c r="D267" s="1" t="s">
        <v>1089</v>
      </c>
      <c r="E267" s="1"/>
      <c r="F267" s="2" t="s">
        <v>1687</v>
      </c>
      <c r="G267" s="1">
        <v>28</v>
      </c>
    </row>
    <row r="268" spans="1:7" ht="71">
      <c r="A268" s="1" t="s">
        <v>1692</v>
      </c>
      <c r="B268" s="1" t="s">
        <v>846</v>
      </c>
      <c r="C268" s="4">
        <v>39856.863888888889</v>
      </c>
      <c r="D268" s="1" t="s">
        <v>54</v>
      </c>
      <c r="E268" s="1"/>
      <c r="F268" s="2" t="s">
        <v>1694</v>
      </c>
      <c r="G268" s="1">
        <v>79</v>
      </c>
    </row>
    <row r="269" spans="1:7" ht="183">
      <c r="A269" s="1" t="s">
        <v>1695</v>
      </c>
      <c r="B269" s="1" t="s">
        <v>1696</v>
      </c>
      <c r="C269" s="4">
        <v>39857.879166666666</v>
      </c>
      <c r="D269" s="1" t="s">
        <v>1528</v>
      </c>
      <c r="E269" s="1"/>
      <c r="F269" s="2" t="s">
        <v>1699</v>
      </c>
      <c r="G269" s="1">
        <v>311</v>
      </c>
    </row>
    <row r="270" spans="1:7" ht="57">
      <c r="A270" s="1" t="s">
        <v>1703</v>
      </c>
      <c r="B270" s="1" t="s">
        <v>846</v>
      </c>
      <c r="C270" s="4">
        <v>39856.869444444441</v>
      </c>
      <c r="D270" s="1" t="s">
        <v>1089</v>
      </c>
      <c r="E270" s="1"/>
      <c r="F270" s="2" t="s">
        <v>1704</v>
      </c>
      <c r="G270" s="1">
        <v>23</v>
      </c>
    </row>
    <row r="271" spans="1:7" ht="43">
      <c r="A271" s="1" t="s">
        <v>1708</v>
      </c>
      <c r="B271" s="1" t="s">
        <v>846</v>
      </c>
      <c r="C271" s="4">
        <v>39856.883333333331</v>
      </c>
      <c r="D271" s="1" t="s">
        <v>54</v>
      </c>
      <c r="E271" s="1"/>
      <c r="F271" s="2" t="s">
        <v>1710</v>
      </c>
      <c r="G271" s="1">
        <v>37</v>
      </c>
    </row>
    <row r="272" spans="1:7">
      <c r="A272" s="1" t="s">
        <v>1711</v>
      </c>
      <c r="B272" s="1" t="s">
        <v>846</v>
      </c>
      <c r="C272" s="4">
        <v>39856.950694444444</v>
      </c>
      <c r="D272" s="1" t="s">
        <v>1089</v>
      </c>
      <c r="E272" s="1"/>
      <c r="F272" s="2" t="s">
        <v>1712</v>
      </c>
      <c r="G272" s="1">
        <v>16</v>
      </c>
    </row>
    <row r="273" spans="1:7" ht="127">
      <c r="A273" s="1" t="s">
        <v>1724</v>
      </c>
      <c r="B273" s="1" t="s">
        <v>1196</v>
      </c>
      <c r="C273" s="4">
        <v>39857.043749999997</v>
      </c>
      <c r="D273" s="1" t="s">
        <v>14</v>
      </c>
      <c r="E273" s="1"/>
      <c r="F273" s="2" t="s">
        <v>1727</v>
      </c>
      <c r="G273" s="1">
        <v>231</v>
      </c>
    </row>
    <row r="274" spans="1:7" ht="43">
      <c r="A274" s="1" t="s">
        <v>1730</v>
      </c>
      <c r="B274" s="1" t="s">
        <v>846</v>
      </c>
      <c r="C274" s="4">
        <v>39857.184027777781</v>
      </c>
      <c r="D274" s="1" t="s">
        <v>1089</v>
      </c>
      <c r="E274" s="1"/>
      <c r="F274" s="2" t="s">
        <v>1732</v>
      </c>
      <c r="G274" s="1">
        <v>36</v>
      </c>
    </row>
    <row r="275" spans="1:7" ht="409.6">
      <c r="A275" s="1" t="s">
        <v>12</v>
      </c>
      <c r="B275" s="1" t="s">
        <v>1696</v>
      </c>
      <c r="C275" s="4">
        <v>39857.310497685183</v>
      </c>
      <c r="D275" s="1" t="s">
        <v>14</v>
      </c>
      <c r="E275" s="1"/>
      <c r="F275" s="2" t="s">
        <v>1734</v>
      </c>
      <c r="G275" s="1">
        <v>948</v>
      </c>
    </row>
    <row r="276" spans="1:7">
      <c r="A276" s="1" t="s">
        <v>1743</v>
      </c>
      <c r="B276" s="1" t="s">
        <v>846</v>
      </c>
      <c r="C276" s="4">
        <v>39857.367361111108</v>
      </c>
      <c r="D276" s="1" t="s">
        <v>474</v>
      </c>
      <c r="E276" s="1"/>
      <c r="F276" s="2" t="s">
        <v>1745</v>
      </c>
      <c r="G276" s="1">
        <v>13</v>
      </c>
    </row>
    <row r="277" spans="1:7" ht="71">
      <c r="A277" s="1" t="s">
        <v>1746</v>
      </c>
      <c r="B277" s="1" t="s">
        <v>1196</v>
      </c>
      <c r="C277" s="4">
        <v>39857.46875</v>
      </c>
      <c r="D277" s="1" t="s">
        <v>255</v>
      </c>
      <c r="E277" s="1"/>
      <c r="F277" s="2" t="s">
        <v>1748</v>
      </c>
      <c r="G277" s="1">
        <v>91</v>
      </c>
    </row>
    <row r="278" spans="1:7" ht="141">
      <c r="A278" s="1" t="s">
        <v>1752</v>
      </c>
      <c r="B278" s="1" t="s">
        <v>1696</v>
      </c>
      <c r="C278" s="4">
        <v>39857.491666666669</v>
      </c>
      <c r="D278" s="1" t="s">
        <v>14</v>
      </c>
      <c r="E278" s="1"/>
      <c r="F278" s="2" t="s">
        <v>1754</v>
      </c>
      <c r="G278" s="1">
        <v>244</v>
      </c>
    </row>
    <row r="279" spans="1:7">
      <c r="A279" s="1" t="s">
        <v>1755</v>
      </c>
      <c r="B279" s="1" t="s">
        <v>1519</v>
      </c>
      <c r="C279" s="4">
        <v>39857.49722222222</v>
      </c>
      <c r="D279" s="1" t="s">
        <v>772</v>
      </c>
      <c r="E279" s="1"/>
      <c r="F279" s="2" t="s">
        <v>1757</v>
      </c>
      <c r="G279" s="1">
        <v>20</v>
      </c>
    </row>
    <row r="280" spans="1:7" ht="43">
      <c r="A280" s="1" t="s">
        <v>1758</v>
      </c>
      <c r="B280" s="1" t="s">
        <v>846</v>
      </c>
      <c r="C280" s="4">
        <v>39857.50277777778</v>
      </c>
      <c r="D280" s="1" t="s">
        <v>772</v>
      </c>
      <c r="E280" s="1"/>
      <c r="F280" s="2" t="s">
        <v>1759</v>
      </c>
      <c r="G280" s="1">
        <v>47</v>
      </c>
    </row>
    <row r="281" spans="1:7" ht="359">
      <c r="A281" s="1" t="s">
        <v>1760</v>
      </c>
      <c r="B281" s="1" t="s">
        <v>1696</v>
      </c>
      <c r="C281" s="4">
        <v>39857.525000000001</v>
      </c>
      <c r="D281" s="1" t="s">
        <v>14</v>
      </c>
      <c r="E281" s="1"/>
      <c r="F281" s="2" t="s">
        <v>1761</v>
      </c>
      <c r="G281" s="1">
        <v>611</v>
      </c>
    </row>
    <row r="282" spans="1:7" ht="71">
      <c r="A282" s="1" t="s">
        <v>1764</v>
      </c>
      <c r="B282" s="1" t="s">
        <v>1196</v>
      </c>
      <c r="C282" s="4">
        <v>39857.644444444442</v>
      </c>
      <c r="D282" s="1" t="s">
        <v>14</v>
      </c>
      <c r="E282" s="1"/>
      <c r="F282" s="2" t="s">
        <v>1766</v>
      </c>
      <c r="G282" s="1">
        <v>115</v>
      </c>
    </row>
    <row r="283" spans="1:7" ht="211">
      <c r="A283" s="1" t="s">
        <v>1767</v>
      </c>
      <c r="B283" s="1" t="s">
        <v>846</v>
      </c>
      <c r="C283" s="4">
        <v>39857.676388888889</v>
      </c>
      <c r="D283" s="1" t="s">
        <v>1768</v>
      </c>
      <c r="E283" s="1"/>
      <c r="F283" s="2" t="s">
        <v>1769</v>
      </c>
      <c r="G283" s="1">
        <v>288</v>
      </c>
    </row>
    <row r="284" spans="1:7" ht="141">
      <c r="A284" s="1" t="s">
        <v>1773</v>
      </c>
      <c r="B284" s="1" t="s">
        <v>1696</v>
      </c>
      <c r="C284" s="4">
        <v>39857.724305555559</v>
      </c>
      <c r="D284" s="1" t="s">
        <v>14</v>
      </c>
      <c r="E284" s="1"/>
      <c r="F284" s="2" t="s">
        <v>1775</v>
      </c>
      <c r="G284" s="1">
        <v>246</v>
      </c>
    </row>
    <row r="285" spans="1:7" ht="99">
      <c r="A285" s="1" t="s">
        <v>1776</v>
      </c>
      <c r="B285" s="1" t="s">
        <v>1696</v>
      </c>
      <c r="C285" s="4">
        <v>39857.800694444442</v>
      </c>
      <c r="D285" s="1" t="s">
        <v>196</v>
      </c>
      <c r="E285" s="1"/>
      <c r="F285" s="2" t="s">
        <v>1778</v>
      </c>
      <c r="G285" s="1">
        <v>148</v>
      </c>
    </row>
    <row r="286" spans="1:7" ht="29">
      <c r="A286" s="1" t="s">
        <v>1779</v>
      </c>
      <c r="B286" s="1" t="s">
        <v>846</v>
      </c>
      <c r="C286" s="4">
        <v>39857.843055555553</v>
      </c>
      <c r="D286" s="1" t="s">
        <v>54</v>
      </c>
      <c r="E286" s="1"/>
      <c r="F286" s="2" t="s">
        <v>1781</v>
      </c>
      <c r="G286" s="1">
        <v>24</v>
      </c>
    </row>
    <row r="287" spans="1:7" ht="127">
      <c r="A287" s="1" t="s">
        <v>1782</v>
      </c>
      <c r="B287" s="1" t="s">
        <v>1519</v>
      </c>
      <c r="C287" s="4">
        <v>39857.87222222222</v>
      </c>
      <c r="D287" s="1" t="s">
        <v>54</v>
      </c>
      <c r="E287" s="1"/>
      <c r="F287" s="2" t="s">
        <v>1783</v>
      </c>
      <c r="G287" s="1">
        <v>196</v>
      </c>
    </row>
    <row r="288" spans="1:7" ht="253">
      <c r="A288" s="1" t="s">
        <v>1784</v>
      </c>
      <c r="B288" s="1" t="s">
        <v>1696</v>
      </c>
      <c r="C288" s="4">
        <v>39858.050694444442</v>
      </c>
      <c r="D288" s="1" t="s">
        <v>1528</v>
      </c>
      <c r="E288" s="1"/>
      <c r="F288" s="2" t="s">
        <v>1786</v>
      </c>
      <c r="G288" s="1">
        <v>415</v>
      </c>
    </row>
    <row r="289" spans="1:7" ht="71">
      <c r="A289" s="1" t="s">
        <v>1793</v>
      </c>
      <c r="B289" s="1" t="s">
        <v>1519</v>
      </c>
      <c r="C289" s="4">
        <v>39857.9375</v>
      </c>
      <c r="D289" s="1" t="s">
        <v>54</v>
      </c>
      <c r="E289" s="1"/>
      <c r="F289" s="2" t="s">
        <v>1795</v>
      </c>
      <c r="G289" s="1">
        <v>91</v>
      </c>
    </row>
    <row r="290" spans="1:7" ht="141">
      <c r="A290" s="1" t="s">
        <v>1802</v>
      </c>
      <c r="B290" s="1" t="s">
        <v>1196</v>
      </c>
      <c r="C290" s="4">
        <v>39858.040277777778</v>
      </c>
      <c r="D290" s="1" t="s">
        <v>14</v>
      </c>
      <c r="E290" s="1"/>
      <c r="F290" s="2" t="s">
        <v>1805</v>
      </c>
      <c r="G290" s="1">
        <v>211</v>
      </c>
    </row>
    <row r="291" spans="1:7" ht="141">
      <c r="A291" s="1" t="s">
        <v>1806</v>
      </c>
      <c r="B291" s="1" t="s">
        <v>1696</v>
      </c>
      <c r="C291" s="4">
        <v>39858.046527777777</v>
      </c>
      <c r="D291" s="1" t="s">
        <v>1807</v>
      </c>
      <c r="E291" s="1"/>
      <c r="F291" s="2" t="s">
        <v>1808</v>
      </c>
      <c r="G291" s="1">
        <v>211</v>
      </c>
    </row>
    <row r="292" spans="1:7" ht="71">
      <c r="A292" s="1" t="s">
        <v>1809</v>
      </c>
      <c r="B292" s="1" t="s">
        <v>1696</v>
      </c>
      <c r="C292" s="4">
        <v>39859.904861111114</v>
      </c>
      <c r="D292" s="1" t="s">
        <v>1528</v>
      </c>
      <c r="E292" s="1"/>
      <c r="F292" s="2" t="s">
        <v>1810</v>
      </c>
      <c r="G292" s="1">
        <v>100</v>
      </c>
    </row>
    <row r="293" spans="1:7" ht="409.6">
      <c r="A293" s="1" t="s">
        <v>12</v>
      </c>
      <c r="B293" s="1" t="s">
        <v>1814</v>
      </c>
      <c r="C293" s="4">
        <v>39858.175752314812</v>
      </c>
      <c r="D293" s="1" t="s">
        <v>175</v>
      </c>
      <c r="E293" s="1"/>
      <c r="F293" s="2" t="s">
        <v>1816</v>
      </c>
      <c r="G293" s="1">
        <v>391</v>
      </c>
    </row>
    <row r="294" spans="1:7" ht="57">
      <c r="A294" s="1" t="s">
        <v>1819</v>
      </c>
      <c r="B294" s="1" t="s">
        <v>1814</v>
      </c>
      <c r="C294" s="4">
        <v>39858.335416666669</v>
      </c>
      <c r="D294" s="1" t="s">
        <v>54</v>
      </c>
      <c r="E294" s="1"/>
      <c r="F294" s="2" t="s">
        <v>1821</v>
      </c>
      <c r="G294" s="1">
        <v>81</v>
      </c>
    </row>
    <row r="295" spans="1:7" ht="43">
      <c r="A295" s="1" t="s">
        <v>1822</v>
      </c>
      <c r="B295" s="1" t="s">
        <v>1196</v>
      </c>
      <c r="C295" s="4">
        <v>39858.347916666666</v>
      </c>
      <c r="D295" s="1" t="s">
        <v>255</v>
      </c>
      <c r="E295" s="1"/>
      <c r="F295" s="2" t="s">
        <v>1823</v>
      </c>
      <c r="G295" s="1">
        <v>64</v>
      </c>
    </row>
    <row r="296" spans="1:7" ht="253">
      <c r="A296" s="1" t="s">
        <v>1824</v>
      </c>
      <c r="B296" s="1" t="s">
        <v>1696</v>
      </c>
      <c r="C296" s="4">
        <v>39858.359027777777</v>
      </c>
      <c r="D296" s="1" t="s">
        <v>54</v>
      </c>
      <c r="E296" s="1"/>
      <c r="F296" s="2" t="s">
        <v>1826</v>
      </c>
      <c r="G296" s="1">
        <v>349</v>
      </c>
    </row>
    <row r="297" spans="1:7" ht="169">
      <c r="A297" s="1" t="s">
        <v>1829</v>
      </c>
      <c r="B297" s="1" t="s">
        <v>1519</v>
      </c>
      <c r="C297" s="4">
        <v>39858.383333333331</v>
      </c>
      <c r="D297" s="1" t="s">
        <v>320</v>
      </c>
      <c r="E297" s="1"/>
      <c r="F297" s="2" t="s">
        <v>1831</v>
      </c>
      <c r="G297" s="1">
        <v>282</v>
      </c>
    </row>
    <row r="298" spans="1:7" ht="239">
      <c r="A298" s="1" t="s">
        <v>1841</v>
      </c>
      <c r="B298" s="1" t="s">
        <v>1519</v>
      </c>
      <c r="C298" s="4">
        <v>39858.440972222219</v>
      </c>
      <c r="D298" s="1" t="s">
        <v>54</v>
      </c>
      <c r="E298" s="1"/>
      <c r="F298" s="2" t="s">
        <v>1843</v>
      </c>
      <c r="G298" s="1">
        <v>394</v>
      </c>
    </row>
    <row r="299" spans="1:7" ht="169">
      <c r="A299" s="1" t="s">
        <v>1844</v>
      </c>
      <c r="B299" s="1" t="s">
        <v>1519</v>
      </c>
      <c r="C299" s="4">
        <v>39858.49722222222</v>
      </c>
      <c r="D299" s="1" t="s">
        <v>54</v>
      </c>
      <c r="E299" s="1"/>
      <c r="F299" s="2" t="s">
        <v>1846</v>
      </c>
      <c r="G299" s="1">
        <v>273</v>
      </c>
    </row>
    <row r="300" spans="1:7" ht="29">
      <c r="A300" s="1" t="s">
        <v>1869</v>
      </c>
      <c r="B300" s="1" t="s">
        <v>1814</v>
      </c>
      <c r="C300" s="4">
        <v>39858.918055555558</v>
      </c>
      <c r="D300" s="1" t="s">
        <v>1089</v>
      </c>
      <c r="E300" s="1"/>
      <c r="F300" s="2" t="s">
        <v>1871</v>
      </c>
      <c r="G300" s="1">
        <v>37</v>
      </c>
    </row>
    <row r="301" spans="1:7" ht="85">
      <c r="A301" s="1" t="s">
        <v>1883</v>
      </c>
      <c r="B301" s="1" t="s">
        <v>1196</v>
      </c>
      <c r="C301" s="4">
        <v>39859.195138888892</v>
      </c>
      <c r="D301" s="1" t="s">
        <v>54</v>
      </c>
      <c r="E301" s="1"/>
      <c r="F301" s="2" t="s">
        <v>1885</v>
      </c>
      <c r="G301" s="1">
        <v>129</v>
      </c>
    </row>
    <row r="302" spans="1:7" ht="57">
      <c r="A302" s="1" t="s">
        <v>1886</v>
      </c>
      <c r="B302" s="1" t="s">
        <v>1814</v>
      </c>
      <c r="C302" s="4">
        <v>39859.322222222225</v>
      </c>
      <c r="D302" s="1" t="s">
        <v>1887</v>
      </c>
      <c r="E302" s="1"/>
      <c r="F302" s="2" t="s">
        <v>1889</v>
      </c>
      <c r="G302" s="1">
        <v>84</v>
      </c>
    </row>
    <row r="303" spans="1:7" ht="294">
      <c r="A303" s="1" t="s">
        <v>1897</v>
      </c>
      <c r="B303" s="1" t="s">
        <v>1196</v>
      </c>
      <c r="C303" s="4">
        <v>39859.394444444442</v>
      </c>
      <c r="D303" s="1" t="s">
        <v>255</v>
      </c>
      <c r="E303" s="1"/>
      <c r="F303" s="2" t="s">
        <v>1899</v>
      </c>
      <c r="G303" s="1">
        <v>460</v>
      </c>
    </row>
    <row r="304" spans="1:7" ht="43">
      <c r="A304" s="1" t="s">
        <v>1900</v>
      </c>
      <c r="B304" s="1" t="s">
        <v>1196</v>
      </c>
      <c r="C304" s="4">
        <v>39859.414583333331</v>
      </c>
      <c r="D304" s="1" t="s">
        <v>255</v>
      </c>
      <c r="E304" s="1"/>
      <c r="F304" s="2" t="s">
        <v>1901</v>
      </c>
      <c r="G304" s="1">
        <v>46</v>
      </c>
    </row>
    <row r="305" spans="1:7" ht="71">
      <c r="A305" s="1" t="s">
        <v>1902</v>
      </c>
      <c r="B305" s="1" t="s">
        <v>1814</v>
      </c>
      <c r="C305" s="4">
        <v>39859.470833333333</v>
      </c>
      <c r="D305" s="1" t="s">
        <v>772</v>
      </c>
      <c r="E305" s="1"/>
      <c r="F305" s="2" t="s">
        <v>1903</v>
      </c>
      <c r="G305" s="1">
        <v>61</v>
      </c>
    </row>
    <row r="306" spans="1:7" ht="29">
      <c r="A306" s="1" t="s">
        <v>1904</v>
      </c>
      <c r="B306" s="1" t="s">
        <v>1814</v>
      </c>
      <c r="C306" s="4">
        <v>39859.491666666669</v>
      </c>
      <c r="D306" s="1" t="s">
        <v>772</v>
      </c>
      <c r="E306" s="1"/>
      <c r="F306" s="2" t="s">
        <v>1905</v>
      </c>
      <c r="G306" s="1">
        <v>27</v>
      </c>
    </row>
    <row r="307" spans="1:7" ht="71">
      <c r="A307" s="1" t="s">
        <v>1906</v>
      </c>
      <c r="B307" s="1" t="s">
        <v>1814</v>
      </c>
      <c r="C307" s="4">
        <v>39859.574999999997</v>
      </c>
      <c r="D307" s="1" t="s">
        <v>54</v>
      </c>
      <c r="E307" s="1"/>
      <c r="F307" s="2" t="s">
        <v>1907</v>
      </c>
      <c r="G307" s="1">
        <v>111</v>
      </c>
    </row>
    <row r="308" spans="1:7" ht="113">
      <c r="A308" s="1" t="s">
        <v>1908</v>
      </c>
      <c r="B308" s="1" t="s">
        <v>1814</v>
      </c>
      <c r="C308" s="4">
        <v>39859.586111111108</v>
      </c>
      <c r="D308" s="1" t="s">
        <v>1887</v>
      </c>
      <c r="E308" s="1"/>
      <c r="F308" s="2" t="s">
        <v>1910</v>
      </c>
      <c r="G308" s="1">
        <v>175</v>
      </c>
    </row>
    <row r="309" spans="1:7" ht="253">
      <c r="A309" s="1" t="s">
        <v>1915</v>
      </c>
      <c r="B309" s="1" t="s">
        <v>1519</v>
      </c>
      <c r="C309" s="4">
        <v>39859.679861111108</v>
      </c>
      <c r="D309" s="1" t="s">
        <v>54</v>
      </c>
      <c r="E309" s="1"/>
      <c r="F309" s="2" t="s">
        <v>1917</v>
      </c>
      <c r="G309" s="1">
        <v>414</v>
      </c>
    </row>
    <row r="310" spans="1:7" ht="99">
      <c r="A310" s="1" t="s">
        <v>1924</v>
      </c>
      <c r="B310" s="1" t="s">
        <v>1814</v>
      </c>
      <c r="C310" s="4">
        <v>39859.728472222225</v>
      </c>
      <c r="D310" s="1" t="s">
        <v>196</v>
      </c>
      <c r="E310" s="1"/>
      <c r="F310" s="2" t="s">
        <v>1926</v>
      </c>
      <c r="G310" s="1">
        <v>161</v>
      </c>
    </row>
    <row r="311" spans="1:7" ht="99">
      <c r="A311" s="1" t="s">
        <v>1929</v>
      </c>
      <c r="B311" s="1" t="s">
        <v>1814</v>
      </c>
      <c r="C311" s="4">
        <v>39859.742361111108</v>
      </c>
      <c r="D311" s="1" t="s">
        <v>54</v>
      </c>
      <c r="E311" s="1"/>
      <c r="F311" s="2" t="s">
        <v>1931</v>
      </c>
      <c r="G311" s="1">
        <v>148</v>
      </c>
    </row>
    <row r="312" spans="1:7" ht="43">
      <c r="A312" s="1" t="s">
        <v>1934</v>
      </c>
      <c r="B312" s="1" t="s">
        <v>1696</v>
      </c>
      <c r="C312" s="4">
        <v>39859.770138888889</v>
      </c>
      <c r="D312" s="1" t="s">
        <v>54</v>
      </c>
      <c r="E312" s="1"/>
      <c r="F312" s="2" t="s">
        <v>1936</v>
      </c>
      <c r="G312" s="1">
        <v>47</v>
      </c>
    </row>
    <row r="313" spans="1:7" ht="43">
      <c r="A313" s="1" t="s">
        <v>1937</v>
      </c>
      <c r="B313" s="1" t="s">
        <v>1814</v>
      </c>
      <c r="C313" s="4">
        <v>39859.772916666669</v>
      </c>
      <c r="D313" s="1" t="s">
        <v>196</v>
      </c>
      <c r="E313" s="1"/>
      <c r="F313" s="2" t="s">
        <v>1938</v>
      </c>
      <c r="G313" s="1">
        <v>64</v>
      </c>
    </row>
    <row r="314" spans="1:7" ht="253">
      <c r="A314" s="1" t="s">
        <v>1943</v>
      </c>
      <c r="B314" s="1" t="s">
        <v>1696</v>
      </c>
      <c r="C314" s="4">
        <v>39860.944444444445</v>
      </c>
      <c r="D314" s="1" t="s">
        <v>1528</v>
      </c>
      <c r="E314" s="1"/>
      <c r="F314" s="2" t="s">
        <v>1945</v>
      </c>
      <c r="G314" s="1">
        <v>440</v>
      </c>
    </row>
    <row r="315" spans="1:7" ht="29">
      <c r="A315" s="1" t="s">
        <v>1948</v>
      </c>
      <c r="B315" s="1" t="s">
        <v>1814</v>
      </c>
      <c r="C315" s="4">
        <v>39860.166666666664</v>
      </c>
      <c r="D315" s="1" t="s">
        <v>1089</v>
      </c>
      <c r="E315" s="1"/>
      <c r="F315" s="2" t="s">
        <v>1949</v>
      </c>
      <c r="G315" s="1">
        <v>42</v>
      </c>
    </row>
    <row r="316" spans="1:7" ht="85">
      <c r="A316" s="1" t="s">
        <v>1950</v>
      </c>
      <c r="B316" s="1" t="s">
        <v>1696</v>
      </c>
      <c r="C316" s="4">
        <v>39860.232638888891</v>
      </c>
      <c r="D316" s="1" t="s">
        <v>320</v>
      </c>
      <c r="E316" s="1"/>
      <c r="F316" s="2" t="s">
        <v>1951</v>
      </c>
      <c r="G316" s="1">
        <v>146</v>
      </c>
    </row>
    <row r="317" spans="1:7" ht="57">
      <c r="A317" s="1" t="s">
        <v>1952</v>
      </c>
      <c r="B317" s="1" t="s">
        <v>1814</v>
      </c>
      <c r="C317" s="4">
        <v>39860.241666666669</v>
      </c>
      <c r="D317" s="1" t="s">
        <v>84</v>
      </c>
      <c r="E317" s="1"/>
      <c r="F317" s="2" t="s">
        <v>1954</v>
      </c>
      <c r="G317" s="1">
        <v>80</v>
      </c>
    </row>
    <row r="318" spans="1:7" ht="29">
      <c r="A318" s="1" t="s">
        <v>1959</v>
      </c>
      <c r="B318" s="1" t="s">
        <v>1696</v>
      </c>
      <c r="C318" s="4">
        <v>39860.374305555553</v>
      </c>
      <c r="D318" s="1" t="s">
        <v>54</v>
      </c>
      <c r="E318" s="1"/>
      <c r="F318" s="2" t="s">
        <v>1961</v>
      </c>
      <c r="G318" s="1">
        <v>19</v>
      </c>
    </row>
    <row r="319" spans="1:7" ht="43">
      <c r="A319" s="1" t="s">
        <v>1967</v>
      </c>
      <c r="B319" s="1" t="s">
        <v>1814</v>
      </c>
      <c r="C319" s="4">
        <v>39860.397916666669</v>
      </c>
      <c r="D319" s="1" t="s">
        <v>196</v>
      </c>
      <c r="E319" s="1"/>
      <c r="F319" s="2" t="s">
        <v>1968</v>
      </c>
      <c r="G319" s="1">
        <v>56</v>
      </c>
    </row>
    <row r="320" spans="1:7" ht="141">
      <c r="A320" s="1" t="s">
        <v>1969</v>
      </c>
      <c r="B320" s="1" t="s">
        <v>1814</v>
      </c>
      <c r="C320" s="4">
        <v>39860.40625</v>
      </c>
      <c r="D320" s="1" t="s">
        <v>1887</v>
      </c>
      <c r="E320" s="1"/>
      <c r="F320" s="2" t="s">
        <v>1970</v>
      </c>
      <c r="G320" s="1">
        <v>144</v>
      </c>
    </row>
    <row r="321" spans="1:7" ht="85">
      <c r="A321" s="1" t="s">
        <v>1971</v>
      </c>
      <c r="B321" s="1" t="s">
        <v>1814</v>
      </c>
      <c r="C321" s="4">
        <v>39860.411111111112</v>
      </c>
      <c r="D321" s="1" t="s">
        <v>1887</v>
      </c>
      <c r="E321" s="1"/>
      <c r="F321" s="2" t="s">
        <v>1973</v>
      </c>
      <c r="G321" s="1">
        <v>113</v>
      </c>
    </row>
    <row r="322" spans="1:7" ht="43">
      <c r="A322" s="1" t="s">
        <v>1974</v>
      </c>
      <c r="B322" s="1" t="s">
        <v>1814</v>
      </c>
      <c r="C322" s="4">
        <v>39860.444444444445</v>
      </c>
      <c r="D322" s="1" t="s">
        <v>54</v>
      </c>
      <c r="E322" s="1"/>
      <c r="F322" s="2" t="s">
        <v>1976</v>
      </c>
      <c r="G322" s="1">
        <v>72</v>
      </c>
    </row>
    <row r="323" spans="1:7" ht="57">
      <c r="A323" s="1" t="s">
        <v>1981</v>
      </c>
      <c r="B323" s="1" t="s">
        <v>1519</v>
      </c>
      <c r="C323" s="4">
        <v>39860.541666666664</v>
      </c>
      <c r="D323" s="1" t="s">
        <v>320</v>
      </c>
      <c r="E323" s="1"/>
      <c r="F323" s="2" t="s">
        <v>1983</v>
      </c>
      <c r="G323" s="1">
        <v>53</v>
      </c>
    </row>
    <row r="324" spans="1:7" ht="85">
      <c r="A324" s="1" t="s">
        <v>1984</v>
      </c>
      <c r="B324" s="1" t="s">
        <v>1814</v>
      </c>
      <c r="C324" s="4">
        <v>39860.587500000001</v>
      </c>
      <c r="D324" s="1" t="s">
        <v>84</v>
      </c>
      <c r="E324" s="1"/>
      <c r="F324" s="2" t="s">
        <v>1987</v>
      </c>
      <c r="G324" s="1">
        <v>127</v>
      </c>
    </row>
    <row r="325" spans="1:7" ht="183">
      <c r="A325" s="1" t="s">
        <v>1988</v>
      </c>
      <c r="B325" s="1" t="s">
        <v>1696</v>
      </c>
      <c r="C325" s="4">
        <v>39860.598611111112</v>
      </c>
      <c r="D325" s="1" t="s">
        <v>314</v>
      </c>
      <c r="E325" s="1"/>
      <c r="F325" s="2" t="s">
        <v>1989</v>
      </c>
      <c r="G325" s="1">
        <v>274</v>
      </c>
    </row>
    <row r="326" spans="1:7" ht="281">
      <c r="A326" s="1" t="s">
        <v>1990</v>
      </c>
      <c r="B326" s="1" t="s">
        <v>1519</v>
      </c>
      <c r="C326" s="4">
        <v>39860.624305555553</v>
      </c>
      <c r="D326" s="1" t="s">
        <v>54</v>
      </c>
      <c r="E326" s="1"/>
      <c r="F326" s="2" t="s">
        <v>1992</v>
      </c>
      <c r="G326" s="1">
        <v>436</v>
      </c>
    </row>
    <row r="327" spans="1:7" ht="211">
      <c r="A327" s="1" t="s">
        <v>2009</v>
      </c>
      <c r="B327" s="1" t="s">
        <v>1814</v>
      </c>
      <c r="C327" s="4">
        <v>39860.775694444441</v>
      </c>
      <c r="D327" s="1" t="s">
        <v>2010</v>
      </c>
      <c r="E327" s="1"/>
      <c r="F327" s="2" t="s">
        <v>2012</v>
      </c>
      <c r="G327" s="1">
        <v>296</v>
      </c>
    </row>
    <row r="328" spans="1:7" ht="99">
      <c r="A328" s="1" t="s">
        <v>2017</v>
      </c>
      <c r="B328" s="1" t="s">
        <v>1814</v>
      </c>
      <c r="C328" s="4">
        <v>39860.789583333331</v>
      </c>
      <c r="D328" s="1" t="s">
        <v>54</v>
      </c>
      <c r="E328" s="1"/>
      <c r="F328" s="2" t="s">
        <v>2020</v>
      </c>
      <c r="G328" s="1">
        <v>177</v>
      </c>
    </row>
    <row r="329" spans="1:7" ht="43">
      <c r="A329" s="1" t="s">
        <v>2024</v>
      </c>
      <c r="B329" s="1" t="s">
        <v>1814</v>
      </c>
      <c r="C329" s="4">
        <v>39860.912499999999</v>
      </c>
      <c r="D329" s="1" t="s">
        <v>1089</v>
      </c>
      <c r="E329" s="1"/>
      <c r="F329" s="2" t="s">
        <v>2025</v>
      </c>
      <c r="G329" s="1">
        <v>58</v>
      </c>
    </row>
    <row r="330" spans="1:7" ht="57">
      <c r="A330" s="1" t="s">
        <v>2026</v>
      </c>
      <c r="B330" s="1" t="s">
        <v>1696</v>
      </c>
      <c r="C330" s="4">
        <v>39860.914583333331</v>
      </c>
      <c r="D330" s="1" t="s">
        <v>255</v>
      </c>
      <c r="E330" s="1"/>
      <c r="F330" s="2" t="s">
        <v>2028</v>
      </c>
      <c r="G330" s="1">
        <v>97</v>
      </c>
    </row>
    <row r="331" spans="1:7" ht="29">
      <c r="A331" s="1" t="s">
        <v>2029</v>
      </c>
      <c r="B331" s="1" t="s">
        <v>1696</v>
      </c>
      <c r="C331" s="4">
        <v>39860.965277777781</v>
      </c>
      <c r="D331" s="1" t="s">
        <v>1528</v>
      </c>
      <c r="E331" s="1"/>
      <c r="F331" s="2" t="s">
        <v>2031</v>
      </c>
      <c r="G331" s="1">
        <v>34</v>
      </c>
    </row>
    <row r="332" spans="1:7">
      <c r="A332" s="1" t="s">
        <v>2032</v>
      </c>
      <c r="B332" s="1" t="s">
        <v>1814</v>
      </c>
      <c r="C332" s="4">
        <v>39860.946527777778</v>
      </c>
      <c r="D332" s="1" t="s">
        <v>1089</v>
      </c>
      <c r="E332" s="1"/>
      <c r="F332" s="2" t="s">
        <v>2033</v>
      </c>
      <c r="G332" s="1">
        <v>21</v>
      </c>
    </row>
    <row r="333" spans="1:7" ht="57">
      <c r="A333" s="1" t="s">
        <v>2034</v>
      </c>
      <c r="B333" s="1" t="s">
        <v>1696</v>
      </c>
      <c r="C333" s="4">
        <v>39861.888888888891</v>
      </c>
      <c r="D333" s="1" t="s">
        <v>1528</v>
      </c>
      <c r="E333" s="1"/>
      <c r="F333" s="2" t="s">
        <v>2036</v>
      </c>
      <c r="G333" s="1">
        <v>86</v>
      </c>
    </row>
    <row r="334" spans="1:7" ht="57">
      <c r="A334" s="1" t="s">
        <v>2054</v>
      </c>
      <c r="B334" s="1" t="s">
        <v>1696</v>
      </c>
      <c r="C334" s="4">
        <v>39861.836111111108</v>
      </c>
      <c r="D334" s="1" t="s">
        <v>255</v>
      </c>
      <c r="E334" s="1"/>
      <c r="F334" s="2" t="s">
        <v>2055</v>
      </c>
      <c r="G334" s="1">
        <v>92</v>
      </c>
    </row>
    <row r="335" spans="1:7" ht="85">
      <c r="A335" s="1" t="s">
        <v>2064</v>
      </c>
      <c r="B335" s="1" t="s">
        <v>1814</v>
      </c>
      <c r="C335" s="4">
        <v>39861.864583333336</v>
      </c>
      <c r="D335" s="1" t="s">
        <v>2065</v>
      </c>
      <c r="E335" s="1"/>
      <c r="F335" s="2" t="s">
        <v>2066</v>
      </c>
      <c r="G335" s="1">
        <v>82</v>
      </c>
    </row>
    <row r="336" spans="1:7" ht="113">
      <c r="A336" s="1" t="s">
        <v>2069</v>
      </c>
      <c r="B336" s="1" t="s">
        <v>1696</v>
      </c>
      <c r="C336" s="4">
        <v>39861.879861111112</v>
      </c>
      <c r="D336" s="1" t="s">
        <v>14</v>
      </c>
      <c r="E336" s="1"/>
      <c r="F336" s="2" t="s">
        <v>2071</v>
      </c>
      <c r="G336" s="1">
        <v>210</v>
      </c>
    </row>
    <row r="337" spans="1:7" ht="85">
      <c r="A337" s="1" t="s">
        <v>2072</v>
      </c>
      <c r="B337" s="1" t="s">
        <v>1696</v>
      </c>
      <c r="C337" s="4">
        <v>39861.89166666667</v>
      </c>
      <c r="D337" s="1" t="s">
        <v>1528</v>
      </c>
      <c r="E337" s="1"/>
      <c r="F337" s="2" t="s">
        <v>2074</v>
      </c>
      <c r="G337" s="1">
        <v>139</v>
      </c>
    </row>
    <row r="338" spans="1:7" ht="409.6">
      <c r="A338" s="1" t="s">
        <v>2075</v>
      </c>
      <c r="B338" s="1" t="s">
        <v>1696</v>
      </c>
      <c r="C338" s="4">
        <v>39867.047222222223</v>
      </c>
      <c r="D338" s="1" t="s">
        <v>1528</v>
      </c>
      <c r="E338" s="1"/>
      <c r="F338" s="2" t="s">
        <v>2076</v>
      </c>
      <c r="G338" s="1">
        <v>570</v>
      </c>
    </row>
    <row r="339" spans="1:7" ht="113">
      <c r="A339" s="1" t="s">
        <v>2080</v>
      </c>
      <c r="B339" s="1" t="s">
        <v>1519</v>
      </c>
      <c r="C339" s="4">
        <v>39861.915972222225</v>
      </c>
      <c r="D339" s="1" t="s">
        <v>54</v>
      </c>
      <c r="E339" s="1"/>
      <c r="F339" s="2" t="s">
        <v>2083</v>
      </c>
      <c r="G339" s="1">
        <v>166</v>
      </c>
    </row>
    <row r="340" spans="1:7" ht="57">
      <c r="A340" s="1" t="s">
        <v>2084</v>
      </c>
      <c r="B340" s="1" t="s">
        <v>1814</v>
      </c>
      <c r="C340" s="4">
        <v>39862.061805555553</v>
      </c>
      <c r="D340" s="1" t="s">
        <v>1887</v>
      </c>
      <c r="E340" s="1"/>
      <c r="F340" s="2" t="s">
        <v>2085</v>
      </c>
      <c r="G340" s="1">
        <v>59</v>
      </c>
    </row>
    <row r="341" spans="1:7" ht="57">
      <c r="A341" s="1" t="s">
        <v>2098</v>
      </c>
      <c r="B341" s="1" t="s">
        <v>1696</v>
      </c>
      <c r="C341" s="4">
        <v>39862.574305555558</v>
      </c>
      <c r="D341" s="1" t="s">
        <v>14</v>
      </c>
      <c r="E341" s="1"/>
      <c r="F341" s="2" t="s">
        <v>2100</v>
      </c>
      <c r="G341" s="1">
        <v>91</v>
      </c>
    </row>
    <row r="342" spans="1:7" ht="333">
      <c r="A342" s="1" t="s">
        <v>2106</v>
      </c>
      <c r="B342" s="1" t="s">
        <v>1696</v>
      </c>
      <c r="C342" s="4">
        <v>39862.966666666667</v>
      </c>
      <c r="D342" s="1" t="s">
        <v>14</v>
      </c>
      <c r="E342" s="1"/>
      <c r="F342" s="2" t="s">
        <v>2107</v>
      </c>
      <c r="G342" s="1">
        <v>606</v>
      </c>
    </row>
    <row r="343" spans="1:7" ht="71">
      <c r="A343" s="1" t="s">
        <v>2118</v>
      </c>
      <c r="B343" s="1" t="s">
        <v>1814</v>
      </c>
      <c r="C343" s="4">
        <v>39863.396527777775</v>
      </c>
      <c r="D343" s="1" t="s">
        <v>54</v>
      </c>
      <c r="E343" s="1"/>
      <c r="F343" s="2" t="s">
        <v>2119</v>
      </c>
      <c r="G343" s="1">
        <v>101</v>
      </c>
    </row>
    <row r="344" spans="1:7" ht="85">
      <c r="A344" s="1" t="s">
        <v>2126</v>
      </c>
      <c r="B344" s="1" t="s">
        <v>1814</v>
      </c>
      <c r="C344" s="4">
        <v>39863.583333333336</v>
      </c>
      <c r="D344" s="1" t="s">
        <v>1887</v>
      </c>
      <c r="E344" s="1"/>
      <c r="F344" s="2" t="s">
        <v>2128</v>
      </c>
      <c r="G344" s="1">
        <v>46</v>
      </c>
    </row>
    <row r="345" spans="1:7" ht="85">
      <c r="A345" s="1" t="s">
        <v>2129</v>
      </c>
      <c r="B345" s="1" t="s">
        <v>1696</v>
      </c>
      <c r="C345" s="4">
        <v>39863.661111111112</v>
      </c>
      <c r="D345" s="1" t="s">
        <v>14</v>
      </c>
      <c r="E345" s="1"/>
      <c r="F345" s="2" t="s">
        <v>2131</v>
      </c>
      <c r="G345" s="1">
        <v>130</v>
      </c>
    </row>
    <row r="346" spans="1:7" ht="211">
      <c r="A346" s="1" t="s">
        <v>2132</v>
      </c>
      <c r="B346" s="1" t="s">
        <v>1696</v>
      </c>
      <c r="C346" s="4">
        <v>39863.708333333336</v>
      </c>
      <c r="D346" s="1" t="s">
        <v>14</v>
      </c>
      <c r="E346" s="1"/>
      <c r="F346" s="2" t="s">
        <v>2134</v>
      </c>
      <c r="G346" s="1">
        <v>357</v>
      </c>
    </row>
    <row r="347" spans="1:7" ht="113">
      <c r="A347" s="1" t="s">
        <v>2135</v>
      </c>
      <c r="B347" s="1" t="s">
        <v>1696</v>
      </c>
      <c r="C347" s="4">
        <v>39863.741666666669</v>
      </c>
      <c r="D347" s="1" t="s">
        <v>14</v>
      </c>
      <c r="E347" s="1"/>
      <c r="F347" s="2" t="s">
        <v>2136</v>
      </c>
      <c r="G347" s="1">
        <v>193</v>
      </c>
    </row>
    <row r="348" spans="1:7" ht="57">
      <c r="A348" s="1" t="s">
        <v>2137</v>
      </c>
      <c r="B348" s="1" t="s">
        <v>1814</v>
      </c>
      <c r="C348" s="4">
        <v>39863.784722222219</v>
      </c>
      <c r="D348" s="1" t="s">
        <v>1089</v>
      </c>
      <c r="E348" s="1"/>
      <c r="F348" s="2" t="s">
        <v>2138</v>
      </c>
      <c r="G348" s="1">
        <v>69</v>
      </c>
    </row>
    <row r="349" spans="1:7" ht="155">
      <c r="A349" s="1" t="s">
        <v>2141</v>
      </c>
      <c r="B349" s="1" t="s">
        <v>1814</v>
      </c>
      <c r="C349" s="4">
        <v>39863.838888888888</v>
      </c>
      <c r="D349" s="1" t="s">
        <v>772</v>
      </c>
      <c r="E349" s="1"/>
      <c r="F349" s="2" t="s">
        <v>2142</v>
      </c>
      <c r="G349" s="1">
        <v>153</v>
      </c>
    </row>
    <row r="350" spans="1:7" ht="57">
      <c r="A350" s="1" t="s">
        <v>2147</v>
      </c>
      <c r="B350" s="1" t="s">
        <v>1814</v>
      </c>
      <c r="C350" s="4">
        <v>39863.931944444441</v>
      </c>
      <c r="D350" s="1" t="s">
        <v>54</v>
      </c>
      <c r="E350" s="1"/>
      <c r="F350" s="2" t="s">
        <v>2148</v>
      </c>
      <c r="G350" s="1">
        <v>92</v>
      </c>
    </row>
    <row r="351" spans="1:7" ht="43">
      <c r="A351" s="1" t="s">
        <v>2149</v>
      </c>
      <c r="B351" s="1" t="s">
        <v>156</v>
      </c>
      <c r="C351" s="4">
        <v>39863.944444444445</v>
      </c>
      <c r="D351" s="1" t="s">
        <v>772</v>
      </c>
      <c r="E351" s="1"/>
      <c r="F351" s="2" t="s">
        <v>2152</v>
      </c>
      <c r="G351" s="1">
        <v>62</v>
      </c>
    </row>
    <row r="352" spans="1:7" ht="127">
      <c r="A352" s="1" t="s">
        <v>2157</v>
      </c>
      <c r="B352" s="1" t="s">
        <v>1696</v>
      </c>
      <c r="C352" s="4">
        <v>39864.144444444442</v>
      </c>
      <c r="D352" s="1" t="s">
        <v>196</v>
      </c>
      <c r="E352" s="1"/>
      <c r="F352" s="2" t="s">
        <v>2159</v>
      </c>
      <c r="G352" s="1">
        <v>206</v>
      </c>
    </row>
    <row r="353" spans="1:7" ht="85">
      <c r="A353" s="1" t="s">
        <v>2162</v>
      </c>
      <c r="B353" s="1" t="s">
        <v>1814</v>
      </c>
      <c r="C353" s="4">
        <v>39864.223611111112</v>
      </c>
      <c r="D353" s="1" t="s">
        <v>1887</v>
      </c>
      <c r="E353" s="1"/>
      <c r="F353" s="2" t="s">
        <v>2164</v>
      </c>
      <c r="G353" s="1">
        <v>76</v>
      </c>
    </row>
    <row r="354" spans="1:7" ht="29">
      <c r="A354" s="1" t="s">
        <v>2169</v>
      </c>
      <c r="B354" s="1" t="s">
        <v>1696</v>
      </c>
      <c r="C354" s="4">
        <v>39864.291666666664</v>
      </c>
      <c r="D354" s="1" t="s">
        <v>320</v>
      </c>
      <c r="E354" s="1"/>
      <c r="F354" s="2" t="s">
        <v>2171</v>
      </c>
      <c r="G354" s="1">
        <v>38</v>
      </c>
    </row>
    <row r="355" spans="1:7" ht="85">
      <c r="A355" s="1" t="s">
        <v>2172</v>
      </c>
      <c r="B355" s="1" t="s">
        <v>1696</v>
      </c>
      <c r="C355" s="4">
        <v>39864.299305555556</v>
      </c>
      <c r="D355" s="1" t="s">
        <v>196</v>
      </c>
      <c r="E355" s="1"/>
      <c r="F355" s="2" t="s">
        <v>2173</v>
      </c>
      <c r="G355" s="1">
        <v>120</v>
      </c>
    </row>
    <row r="356" spans="1:7" ht="43">
      <c r="A356" s="1" t="s">
        <v>2201</v>
      </c>
      <c r="B356" s="1" t="s">
        <v>1814</v>
      </c>
      <c r="C356" s="4">
        <v>39864.509027777778</v>
      </c>
      <c r="D356" s="1" t="s">
        <v>772</v>
      </c>
      <c r="E356" s="1"/>
      <c r="F356" s="2" t="s">
        <v>2203</v>
      </c>
      <c r="G356" s="1">
        <v>42</v>
      </c>
    </row>
    <row r="357" spans="1:7" ht="225">
      <c r="A357" s="1" t="s">
        <v>2204</v>
      </c>
      <c r="B357" s="1" t="s">
        <v>1696</v>
      </c>
      <c r="C357" s="4">
        <v>39864.511805555558</v>
      </c>
      <c r="D357" s="1" t="s">
        <v>14</v>
      </c>
      <c r="E357" s="1"/>
      <c r="F357" s="2" t="s">
        <v>2206</v>
      </c>
      <c r="G357" s="1">
        <v>385</v>
      </c>
    </row>
    <row r="358" spans="1:7" ht="155">
      <c r="A358" s="1" t="s">
        <v>2207</v>
      </c>
      <c r="B358" s="1" t="s">
        <v>1696</v>
      </c>
      <c r="C358" s="4">
        <v>39864.52847222222</v>
      </c>
      <c r="D358" s="1" t="s">
        <v>14</v>
      </c>
      <c r="E358" s="1"/>
      <c r="F358" s="2" t="s">
        <v>2208</v>
      </c>
      <c r="G358" s="1">
        <v>285</v>
      </c>
    </row>
    <row r="359" spans="1:7" ht="29">
      <c r="A359" s="1" t="s">
        <v>2212</v>
      </c>
      <c r="B359" s="3" t="s">
        <v>13</v>
      </c>
      <c r="C359" s="4">
        <v>39864.62222222222</v>
      </c>
      <c r="D359" s="1" t="s">
        <v>2213</v>
      </c>
      <c r="E359" s="1"/>
      <c r="F359" s="2" t="s">
        <v>2215</v>
      </c>
      <c r="G359" s="1">
        <v>44</v>
      </c>
    </row>
    <row r="360" spans="1:7" ht="99">
      <c r="A360" s="1" t="s">
        <v>2229</v>
      </c>
      <c r="B360" s="1" t="s">
        <v>1696</v>
      </c>
      <c r="C360" s="4">
        <v>39864.808333333334</v>
      </c>
      <c r="D360" s="1" t="s">
        <v>14</v>
      </c>
      <c r="E360" s="1"/>
      <c r="F360" s="2" t="s">
        <v>2232</v>
      </c>
      <c r="G360" s="1">
        <v>158</v>
      </c>
    </row>
    <row r="361" spans="1:7" ht="113">
      <c r="A361" s="1" t="s">
        <v>2241</v>
      </c>
      <c r="B361" s="1" t="s">
        <v>1814</v>
      </c>
      <c r="C361" s="4">
        <v>39865.229166666664</v>
      </c>
      <c r="D361" s="1" t="s">
        <v>2242</v>
      </c>
      <c r="E361" s="1"/>
      <c r="F361" s="2" t="s">
        <v>2243</v>
      </c>
      <c r="G361" s="1">
        <v>157</v>
      </c>
    </row>
    <row r="362" spans="1:7">
      <c r="A362" s="1" t="s">
        <v>2244</v>
      </c>
      <c r="B362" s="1" t="s">
        <v>1814</v>
      </c>
      <c r="C362" s="4">
        <v>39865.231944444444</v>
      </c>
      <c r="D362" s="1" t="s">
        <v>1089</v>
      </c>
      <c r="E362" s="1"/>
      <c r="F362" s="2" t="s">
        <v>2246</v>
      </c>
      <c r="G362" s="1">
        <v>16</v>
      </c>
    </row>
    <row r="363" spans="1:7" ht="320">
      <c r="A363" s="1" t="s">
        <v>2247</v>
      </c>
      <c r="B363" s="1" t="s">
        <v>1696</v>
      </c>
      <c r="C363" s="4">
        <v>39865.282638888886</v>
      </c>
      <c r="D363" s="1" t="s">
        <v>54</v>
      </c>
      <c r="E363" s="1"/>
      <c r="F363" s="2" t="s">
        <v>2248</v>
      </c>
      <c r="G363" s="1">
        <v>549</v>
      </c>
    </row>
    <row r="364" spans="1:7" ht="71">
      <c r="A364" s="1" t="s">
        <v>2256</v>
      </c>
      <c r="B364" s="1" t="s">
        <v>1814</v>
      </c>
      <c r="C364" s="4">
        <v>39865.439583333333</v>
      </c>
      <c r="D364" s="1" t="s">
        <v>196</v>
      </c>
      <c r="E364" s="1"/>
      <c r="F364" s="2" t="s">
        <v>2257</v>
      </c>
      <c r="G364" s="1">
        <v>109</v>
      </c>
    </row>
    <row r="365" spans="1:7" ht="43">
      <c r="A365" s="1" t="s">
        <v>2258</v>
      </c>
      <c r="B365" s="1" t="s">
        <v>1814</v>
      </c>
      <c r="C365" s="4">
        <v>39865.503472222219</v>
      </c>
      <c r="D365" s="1" t="s">
        <v>772</v>
      </c>
      <c r="E365" s="1"/>
      <c r="F365" s="2" t="s">
        <v>2260</v>
      </c>
      <c r="G365" s="1">
        <v>28</v>
      </c>
    </row>
    <row r="366" spans="1:7" ht="71">
      <c r="A366" s="1" t="s">
        <v>2261</v>
      </c>
      <c r="B366" s="1" t="s">
        <v>1814</v>
      </c>
      <c r="C366" s="4">
        <v>39865.552777777775</v>
      </c>
      <c r="D366" s="1" t="s">
        <v>381</v>
      </c>
      <c r="E366" s="1"/>
      <c r="F366" s="2" t="s">
        <v>2262</v>
      </c>
      <c r="G366" s="1">
        <v>81</v>
      </c>
    </row>
    <row r="367" spans="1:7" ht="385">
      <c r="A367" s="1" t="s">
        <v>2269</v>
      </c>
      <c r="B367" s="1" t="s">
        <v>1696</v>
      </c>
      <c r="C367" s="4">
        <v>39865.736111111109</v>
      </c>
      <c r="D367" s="1" t="s">
        <v>14</v>
      </c>
      <c r="E367" s="1"/>
      <c r="F367" s="2" t="s">
        <v>2271</v>
      </c>
      <c r="G367" s="1">
        <v>719</v>
      </c>
    </row>
    <row r="368" spans="1:7" ht="57">
      <c r="A368" s="1" t="s">
        <v>2272</v>
      </c>
      <c r="B368" s="1" t="s">
        <v>1696</v>
      </c>
      <c r="C368" s="4">
        <v>39865.737500000003</v>
      </c>
      <c r="D368" s="1" t="s">
        <v>54</v>
      </c>
      <c r="E368" s="1"/>
      <c r="F368" s="2" t="s">
        <v>2274</v>
      </c>
      <c r="G368" s="1">
        <v>83</v>
      </c>
    </row>
    <row r="369" spans="1:7" ht="183">
      <c r="A369" s="1" t="s">
        <v>2275</v>
      </c>
      <c r="B369" s="1" t="s">
        <v>1696</v>
      </c>
      <c r="C369" s="4">
        <v>39865.752083333333</v>
      </c>
      <c r="D369" s="1" t="s">
        <v>14</v>
      </c>
      <c r="E369" s="1"/>
      <c r="F369" s="2" t="s">
        <v>2277</v>
      </c>
      <c r="G369" s="1">
        <v>304</v>
      </c>
    </row>
    <row r="370" spans="1:7" ht="183">
      <c r="A370" s="1" t="s">
        <v>12</v>
      </c>
      <c r="B370" s="1" t="s">
        <v>2280</v>
      </c>
      <c r="C370" s="4">
        <v>39865.795011574075</v>
      </c>
      <c r="D370" s="1" t="s">
        <v>14</v>
      </c>
      <c r="E370" s="1"/>
      <c r="F370" s="2" t="s">
        <v>2281</v>
      </c>
      <c r="G370" s="1">
        <v>298</v>
      </c>
    </row>
    <row r="371" spans="1:7" ht="113">
      <c r="A371" s="1" t="s">
        <v>2289</v>
      </c>
      <c r="B371" s="1" t="s">
        <v>1696</v>
      </c>
      <c r="C371" s="4">
        <v>39865.827777777777</v>
      </c>
      <c r="D371" s="1" t="s">
        <v>14</v>
      </c>
      <c r="E371" s="1"/>
      <c r="F371" s="2" t="s">
        <v>2291</v>
      </c>
      <c r="G371" s="1">
        <v>179</v>
      </c>
    </row>
    <row r="372" spans="1:7" ht="29">
      <c r="A372" s="1" t="s">
        <v>2295</v>
      </c>
      <c r="B372" s="1" t="s">
        <v>2280</v>
      </c>
      <c r="C372" s="4">
        <v>39865.855555555558</v>
      </c>
      <c r="D372" s="1" t="s">
        <v>84</v>
      </c>
      <c r="E372" s="1"/>
      <c r="F372" s="2" t="s">
        <v>2297</v>
      </c>
      <c r="G372" s="1">
        <v>51</v>
      </c>
    </row>
    <row r="373" spans="1:7" ht="85">
      <c r="A373" s="1" t="s">
        <v>2306</v>
      </c>
      <c r="B373" s="1" t="s">
        <v>1696</v>
      </c>
      <c r="C373" s="4">
        <v>39865.946527777778</v>
      </c>
      <c r="D373" s="1" t="s">
        <v>196</v>
      </c>
      <c r="E373" s="1"/>
      <c r="F373" s="2" t="s">
        <v>2307</v>
      </c>
      <c r="G373" s="1">
        <v>111</v>
      </c>
    </row>
    <row r="374" spans="1:7" ht="99">
      <c r="A374" s="1" t="s">
        <v>2316</v>
      </c>
      <c r="B374" s="1" t="s">
        <v>1814</v>
      </c>
      <c r="C374" s="4">
        <v>39866.579861111109</v>
      </c>
      <c r="D374" s="1" t="s">
        <v>54</v>
      </c>
      <c r="E374" s="1"/>
      <c r="F374" s="2" t="s">
        <v>2317</v>
      </c>
      <c r="G374" s="1">
        <v>130</v>
      </c>
    </row>
    <row r="375" spans="1:7" ht="43">
      <c r="A375" s="1" t="s">
        <v>2321</v>
      </c>
      <c r="B375" s="1" t="s">
        <v>1814</v>
      </c>
      <c r="C375" s="4">
        <v>39866.615972222222</v>
      </c>
      <c r="D375" s="1" t="s">
        <v>54</v>
      </c>
      <c r="E375" s="1"/>
      <c r="F375" s="2" t="s">
        <v>2322</v>
      </c>
      <c r="G375" s="1">
        <v>60</v>
      </c>
    </row>
    <row r="376" spans="1:7" ht="183">
      <c r="A376" s="1" t="s">
        <v>2323</v>
      </c>
      <c r="B376" s="1" t="s">
        <v>1814</v>
      </c>
      <c r="C376" s="4">
        <v>39866.82916666667</v>
      </c>
      <c r="D376" s="1" t="s">
        <v>54</v>
      </c>
      <c r="E376" s="1"/>
      <c r="F376" s="2" t="s">
        <v>2324</v>
      </c>
      <c r="G376" s="1">
        <v>312</v>
      </c>
    </row>
    <row r="377" spans="1:7">
      <c r="A377" s="1" t="s">
        <v>2331</v>
      </c>
      <c r="B377" s="1" t="s">
        <v>2280</v>
      </c>
      <c r="C377" s="4">
        <v>39867.041666666664</v>
      </c>
      <c r="D377" s="1" t="s">
        <v>320</v>
      </c>
      <c r="E377" s="1"/>
      <c r="F377" s="2" t="s">
        <v>2333</v>
      </c>
      <c r="G377" s="1">
        <v>24</v>
      </c>
    </row>
    <row r="378" spans="1:7">
      <c r="A378" s="1" t="s">
        <v>2334</v>
      </c>
      <c r="B378" s="1" t="s">
        <v>2335</v>
      </c>
      <c r="C378" s="4">
        <v>39868.211111111108</v>
      </c>
      <c r="D378" s="1" t="s">
        <v>1528</v>
      </c>
      <c r="E378" s="1"/>
      <c r="F378" s="2" t="s">
        <v>2336</v>
      </c>
      <c r="G378" s="1">
        <v>15</v>
      </c>
    </row>
    <row r="379" spans="1:7" ht="99">
      <c r="A379" s="1" t="s">
        <v>2339</v>
      </c>
      <c r="B379" s="1" t="s">
        <v>1814</v>
      </c>
      <c r="C379" s="4">
        <v>39867.081944444442</v>
      </c>
      <c r="D379" s="1" t="s">
        <v>1887</v>
      </c>
      <c r="E379" s="1"/>
      <c r="F379" s="2" t="s">
        <v>2340</v>
      </c>
      <c r="G379" s="1">
        <v>81</v>
      </c>
    </row>
    <row r="380" spans="1:7" ht="99">
      <c r="A380" s="1" t="s">
        <v>2346</v>
      </c>
      <c r="B380" s="1" t="s">
        <v>1814</v>
      </c>
      <c r="C380" s="4">
        <v>39867.404166666667</v>
      </c>
      <c r="D380" s="1" t="s">
        <v>54</v>
      </c>
      <c r="E380" s="1"/>
      <c r="F380" s="2" t="s">
        <v>2347</v>
      </c>
      <c r="G380" s="1">
        <v>168</v>
      </c>
    </row>
    <row r="381" spans="1:7" ht="409.6">
      <c r="A381" s="1" t="s">
        <v>12</v>
      </c>
      <c r="B381" s="1" t="s">
        <v>2335</v>
      </c>
      <c r="C381" s="4">
        <v>39867.414837962962</v>
      </c>
      <c r="D381" s="1" t="s">
        <v>14</v>
      </c>
      <c r="E381" s="1"/>
      <c r="F381" s="2" t="s">
        <v>2348</v>
      </c>
      <c r="G381" s="1">
        <v>698</v>
      </c>
    </row>
    <row r="382" spans="1:7" ht="29">
      <c r="A382" s="1" t="s">
        <v>2352</v>
      </c>
      <c r="B382" s="1" t="s">
        <v>1696</v>
      </c>
      <c r="C382" s="4">
        <v>39867.462500000001</v>
      </c>
      <c r="D382" s="1" t="s">
        <v>14</v>
      </c>
      <c r="E382" s="1"/>
      <c r="F382" s="2" t="s">
        <v>2354</v>
      </c>
      <c r="G382" s="1">
        <v>39</v>
      </c>
    </row>
    <row r="383" spans="1:7" ht="29">
      <c r="A383" s="1" t="s">
        <v>2362</v>
      </c>
      <c r="B383" s="1" t="s">
        <v>1696</v>
      </c>
      <c r="C383" s="4">
        <v>39867.756249999999</v>
      </c>
      <c r="D383" s="1" t="s">
        <v>320</v>
      </c>
      <c r="E383" s="1"/>
      <c r="F383" s="2" t="s">
        <v>2365</v>
      </c>
      <c r="G383" s="1">
        <v>29</v>
      </c>
    </row>
    <row r="384" spans="1:7" ht="141">
      <c r="A384" s="1" t="s">
        <v>2369</v>
      </c>
      <c r="B384" s="1" t="s">
        <v>2335</v>
      </c>
      <c r="C384" s="4">
        <v>39867.759722222225</v>
      </c>
      <c r="D384" s="1" t="s">
        <v>196</v>
      </c>
      <c r="E384" s="1"/>
      <c r="F384" s="2" t="s">
        <v>2371</v>
      </c>
      <c r="G384" s="1">
        <v>217</v>
      </c>
    </row>
    <row r="385" spans="1:7" ht="197">
      <c r="A385" s="1" t="s">
        <v>2376</v>
      </c>
      <c r="B385" s="1" t="s">
        <v>2335</v>
      </c>
      <c r="C385" s="4">
        <v>39867.769444444442</v>
      </c>
      <c r="D385" s="1" t="s">
        <v>14</v>
      </c>
      <c r="E385" s="1"/>
      <c r="F385" s="2" t="s">
        <v>2378</v>
      </c>
      <c r="G385" s="1">
        <v>321</v>
      </c>
    </row>
    <row r="386" spans="1:7" ht="99">
      <c r="A386" s="1" t="s">
        <v>2390</v>
      </c>
      <c r="B386" s="1" t="s">
        <v>2335</v>
      </c>
      <c r="C386" s="4">
        <v>39867.850694444445</v>
      </c>
      <c r="D386" s="1" t="s">
        <v>320</v>
      </c>
      <c r="E386" s="1"/>
      <c r="F386" s="2" t="s">
        <v>2393</v>
      </c>
      <c r="G386" s="1">
        <v>104</v>
      </c>
    </row>
    <row r="387" spans="1:7" ht="71">
      <c r="A387" s="1" t="s">
        <v>2417</v>
      </c>
      <c r="B387" s="1" t="s">
        <v>2335</v>
      </c>
      <c r="C387" s="4">
        <v>39867.988194444442</v>
      </c>
      <c r="D387" s="1" t="s">
        <v>320</v>
      </c>
      <c r="E387" s="1"/>
      <c r="F387" s="2" t="s">
        <v>2419</v>
      </c>
      <c r="G387" s="1">
        <v>108</v>
      </c>
    </row>
    <row r="388" spans="1:7" ht="71">
      <c r="A388" s="1" t="s">
        <v>2431</v>
      </c>
      <c r="B388" s="1" t="s">
        <v>2335</v>
      </c>
      <c r="C388" s="4">
        <v>39868.050694444442</v>
      </c>
      <c r="D388" s="1" t="s">
        <v>255</v>
      </c>
      <c r="E388" s="1"/>
      <c r="F388" s="2" t="s">
        <v>2433</v>
      </c>
      <c r="G388" s="1">
        <v>116</v>
      </c>
    </row>
    <row r="389" spans="1:7" ht="113">
      <c r="A389" s="1" t="s">
        <v>2434</v>
      </c>
      <c r="B389" s="1" t="s">
        <v>2335</v>
      </c>
      <c r="C389" s="4">
        <v>39868.075694444444</v>
      </c>
      <c r="D389" s="1" t="s">
        <v>54</v>
      </c>
      <c r="E389" s="1"/>
      <c r="F389" s="2" t="s">
        <v>2435</v>
      </c>
      <c r="G389" s="1">
        <v>187</v>
      </c>
    </row>
    <row r="390" spans="1:7" ht="85">
      <c r="A390" s="1" t="s">
        <v>2436</v>
      </c>
      <c r="B390" s="1" t="s">
        <v>2280</v>
      </c>
      <c r="C390" s="4">
        <v>39868.188194444447</v>
      </c>
      <c r="D390" s="1" t="s">
        <v>2437</v>
      </c>
      <c r="E390" s="1"/>
      <c r="F390" s="2" t="s">
        <v>2439</v>
      </c>
      <c r="G390" s="1">
        <v>134</v>
      </c>
    </row>
    <row r="391" spans="1:7" ht="239">
      <c r="A391" s="1" t="s">
        <v>2448</v>
      </c>
      <c r="B391" s="1" t="s">
        <v>2335</v>
      </c>
      <c r="C391" s="4">
        <v>39868.268750000003</v>
      </c>
      <c r="D391" s="1" t="s">
        <v>54</v>
      </c>
      <c r="E391" s="1"/>
      <c r="F391" s="2" t="s">
        <v>2450</v>
      </c>
      <c r="G391" s="1">
        <v>419</v>
      </c>
    </row>
    <row r="392" spans="1:7">
      <c r="A392" s="1" t="s">
        <v>2455</v>
      </c>
      <c r="B392" s="1" t="s">
        <v>2335</v>
      </c>
      <c r="C392" s="4">
        <v>39868.494444444441</v>
      </c>
      <c r="D392" s="1" t="s">
        <v>14</v>
      </c>
      <c r="E392" s="1"/>
      <c r="F392" s="2" t="s">
        <v>2456</v>
      </c>
      <c r="G392" s="1">
        <v>25</v>
      </c>
    </row>
    <row r="393" spans="1:7" ht="127">
      <c r="A393" s="1" t="s">
        <v>2461</v>
      </c>
      <c r="B393" s="1" t="s">
        <v>2335</v>
      </c>
      <c r="C393" s="4">
        <v>39868.576388888891</v>
      </c>
      <c r="D393" s="1" t="s">
        <v>474</v>
      </c>
      <c r="E393" s="1"/>
      <c r="F393" s="2" t="s">
        <v>2463</v>
      </c>
      <c r="G393" s="1">
        <v>186</v>
      </c>
    </row>
    <row r="394" spans="1:7">
      <c r="A394" s="1" t="s">
        <v>2464</v>
      </c>
      <c r="B394" s="1" t="s">
        <v>2335</v>
      </c>
      <c r="C394" s="4">
        <v>39868.67083333333</v>
      </c>
      <c r="D394" s="1" t="s">
        <v>2452</v>
      </c>
      <c r="E394" s="1"/>
      <c r="F394" s="2" t="s">
        <v>2465</v>
      </c>
      <c r="G394" s="1">
        <v>17</v>
      </c>
    </row>
    <row r="395" spans="1:7" ht="113">
      <c r="A395" s="1" t="s">
        <v>2466</v>
      </c>
      <c r="B395" s="1" t="s">
        <v>2335</v>
      </c>
      <c r="C395" s="4">
        <v>39868.674305555556</v>
      </c>
      <c r="D395" s="1" t="s">
        <v>2452</v>
      </c>
      <c r="E395" s="1"/>
      <c r="F395" s="2" t="s">
        <v>2468</v>
      </c>
      <c r="G395" s="1">
        <v>119</v>
      </c>
    </row>
    <row r="396" spans="1:7" ht="29">
      <c r="A396" s="1" t="s">
        <v>2469</v>
      </c>
      <c r="B396" s="1" t="s">
        <v>2335</v>
      </c>
      <c r="C396" s="4">
        <v>39868.685416666667</v>
      </c>
      <c r="D396" s="1" t="s">
        <v>2452</v>
      </c>
      <c r="E396" s="1"/>
      <c r="F396" s="2" t="s">
        <v>2471</v>
      </c>
      <c r="G396" s="1">
        <v>32</v>
      </c>
    </row>
    <row r="397" spans="1:7">
      <c r="A397" s="1" t="s">
        <v>2472</v>
      </c>
      <c r="B397" s="1" t="s">
        <v>2335</v>
      </c>
      <c r="C397" s="4">
        <v>39868.689583333333</v>
      </c>
      <c r="D397" s="1" t="s">
        <v>2452</v>
      </c>
      <c r="E397" s="1"/>
      <c r="F397" s="2" t="s">
        <v>2473</v>
      </c>
      <c r="G397" s="1">
        <v>21</v>
      </c>
    </row>
    <row r="398" spans="1:7" ht="29">
      <c r="A398" s="1" t="s">
        <v>2474</v>
      </c>
      <c r="B398" s="1" t="s">
        <v>2335</v>
      </c>
      <c r="C398" s="4">
        <v>39868.715277777781</v>
      </c>
      <c r="D398" s="1" t="s">
        <v>2452</v>
      </c>
      <c r="E398" s="1"/>
      <c r="F398" s="2" t="s">
        <v>2476</v>
      </c>
      <c r="G398" s="1">
        <v>29</v>
      </c>
    </row>
    <row r="399" spans="1:7" ht="320">
      <c r="A399" s="1" t="s">
        <v>2481</v>
      </c>
      <c r="B399" s="1" t="s">
        <v>2335</v>
      </c>
      <c r="C399" s="4">
        <v>39868.782638888886</v>
      </c>
      <c r="D399" s="1" t="s">
        <v>14</v>
      </c>
      <c r="E399" s="1"/>
      <c r="F399" s="2" t="s">
        <v>2484</v>
      </c>
      <c r="G399" s="1">
        <v>552</v>
      </c>
    </row>
    <row r="400" spans="1:7" ht="409.6">
      <c r="A400" s="1" t="s">
        <v>2441</v>
      </c>
      <c r="B400" s="1" t="s">
        <v>2335</v>
      </c>
      <c r="C400" s="4">
        <v>39869.107638888891</v>
      </c>
      <c r="D400" s="1" t="s">
        <v>54</v>
      </c>
      <c r="E400" s="1"/>
      <c r="F400" s="2" t="s">
        <v>2490</v>
      </c>
      <c r="G400" s="1">
        <v>1211</v>
      </c>
    </row>
    <row r="401" spans="1:7" ht="113">
      <c r="A401" s="1" t="s">
        <v>2495</v>
      </c>
      <c r="B401" s="1" t="s">
        <v>1814</v>
      </c>
      <c r="C401" s="4">
        <v>39869.407638888886</v>
      </c>
      <c r="D401" s="1" t="s">
        <v>54</v>
      </c>
      <c r="E401" s="1"/>
      <c r="F401" s="2" t="s">
        <v>2496</v>
      </c>
      <c r="G401" s="1">
        <v>198</v>
      </c>
    </row>
    <row r="402" spans="1:7" ht="57">
      <c r="A402" s="1" t="s">
        <v>2500</v>
      </c>
      <c r="B402" s="1" t="s">
        <v>1519</v>
      </c>
      <c r="C402" s="4">
        <v>39869.484027777777</v>
      </c>
      <c r="D402" s="1" t="s">
        <v>54</v>
      </c>
      <c r="E402" s="1"/>
      <c r="F402" s="2" t="s">
        <v>2502</v>
      </c>
      <c r="G402" s="1">
        <v>44</v>
      </c>
    </row>
    <row r="403" spans="1:7" ht="225">
      <c r="A403" s="1" t="s">
        <v>2503</v>
      </c>
      <c r="B403" s="1" t="s">
        <v>1814</v>
      </c>
      <c r="C403" s="4">
        <v>39869.607638888891</v>
      </c>
      <c r="D403" s="1" t="s">
        <v>772</v>
      </c>
      <c r="E403" s="1"/>
      <c r="F403" s="2" t="s">
        <v>2504</v>
      </c>
      <c r="G403" s="1">
        <v>209</v>
      </c>
    </row>
    <row r="404" spans="1:7" ht="409.6">
      <c r="A404" s="1" t="s">
        <v>2507</v>
      </c>
      <c r="B404" s="1" t="s">
        <v>2335</v>
      </c>
      <c r="C404" s="4">
        <v>39871.936111111114</v>
      </c>
      <c r="D404" s="1" t="s">
        <v>1528</v>
      </c>
      <c r="E404" s="1"/>
      <c r="F404" s="2" t="s">
        <v>2509</v>
      </c>
      <c r="G404" s="1">
        <v>985</v>
      </c>
    </row>
    <row r="405" spans="1:7" ht="197">
      <c r="A405" s="1" t="s">
        <v>2510</v>
      </c>
      <c r="B405" s="1" t="s">
        <v>2335</v>
      </c>
      <c r="C405" s="4">
        <v>39869.780555555553</v>
      </c>
      <c r="D405" s="1" t="s">
        <v>14</v>
      </c>
      <c r="E405" s="1"/>
      <c r="F405" s="2" t="s">
        <v>2511</v>
      </c>
      <c r="G405" s="1">
        <v>326</v>
      </c>
    </row>
    <row r="406" spans="1:7" ht="29">
      <c r="A406" s="1" t="s">
        <v>2512</v>
      </c>
      <c r="B406" s="1" t="s">
        <v>1814</v>
      </c>
      <c r="C406" s="4">
        <v>39869.789583333331</v>
      </c>
      <c r="D406" s="1" t="s">
        <v>1089</v>
      </c>
      <c r="E406" s="1"/>
      <c r="F406" s="2" t="s">
        <v>2513</v>
      </c>
      <c r="G406" s="1">
        <v>24</v>
      </c>
    </row>
    <row r="407" spans="1:7" ht="99">
      <c r="A407" s="1" t="s">
        <v>2521</v>
      </c>
      <c r="B407" s="1" t="s">
        <v>2335</v>
      </c>
      <c r="C407" s="4">
        <v>39869.924305555556</v>
      </c>
      <c r="D407" s="1" t="s">
        <v>2452</v>
      </c>
      <c r="E407" s="1"/>
      <c r="F407" s="2" t="s">
        <v>2522</v>
      </c>
      <c r="G407" s="1">
        <v>162</v>
      </c>
    </row>
    <row r="408" spans="1:7" ht="359">
      <c r="A408" s="1" t="s">
        <v>2523</v>
      </c>
      <c r="B408" s="1" t="s">
        <v>2335</v>
      </c>
      <c r="C408" s="4">
        <v>39869.925000000003</v>
      </c>
      <c r="D408" s="1" t="s">
        <v>2452</v>
      </c>
      <c r="E408" s="1"/>
      <c r="F408" s="2" t="s">
        <v>2524</v>
      </c>
      <c r="G408" s="1">
        <v>539</v>
      </c>
    </row>
    <row r="409" spans="1:7" ht="267">
      <c r="A409" s="1" t="s">
        <v>2543</v>
      </c>
      <c r="B409" s="1" t="s">
        <v>2335</v>
      </c>
      <c r="C409" s="4">
        <v>39870.491666666669</v>
      </c>
      <c r="D409" s="1" t="s">
        <v>14</v>
      </c>
      <c r="E409" s="1"/>
      <c r="F409" s="2" t="s">
        <v>2545</v>
      </c>
      <c r="G409" s="1">
        <v>459</v>
      </c>
    </row>
    <row r="410" spans="1:7" ht="294">
      <c r="A410" s="1" t="s">
        <v>2546</v>
      </c>
      <c r="B410" s="1" t="s">
        <v>1814</v>
      </c>
      <c r="C410" s="4">
        <v>39870.604166666664</v>
      </c>
      <c r="D410" s="1" t="s">
        <v>54</v>
      </c>
      <c r="E410" s="1"/>
      <c r="F410" s="2" t="s">
        <v>2547</v>
      </c>
      <c r="G410" s="1">
        <v>530</v>
      </c>
    </row>
    <row r="411" spans="1:7" ht="99">
      <c r="A411" s="1" t="s">
        <v>2548</v>
      </c>
      <c r="B411" s="1" t="s">
        <v>2335</v>
      </c>
      <c r="C411" s="4">
        <v>39870.730555555558</v>
      </c>
      <c r="D411" s="1" t="s">
        <v>14</v>
      </c>
      <c r="E411" s="1"/>
      <c r="F411" s="2" t="s">
        <v>2549</v>
      </c>
      <c r="G411" s="1">
        <v>142</v>
      </c>
    </row>
    <row r="412" spans="1:7" ht="211">
      <c r="A412" s="1" t="s">
        <v>2552</v>
      </c>
      <c r="B412" s="1" t="s">
        <v>2335</v>
      </c>
      <c r="C412" s="4">
        <v>39871.03125</v>
      </c>
      <c r="D412" s="1" t="s">
        <v>54</v>
      </c>
      <c r="E412" s="1"/>
      <c r="F412" s="2" t="s">
        <v>2553</v>
      </c>
      <c r="G412" s="1">
        <v>318</v>
      </c>
    </row>
    <row r="413" spans="1:7" ht="29">
      <c r="A413" s="1" t="s">
        <v>2554</v>
      </c>
      <c r="B413" s="1" t="s">
        <v>2335</v>
      </c>
      <c r="C413" s="4">
        <v>39871.031944444447</v>
      </c>
      <c r="D413" s="1" t="s">
        <v>54</v>
      </c>
      <c r="E413" s="1"/>
      <c r="F413" s="2" t="s">
        <v>2555</v>
      </c>
      <c r="G413" s="1">
        <v>39</v>
      </c>
    </row>
    <row r="414" spans="1:7" ht="127">
      <c r="A414" s="1" t="s">
        <v>2558</v>
      </c>
      <c r="B414" s="1" t="s">
        <v>1814</v>
      </c>
      <c r="C414" s="4">
        <v>39871.332638888889</v>
      </c>
      <c r="D414" s="1" t="s">
        <v>381</v>
      </c>
      <c r="E414" s="1"/>
      <c r="F414" s="2" t="s">
        <v>2560</v>
      </c>
      <c r="G414" s="1">
        <v>143</v>
      </c>
    </row>
    <row r="415" spans="1:7" ht="409.6">
      <c r="A415" s="1" t="s">
        <v>2564</v>
      </c>
      <c r="B415" s="1" t="s">
        <v>1814</v>
      </c>
      <c r="C415" s="4">
        <v>39871.579861111109</v>
      </c>
      <c r="D415" s="1" t="s">
        <v>772</v>
      </c>
      <c r="E415" s="1"/>
      <c r="F415" s="2" t="s">
        <v>2565</v>
      </c>
      <c r="G415" s="1">
        <v>435</v>
      </c>
    </row>
    <row r="416" spans="1:7" ht="409.6">
      <c r="A416" s="1" t="s">
        <v>2578</v>
      </c>
      <c r="B416" s="1" t="s">
        <v>2335</v>
      </c>
      <c r="C416" s="4">
        <v>39871.775694444441</v>
      </c>
      <c r="D416" s="1" t="s">
        <v>14</v>
      </c>
      <c r="E416" s="1"/>
      <c r="F416" s="2" t="s">
        <v>2580</v>
      </c>
      <c r="G416" s="1">
        <v>733</v>
      </c>
    </row>
    <row r="417" spans="1:7" ht="43">
      <c r="A417" s="1" t="s">
        <v>2598</v>
      </c>
      <c r="B417" s="1" t="s">
        <v>2335</v>
      </c>
      <c r="C417" s="4">
        <v>39871.957638888889</v>
      </c>
      <c r="D417" s="1" t="s">
        <v>54</v>
      </c>
      <c r="E417" s="1"/>
      <c r="F417" s="2" t="s">
        <v>2599</v>
      </c>
      <c r="G417" s="1">
        <v>63</v>
      </c>
    </row>
    <row r="418" spans="1:7" ht="29">
      <c r="A418" s="1" t="s">
        <v>2600</v>
      </c>
      <c r="B418" s="1" t="s">
        <v>2335</v>
      </c>
      <c r="C418" s="4">
        <v>39871.962500000001</v>
      </c>
      <c r="D418" s="1" t="s">
        <v>84</v>
      </c>
      <c r="E418" s="1"/>
      <c r="F418" s="2" t="s">
        <v>2601</v>
      </c>
      <c r="G418" s="1">
        <v>41</v>
      </c>
    </row>
    <row r="419" spans="1:7" ht="43">
      <c r="A419" s="1" t="s">
        <v>2605</v>
      </c>
      <c r="B419" s="1" t="s">
        <v>2335</v>
      </c>
      <c r="C419" s="4">
        <v>39871.976388888892</v>
      </c>
      <c r="D419" s="1" t="s">
        <v>84</v>
      </c>
      <c r="E419" s="1"/>
      <c r="F419" s="2" t="s">
        <v>2606</v>
      </c>
      <c r="G419" s="1">
        <v>77</v>
      </c>
    </row>
    <row r="420" spans="1:7">
      <c r="A420" s="1" t="s">
        <v>2607</v>
      </c>
      <c r="B420" s="1" t="s">
        <v>2335</v>
      </c>
      <c r="C420" s="4">
        <v>39871.978472222225</v>
      </c>
      <c r="D420" s="1" t="s">
        <v>84</v>
      </c>
      <c r="E420" s="1"/>
      <c r="F420" s="2" t="s">
        <v>2609</v>
      </c>
      <c r="G420" s="1">
        <v>22</v>
      </c>
    </row>
    <row r="421" spans="1:7" ht="141">
      <c r="A421" s="1" t="s">
        <v>2613</v>
      </c>
      <c r="B421" s="1" t="s">
        <v>1814</v>
      </c>
      <c r="C421" s="4">
        <v>39872.034722222219</v>
      </c>
      <c r="D421" s="1" t="s">
        <v>1241</v>
      </c>
      <c r="E421" s="1"/>
      <c r="F421" s="2" t="s">
        <v>2614</v>
      </c>
      <c r="G421" s="1">
        <v>108</v>
      </c>
    </row>
    <row r="422" spans="1:7" ht="113">
      <c r="A422" s="1" t="s">
        <v>2615</v>
      </c>
      <c r="B422" s="1" t="s">
        <v>2335</v>
      </c>
      <c r="C422" s="4">
        <v>39872.069444444445</v>
      </c>
      <c r="D422" s="1" t="s">
        <v>14</v>
      </c>
      <c r="E422" s="1"/>
      <c r="F422" s="2" t="s">
        <v>2616</v>
      </c>
      <c r="G422" s="1">
        <v>185</v>
      </c>
    </row>
    <row r="423" spans="1:7" ht="99">
      <c r="A423" s="1" t="s">
        <v>2624</v>
      </c>
      <c r="B423" s="1" t="s">
        <v>1814</v>
      </c>
      <c r="C423" s="4">
        <v>39872.493055555555</v>
      </c>
      <c r="D423" s="1" t="s">
        <v>1887</v>
      </c>
      <c r="E423" s="1"/>
      <c r="F423" s="2" t="s">
        <v>2625</v>
      </c>
      <c r="G423" s="1">
        <v>74</v>
      </c>
    </row>
    <row r="424" spans="1:7" ht="127">
      <c r="A424" s="1" t="s">
        <v>2629</v>
      </c>
      <c r="B424" s="1" t="s">
        <v>1814</v>
      </c>
      <c r="C424" s="4">
        <v>39872.651388888888</v>
      </c>
      <c r="D424" s="1" t="s">
        <v>1887</v>
      </c>
      <c r="E424" s="1"/>
      <c r="F424" s="2" t="s">
        <v>2630</v>
      </c>
      <c r="G424" s="1">
        <v>43</v>
      </c>
    </row>
    <row r="425" spans="1:7" ht="43">
      <c r="A425" s="1" t="s">
        <v>2631</v>
      </c>
      <c r="B425" s="1" t="s">
        <v>2335</v>
      </c>
      <c r="C425" s="4">
        <v>39872.682638888888</v>
      </c>
      <c r="D425" s="1" t="s">
        <v>84</v>
      </c>
      <c r="E425" s="1"/>
      <c r="F425" s="2" t="s">
        <v>2632</v>
      </c>
      <c r="G425" s="1">
        <v>62</v>
      </c>
    </row>
    <row r="426" spans="1:7" ht="43">
      <c r="A426" s="1" t="s">
        <v>2635</v>
      </c>
      <c r="B426" s="1" t="s">
        <v>2636</v>
      </c>
      <c r="C426" s="4">
        <v>39874.866666666669</v>
      </c>
      <c r="D426" s="1" t="s">
        <v>1528</v>
      </c>
      <c r="E426" s="1"/>
      <c r="F426" s="2" t="s">
        <v>2638</v>
      </c>
      <c r="G426" s="1">
        <v>53</v>
      </c>
    </row>
    <row r="427" spans="1:7" ht="225">
      <c r="A427" s="1" t="s">
        <v>2639</v>
      </c>
      <c r="B427" s="1" t="s">
        <v>2335</v>
      </c>
      <c r="C427" s="4">
        <v>39872.724999999999</v>
      </c>
      <c r="D427" s="1" t="s">
        <v>14</v>
      </c>
      <c r="E427" s="1"/>
      <c r="F427" s="2" t="s">
        <v>2641</v>
      </c>
      <c r="G427" s="1">
        <v>405</v>
      </c>
    </row>
    <row r="428" spans="1:7" ht="127">
      <c r="A428" s="1" t="s">
        <v>2644</v>
      </c>
      <c r="B428" s="1" t="s">
        <v>2335</v>
      </c>
      <c r="C428" s="4">
        <v>39872.8125</v>
      </c>
      <c r="D428" s="1" t="s">
        <v>54</v>
      </c>
      <c r="E428" s="1"/>
      <c r="F428" s="2" t="s">
        <v>2646</v>
      </c>
      <c r="G428" s="1">
        <v>197</v>
      </c>
    </row>
    <row r="429" spans="1:7" ht="294">
      <c r="A429" s="1" t="s">
        <v>2652</v>
      </c>
      <c r="B429" s="1" t="s">
        <v>2335</v>
      </c>
      <c r="C429" s="4">
        <v>39872.82708333333</v>
      </c>
      <c r="D429" s="1" t="s">
        <v>54</v>
      </c>
      <c r="E429" s="1"/>
      <c r="F429" s="2" t="s">
        <v>2655</v>
      </c>
      <c r="G429" s="1">
        <v>504</v>
      </c>
    </row>
    <row r="430" spans="1:7" ht="29">
      <c r="A430" s="1" t="s">
        <v>2662</v>
      </c>
      <c r="B430" s="1" t="s">
        <v>2335</v>
      </c>
      <c r="C430" s="4">
        <v>39872.845833333333</v>
      </c>
      <c r="D430" s="1" t="s">
        <v>54</v>
      </c>
      <c r="E430" s="1"/>
      <c r="F430" s="2" t="s">
        <v>2663</v>
      </c>
      <c r="G430" s="1">
        <v>37</v>
      </c>
    </row>
    <row r="431" spans="1:7" ht="113">
      <c r="A431" s="1" t="s">
        <v>2667</v>
      </c>
      <c r="B431" s="1" t="s">
        <v>2335</v>
      </c>
      <c r="C431" s="4">
        <v>39872.949999999997</v>
      </c>
      <c r="D431" s="1" t="s">
        <v>320</v>
      </c>
      <c r="E431" s="1"/>
      <c r="F431" s="2" t="s">
        <v>2668</v>
      </c>
      <c r="G431" s="1">
        <v>187</v>
      </c>
    </row>
    <row r="432" spans="1:7" ht="43">
      <c r="A432" s="1" t="s">
        <v>2676</v>
      </c>
      <c r="B432" s="1" t="s">
        <v>2335</v>
      </c>
      <c r="C432" s="4">
        <v>39872.962500000001</v>
      </c>
      <c r="D432" s="1" t="s">
        <v>54</v>
      </c>
      <c r="E432" s="1"/>
      <c r="F432" s="2" t="s">
        <v>2678</v>
      </c>
      <c r="G432" s="1">
        <v>55</v>
      </c>
    </row>
    <row r="433" spans="1:7" ht="197">
      <c r="A433" s="1" t="s">
        <v>2679</v>
      </c>
      <c r="B433" s="1" t="s">
        <v>2335</v>
      </c>
      <c r="C433" s="4">
        <v>39872.974305555559</v>
      </c>
      <c r="D433" s="1" t="s">
        <v>320</v>
      </c>
      <c r="E433" s="1"/>
      <c r="F433" s="2" t="s">
        <v>2681</v>
      </c>
      <c r="G433" s="1">
        <v>316</v>
      </c>
    </row>
    <row r="434" spans="1:7" ht="85">
      <c r="A434" s="1" t="s">
        <v>2682</v>
      </c>
      <c r="B434" s="1" t="s">
        <v>2335</v>
      </c>
      <c r="C434" s="4">
        <v>39873.291666666664</v>
      </c>
      <c r="D434" s="1" t="s">
        <v>314</v>
      </c>
      <c r="E434" s="1"/>
      <c r="F434" s="2" t="s">
        <v>2684</v>
      </c>
      <c r="G434" s="1">
        <v>154</v>
      </c>
    </row>
    <row r="435" spans="1:7" ht="29">
      <c r="A435" s="1" t="s">
        <v>2685</v>
      </c>
      <c r="B435" s="1" t="s">
        <v>1814</v>
      </c>
      <c r="C435" s="4">
        <v>39873.42291666667</v>
      </c>
      <c r="D435" s="1" t="s">
        <v>1887</v>
      </c>
      <c r="E435" s="1"/>
      <c r="F435" s="2" t="s">
        <v>2687</v>
      </c>
      <c r="G435" s="1">
        <v>46</v>
      </c>
    </row>
    <row r="436" spans="1:7" ht="409.6">
      <c r="A436" s="1" t="s">
        <v>2698</v>
      </c>
      <c r="B436" s="1" t="s">
        <v>1814</v>
      </c>
      <c r="C436" s="4">
        <v>39873.561805555553</v>
      </c>
      <c r="D436" s="1" t="s">
        <v>772</v>
      </c>
      <c r="E436" s="1"/>
      <c r="F436" s="2" t="s">
        <v>2699</v>
      </c>
      <c r="G436" s="1">
        <v>549</v>
      </c>
    </row>
    <row r="437" spans="1:7" ht="29">
      <c r="A437" s="1" t="s">
        <v>2708</v>
      </c>
      <c r="B437" s="1" t="s">
        <v>2335</v>
      </c>
      <c r="C437" s="4">
        <v>39873.748611111114</v>
      </c>
      <c r="D437" s="1" t="s">
        <v>54</v>
      </c>
      <c r="E437" s="1"/>
      <c r="F437" s="2" t="s">
        <v>2710</v>
      </c>
      <c r="G437" s="1">
        <v>23</v>
      </c>
    </row>
    <row r="438" spans="1:7" ht="71">
      <c r="A438" s="1" t="s">
        <v>2711</v>
      </c>
      <c r="B438" s="1" t="s">
        <v>1814</v>
      </c>
      <c r="C438" s="4">
        <v>39873.763194444444</v>
      </c>
      <c r="D438" s="1" t="s">
        <v>1089</v>
      </c>
      <c r="E438" s="1"/>
      <c r="F438" s="2" t="s">
        <v>2712</v>
      </c>
      <c r="G438" s="1">
        <v>82</v>
      </c>
    </row>
    <row r="439" spans="1:7" ht="169">
      <c r="A439" s="1" t="s">
        <v>2728</v>
      </c>
      <c r="B439" s="1" t="s">
        <v>2335</v>
      </c>
      <c r="C439" s="4">
        <v>39873.895138888889</v>
      </c>
      <c r="D439" s="1" t="s">
        <v>196</v>
      </c>
      <c r="E439" s="1"/>
      <c r="F439" s="2" t="s">
        <v>2729</v>
      </c>
      <c r="G439" s="1">
        <v>286</v>
      </c>
    </row>
    <row r="440" spans="1:7" ht="141">
      <c r="A440" s="1" t="s">
        <v>12</v>
      </c>
      <c r="B440" s="1" t="s">
        <v>2636</v>
      </c>
      <c r="C440" s="4">
        <v>39873.984710648147</v>
      </c>
      <c r="D440" s="1" t="s">
        <v>14</v>
      </c>
      <c r="E440" s="1"/>
      <c r="F440" s="2" t="s">
        <v>2734</v>
      </c>
      <c r="G440" s="1">
        <v>227</v>
      </c>
    </row>
    <row r="441" spans="1:7" ht="141">
      <c r="A441" s="1" t="s">
        <v>2741</v>
      </c>
      <c r="B441" s="1" t="s">
        <v>2335</v>
      </c>
      <c r="C441" s="4">
        <v>39874.013888888891</v>
      </c>
      <c r="D441" s="1" t="s">
        <v>14</v>
      </c>
      <c r="E441" s="1"/>
      <c r="F441" s="2" t="s">
        <v>2742</v>
      </c>
      <c r="G441" s="1">
        <v>218</v>
      </c>
    </row>
    <row r="442" spans="1:7" ht="29">
      <c r="A442" s="1" t="s">
        <v>2743</v>
      </c>
      <c r="B442" s="1" t="s">
        <v>2335</v>
      </c>
      <c r="C442" s="4">
        <v>39874.015277777777</v>
      </c>
      <c r="D442" s="1" t="s">
        <v>14</v>
      </c>
      <c r="E442" s="1"/>
      <c r="F442" s="2" t="s">
        <v>2744</v>
      </c>
      <c r="G442" s="1">
        <v>28</v>
      </c>
    </row>
    <row r="443" spans="1:7" ht="43">
      <c r="A443" s="1" t="s">
        <v>2751</v>
      </c>
      <c r="B443" s="1" t="s">
        <v>2636</v>
      </c>
      <c r="C443" s="4">
        <v>39874.261805555558</v>
      </c>
      <c r="D443" s="1" t="s">
        <v>54</v>
      </c>
      <c r="E443" s="1"/>
      <c r="F443" s="2" t="s">
        <v>2753</v>
      </c>
      <c r="G443" s="1">
        <v>40</v>
      </c>
    </row>
    <row r="444" spans="1:7" ht="169">
      <c r="A444" s="1" t="s">
        <v>2754</v>
      </c>
      <c r="B444" s="1" t="s">
        <v>2636</v>
      </c>
      <c r="C444" s="4">
        <v>39874.336805555555</v>
      </c>
      <c r="D444" s="1" t="s">
        <v>54</v>
      </c>
      <c r="E444" s="1"/>
      <c r="F444" s="2" t="s">
        <v>2755</v>
      </c>
      <c r="G444" s="1">
        <v>264</v>
      </c>
    </row>
    <row r="445" spans="1:7" ht="346">
      <c r="A445" s="1" t="s">
        <v>2758</v>
      </c>
      <c r="B445" s="1" t="s">
        <v>2636</v>
      </c>
      <c r="C445" s="4">
        <v>39874.42291666667</v>
      </c>
      <c r="D445" s="1" t="s">
        <v>14</v>
      </c>
      <c r="E445" s="1"/>
      <c r="F445" s="2" t="s">
        <v>2759</v>
      </c>
      <c r="G445" s="1">
        <v>591</v>
      </c>
    </row>
    <row r="446" spans="1:7" ht="239">
      <c r="A446" s="1" t="s">
        <v>2760</v>
      </c>
      <c r="B446" s="1" t="s">
        <v>2636</v>
      </c>
      <c r="C446" s="4">
        <v>39874.427777777775</v>
      </c>
      <c r="D446" s="1" t="s">
        <v>14</v>
      </c>
      <c r="E446" s="1"/>
      <c r="F446" s="2" t="s">
        <v>2762</v>
      </c>
      <c r="G446" s="1">
        <v>334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03FFC1-AD04-5C42-A7C0-BCFB87BB85D7}">
  <dimension ref="A1:H111"/>
  <sheetViews>
    <sheetView tabSelected="1" topLeftCell="A18" workbookViewId="0">
      <selection activeCell="A27" sqref="A27:XFD27"/>
    </sheetView>
  </sheetViews>
  <sheetFormatPr baseColWidth="10" defaultRowHeight="15"/>
  <cols>
    <col min="1" max="1" width="11.33203125" bestFit="1" customWidth="1"/>
    <col min="2" max="2" width="10" bestFit="1" customWidth="1"/>
    <col min="3" max="3" width="16.6640625" bestFit="1" customWidth="1"/>
    <col min="4" max="4" width="19.6640625" bestFit="1" customWidth="1"/>
    <col min="5" max="5" width="42.1640625" bestFit="1" customWidth="1"/>
    <col min="6" max="6" width="72.83203125" bestFit="1" customWidth="1"/>
    <col min="7" max="7" width="229.33203125" bestFit="1" customWidth="1"/>
    <col min="8" max="8" width="9.6640625" bestFit="1" customWidth="1"/>
  </cols>
  <sheetData>
    <row r="1" spans="1:8" s="26" customFormat="1">
      <c r="A1" s="24" t="s">
        <v>1</v>
      </c>
      <c r="B1" s="24" t="s">
        <v>2</v>
      </c>
      <c r="C1" s="24" t="s">
        <v>3</v>
      </c>
      <c r="D1" s="24" t="s">
        <v>4</v>
      </c>
      <c r="E1" s="24" t="s">
        <v>5925</v>
      </c>
      <c r="F1" s="24" t="s">
        <v>5926</v>
      </c>
      <c r="G1" s="25" t="s">
        <v>11</v>
      </c>
      <c r="H1" s="24" t="s">
        <v>5799</v>
      </c>
    </row>
    <row r="2" spans="1:8" ht="43">
      <c r="A2" s="19" t="s">
        <v>128</v>
      </c>
      <c r="B2" s="19" t="s">
        <v>96</v>
      </c>
      <c r="C2" s="22">
        <v>39843.797222222223</v>
      </c>
      <c r="D2" s="19" t="s">
        <v>110</v>
      </c>
      <c r="E2" s="19" t="s">
        <v>129</v>
      </c>
      <c r="F2" s="19" t="s">
        <v>5927</v>
      </c>
      <c r="G2" s="20" t="s">
        <v>131</v>
      </c>
      <c r="H2" s="19">
        <v>96</v>
      </c>
    </row>
    <row r="3" spans="1:8" ht="113">
      <c r="A3" s="19" t="s">
        <v>148</v>
      </c>
      <c r="B3" s="21" t="s">
        <v>13</v>
      </c>
      <c r="C3" s="22">
        <v>39844.681250000001</v>
      </c>
      <c r="D3" s="19" t="s">
        <v>14</v>
      </c>
      <c r="E3" s="19" t="s">
        <v>149</v>
      </c>
      <c r="F3" s="19" t="s">
        <v>5928</v>
      </c>
      <c r="G3" s="20" t="s">
        <v>152</v>
      </c>
      <c r="H3" s="19">
        <v>369</v>
      </c>
    </row>
    <row r="4" spans="1:8" ht="43">
      <c r="A4" s="19" t="s">
        <v>257</v>
      </c>
      <c r="B4" s="19" t="s">
        <v>160</v>
      </c>
      <c r="C4" s="22">
        <v>39846.333333333336</v>
      </c>
      <c r="D4" s="19" t="s">
        <v>54</v>
      </c>
      <c r="E4" s="19" t="s">
        <v>258</v>
      </c>
      <c r="F4" s="19" t="s">
        <v>5929</v>
      </c>
      <c r="G4" s="20" t="s">
        <v>261</v>
      </c>
      <c r="H4" s="19">
        <v>153</v>
      </c>
    </row>
    <row r="5" spans="1:8" ht="169">
      <c r="A5" s="19" t="s">
        <v>293</v>
      </c>
      <c r="B5" s="19" t="s">
        <v>160</v>
      </c>
      <c r="C5" s="22">
        <v>39846.53125</v>
      </c>
      <c r="D5" s="19" t="s">
        <v>14</v>
      </c>
      <c r="E5" s="19" t="s">
        <v>294</v>
      </c>
      <c r="F5" s="19" t="s">
        <v>5930</v>
      </c>
      <c r="G5" s="20" t="s">
        <v>297</v>
      </c>
      <c r="H5" s="19">
        <v>636</v>
      </c>
    </row>
    <row r="6" spans="1:8" ht="85">
      <c r="A6" s="19" t="s">
        <v>339</v>
      </c>
      <c r="B6" s="19" t="s">
        <v>160</v>
      </c>
      <c r="C6" s="22">
        <v>39846.706944444442</v>
      </c>
      <c r="D6" s="19" t="s">
        <v>320</v>
      </c>
      <c r="E6" s="19" t="s">
        <v>340</v>
      </c>
      <c r="G6" s="20" t="s">
        <v>341</v>
      </c>
      <c r="H6" s="19">
        <v>121</v>
      </c>
    </row>
    <row r="7" spans="1:8" ht="71">
      <c r="A7" s="19" t="s">
        <v>366</v>
      </c>
      <c r="B7" s="19" t="s">
        <v>160</v>
      </c>
      <c r="C7" s="22">
        <v>39846.769444444442</v>
      </c>
      <c r="D7" s="19" t="s">
        <v>54</v>
      </c>
      <c r="F7" s="19" t="s">
        <v>367</v>
      </c>
      <c r="G7" s="20" t="s">
        <v>370</v>
      </c>
      <c r="H7" s="19">
        <v>209</v>
      </c>
    </row>
    <row r="8" spans="1:8" ht="29">
      <c r="A8" s="19" t="s">
        <v>408</v>
      </c>
      <c r="B8" s="19" t="s">
        <v>160</v>
      </c>
      <c r="C8" s="22">
        <v>39846.911111111112</v>
      </c>
      <c r="D8" s="19" t="s">
        <v>196</v>
      </c>
      <c r="E8" s="19" t="s">
        <v>409</v>
      </c>
      <c r="G8" s="20" t="s">
        <v>411</v>
      </c>
      <c r="H8" s="19">
        <v>77</v>
      </c>
    </row>
    <row r="9" spans="1:8" ht="43">
      <c r="A9" s="19" t="s">
        <v>463</v>
      </c>
      <c r="B9" s="19" t="s">
        <v>160</v>
      </c>
      <c r="C9" s="22">
        <v>39847.259722222225</v>
      </c>
      <c r="D9" s="19" t="s">
        <v>393</v>
      </c>
      <c r="E9" s="19" t="s">
        <v>464</v>
      </c>
      <c r="G9" s="20" t="s">
        <v>466</v>
      </c>
      <c r="H9" s="19">
        <v>91</v>
      </c>
    </row>
    <row r="10" spans="1:8" ht="71">
      <c r="A10" s="19" t="s">
        <v>477</v>
      </c>
      <c r="B10" s="19" t="s">
        <v>160</v>
      </c>
      <c r="C10" s="22">
        <v>39847.493055555555</v>
      </c>
      <c r="D10" s="19" t="s">
        <v>14</v>
      </c>
      <c r="E10" s="19" t="s">
        <v>478</v>
      </c>
      <c r="G10" s="20" t="s">
        <v>483</v>
      </c>
      <c r="H10" s="19">
        <v>246</v>
      </c>
    </row>
    <row r="11" spans="1:8" ht="99">
      <c r="A11" s="19" t="s">
        <v>491</v>
      </c>
      <c r="B11" s="19" t="s">
        <v>160</v>
      </c>
      <c r="C11" s="22">
        <v>39847.56527777778</v>
      </c>
      <c r="D11" s="19" t="s">
        <v>14</v>
      </c>
      <c r="E11" s="19" t="s">
        <v>492</v>
      </c>
      <c r="G11" s="20" t="s">
        <v>495</v>
      </c>
      <c r="H11" s="19">
        <v>334</v>
      </c>
    </row>
    <row r="12" spans="1:8" ht="71">
      <c r="A12" s="19" t="s">
        <v>496</v>
      </c>
      <c r="B12" s="19" t="s">
        <v>160</v>
      </c>
      <c r="C12" s="22">
        <v>39847.574305555558</v>
      </c>
      <c r="D12" s="19" t="s">
        <v>14</v>
      </c>
      <c r="E12" s="19" t="s">
        <v>497</v>
      </c>
      <c r="G12" s="20" t="s">
        <v>499</v>
      </c>
      <c r="H12" s="19">
        <v>231</v>
      </c>
    </row>
    <row r="13" spans="1:8" ht="43">
      <c r="A13" s="19" t="s">
        <v>537</v>
      </c>
      <c r="B13" s="19" t="s">
        <v>160</v>
      </c>
      <c r="C13" s="22">
        <v>39847.702777777777</v>
      </c>
      <c r="D13" s="19" t="s">
        <v>393</v>
      </c>
      <c r="E13" s="19" t="s">
        <v>538</v>
      </c>
      <c r="G13" s="20" t="s">
        <v>539</v>
      </c>
      <c r="H13" s="19">
        <v>114</v>
      </c>
    </row>
    <row r="14" spans="1:8" ht="29">
      <c r="A14" s="19" t="s">
        <v>552</v>
      </c>
      <c r="B14" s="21" t="s">
        <v>13</v>
      </c>
      <c r="C14" s="22">
        <v>39847.768055555556</v>
      </c>
      <c r="D14" s="19" t="s">
        <v>553</v>
      </c>
      <c r="E14" s="19"/>
      <c r="F14" s="19" t="s">
        <v>554</v>
      </c>
      <c r="G14" s="20" t="s">
        <v>558</v>
      </c>
      <c r="H14" s="19">
        <v>97</v>
      </c>
    </row>
    <row r="15" spans="1:8" ht="169">
      <c r="A15" s="19" t="s">
        <v>561</v>
      </c>
      <c r="B15" s="19" t="s">
        <v>160</v>
      </c>
      <c r="C15" s="22">
        <v>39847.779166666667</v>
      </c>
      <c r="D15" s="19" t="s">
        <v>54</v>
      </c>
      <c r="E15" s="19" t="s">
        <v>562</v>
      </c>
      <c r="G15" s="20" t="s">
        <v>563</v>
      </c>
      <c r="H15" s="19">
        <v>524</v>
      </c>
    </row>
    <row r="16" spans="1:8" ht="29">
      <c r="A16" s="19" t="s">
        <v>574</v>
      </c>
      <c r="B16" s="19" t="s">
        <v>160</v>
      </c>
      <c r="C16" s="22">
        <v>39847.807638888888</v>
      </c>
      <c r="D16" s="19" t="s">
        <v>320</v>
      </c>
      <c r="E16" s="19" t="s">
        <v>575</v>
      </c>
      <c r="G16" s="20" t="s">
        <v>577</v>
      </c>
      <c r="H16" s="19">
        <v>46</v>
      </c>
    </row>
    <row r="17" spans="1:8" ht="29">
      <c r="A17" s="19" t="s">
        <v>552</v>
      </c>
      <c r="B17" s="21" t="s">
        <v>13</v>
      </c>
      <c r="C17" s="22">
        <v>39847.768055555556</v>
      </c>
      <c r="D17" s="19" t="s">
        <v>553</v>
      </c>
      <c r="E17" s="19" t="s">
        <v>5931</v>
      </c>
      <c r="F17" s="19" t="s">
        <v>554</v>
      </c>
      <c r="G17" s="20" t="s">
        <v>558</v>
      </c>
      <c r="H17" s="19">
        <v>97</v>
      </c>
    </row>
    <row r="18" spans="1:8" ht="127">
      <c r="A18" s="19" t="s">
        <v>605</v>
      </c>
      <c r="B18" s="19" t="s">
        <v>160</v>
      </c>
      <c r="C18" s="22">
        <v>39847.970833333333</v>
      </c>
      <c r="D18" s="19" t="s">
        <v>14</v>
      </c>
      <c r="E18" s="19" t="s">
        <v>606</v>
      </c>
      <c r="G18" s="20" t="s">
        <v>607</v>
      </c>
      <c r="H18" s="19">
        <v>424</v>
      </c>
    </row>
    <row r="19" spans="1:8" ht="127">
      <c r="A19" s="19" t="s">
        <v>608</v>
      </c>
      <c r="B19" s="19" t="s">
        <v>160</v>
      </c>
      <c r="C19" s="22">
        <v>39847.995138888888</v>
      </c>
      <c r="D19" s="19" t="s">
        <v>14</v>
      </c>
      <c r="E19" s="19" t="s">
        <v>609</v>
      </c>
      <c r="G19" s="20" t="s">
        <v>611</v>
      </c>
      <c r="H19" s="19">
        <v>433</v>
      </c>
    </row>
    <row r="20" spans="1:8" ht="43">
      <c r="A20" s="19" t="s">
        <v>612</v>
      </c>
      <c r="B20" s="19" t="s">
        <v>160</v>
      </c>
      <c r="C20" s="22">
        <v>39848.001388888886</v>
      </c>
      <c r="D20" s="19" t="s">
        <v>474</v>
      </c>
      <c r="E20" s="19" t="s">
        <v>613</v>
      </c>
      <c r="G20" s="20" t="s">
        <v>615</v>
      </c>
      <c r="H20" s="19">
        <v>158</v>
      </c>
    </row>
    <row r="21" spans="1:8" ht="29">
      <c r="A21" s="19" t="s">
        <v>619</v>
      </c>
      <c r="B21" s="19" t="s">
        <v>160</v>
      </c>
      <c r="C21" s="22">
        <v>39848.013194444444</v>
      </c>
      <c r="D21" s="19" t="s">
        <v>14</v>
      </c>
      <c r="E21" s="19" t="s">
        <v>620</v>
      </c>
      <c r="G21" s="20" t="s">
        <v>621</v>
      </c>
      <c r="H21" s="19">
        <v>70</v>
      </c>
    </row>
    <row r="22" spans="1:8" ht="99">
      <c r="A22" s="19" t="s">
        <v>622</v>
      </c>
      <c r="B22" s="19" t="s">
        <v>160</v>
      </c>
      <c r="C22" s="22">
        <v>39848.030555555553</v>
      </c>
      <c r="D22" s="19" t="s">
        <v>320</v>
      </c>
      <c r="E22" s="19" t="s">
        <v>623</v>
      </c>
      <c r="G22" s="20" t="s">
        <v>625</v>
      </c>
      <c r="H22" s="19">
        <v>349</v>
      </c>
    </row>
    <row r="23" spans="1:8" ht="29">
      <c r="A23" s="19" t="s">
        <v>634</v>
      </c>
      <c r="B23" s="19" t="s">
        <v>160</v>
      </c>
      <c r="C23" s="22">
        <v>39848.050694444442</v>
      </c>
      <c r="D23" s="19" t="s">
        <v>14</v>
      </c>
      <c r="E23" s="19" t="s">
        <v>635</v>
      </c>
      <c r="G23" s="20" t="s">
        <v>636</v>
      </c>
      <c r="H23" s="19">
        <v>68</v>
      </c>
    </row>
    <row r="24" spans="1:8">
      <c r="A24" s="19" t="s">
        <v>639</v>
      </c>
      <c r="B24" s="19" t="s">
        <v>160</v>
      </c>
      <c r="C24" s="22">
        <v>39848.131944444445</v>
      </c>
      <c r="D24" s="19" t="s">
        <v>320</v>
      </c>
      <c r="E24" s="19" t="s">
        <v>640</v>
      </c>
      <c r="G24" s="20" t="s">
        <v>641</v>
      </c>
      <c r="H24" s="19">
        <v>30</v>
      </c>
    </row>
    <row r="25" spans="1:8" ht="43">
      <c r="A25" s="19" t="s">
        <v>642</v>
      </c>
      <c r="B25" s="19" t="s">
        <v>160</v>
      </c>
      <c r="C25" s="22">
        <v>39848.149305555555</v>
      </c>
      <c r="D25" s="19" t="s">
        <v>54</v>
      </c>
      <c r="E25" s="19" t="s">
        <v>643</v>
      </c>
      <c r="G25" s="20" t="s">
        <v>645</v>
      </c>
      <c r="H25" s="19">
        <v>113</v>
      </c>
    </row>
    <row r="26" spans="1:8" ht="99">
      <c r="A26" s="19" t="s">
        <v>655</v>
      </c>
      <c r="B26" s="19" t="s">
        <v>160</v>
      </c>
      <c r="C26" s="22">
        <v>39848.401388888888</v>
      </c>
      <c r="D26" s="19" t="s">
        <v>14</v>
      </c>
      <c r="E26" s="19" t="s">
        <v>656</v>
      </c>
      <c r="G26" s="20" t="s">
        <v>657</v>
      </c>
      <c r="H26" s="19">
        <v>330</v>
      </c>
    </row>
    <row r="27" spans="1:8" ht="85">
      <c r="A27" s="19" t="s">
        <v>2594</v>
      </c>
      <c r="B27" s="19" t="s">
        <v>2335</v>
      </c>
      <c r="C27" s="22">
        <v>39871.954861111109</v>
      </c>
      <c r="D27" s="19" t="s">
        <v>54</v>
      </c>
      <c r="E27" s="19" t="s">
        <v>2595</v>
      </c>
      <c r="G27" s="20" t="s">
        <v>2597</v>
      </c>
      <c r="H27" s="19">
        <v>273</v>
      </c>
    </row>
    <row r="28" spans="1:8" ht="113">
      <c r="A28" s="19" t="s">
        <v>1476</v>
      </c>
      <c r="B28" s="19" t="s">
        <v>1196</v>
      </c>
      <c r="C28" s="22">
        <v>39855.257638888892</v>
      </c>
      <c r="D28" s="19" t="s">
        <v>54</v>
      </c>
      <c r="E28" s="19" t="s">
        <v>1416</v>
      </c>
      <c r="F28" s="19" t="s">
        <v>5932</v>
      </c>
      <c r="G28" s="20" t="s">
        <v>1477</v>
      </c>
      <c r="H28" s="19">
        <v>221</v>
      </c>
    </row>
    <row r="29" spans="1:8" ht="99">
      <c r="A29" s="19" t="s">
        <v>1457</v>
      </c>
      <c r="B29" s="19" t="s">
        <v>1196</v>
      </c>
      <c r="C29" s="22">
        <v>39855.030555555553</v>
      </c>
      <c r="D29" s="19" t="s">
        <v>14</v>
      </c>
      <c r="E29" s="19" t="s">
        <v>1458</v>
      </c>
      <c r="G29" s="20" t="s">
        <v>1459</v>
      </c>
      <c r="H29" s="19">
        <v>332</v>
      </c>
    </row>
    <row r="30" spans="1:8" ht="141">
      <c r="A30" s="19" t="s">
        <v>671</v>
      </c>
      <c r="B30" s="19" t="s">
        <v>160</v>
      </c>
      <c r="C30" s="22">
        <v>39848.479861111111</v>
      </c>
      <c r="D30" s="19" t="s">
        <v>14</v>
      </c>
      <c r="E30" s="19" t="s">
        <v>672</v>
      </c>
      <c r="G30" s="20" t="s">
        <v>675</v>
      </c>
      <c r="H30" s="19">
        <v>450</v>
      </c>
    </row>
    <row r="31" spans="1:8" ht="113">
      <c r="A31" s="19" t="s">
        <v>676</v>
      </c>
      <c r="B31" s="19" t="s">
        <v>160</v>
      </c>
      <c r="C31" s="22">
        <v>39848.49722222222</v>
      </c>
      <c r="D31" s="19" t="s">
        <v>14</v>
      </c>
      <c r="E31" s="19" t="s">
        <v>677</v>
      </c>
      <c r="G31" s="20" t="s">
        <v>679</v>
      </c>
      <c r="H31" s="19">
        <v>429</v>
      </c>
    </row>
    <row r="32" spans="1:8" ht="29">
      <c r="A32" s="19" t="s">
        <v>702</v>
      </c>
      <c r="B32" s="19" t="s">
        <v>160</v>
      </c>
      <c r="C32" s="22">
        <v>39848.661111111112</v>
      </c>
      <c r="D32" s="19" t="s">
        <v>320</v>
      </c>
      <c r="E32" s="19" t="s">
        <v>703</v>
      </c>
      <c r="G32" s="20" t="s">
        <v>704</v>
      </c>
      <c r="H32" s="19">
        <v>89</v>
      </c>
    </row>
    <row r="33" spans="1:8" ht="29">
      <c r="A33" s="19" t="s">
        <v>705</v>
      </c>
      <c r="B33" s="19" t="s">
        <v>160</v>
      </c>
      <c r="C33" s="22">
        <v>39848.661805555559</v>
      </c>
      <c r="D33" s="19" t="s">
        <v>320</v>
      </c>
      <c r="E33" s="19" t="s">
        <v>706</v>
      </c>
      <c r="G33" s="20" t="s">
        <v>707</v>
      </c>
      <c r="H33" s="19">
        <v>67</v>
      </c>
    </row>
    <row r="34" spans="1:8" ht="29">
      <c r="A34" s="19" t="s">
        <v>708</v>
      </c>
      <c r="B34" s="19" t="s">
        <v>160</v>
      </c>
      <c r="C34" s="22">
        <v>39848.694444444445</v>
      </c>
      <c r="D34" s="19" t="s">
        <v>84</v>
      </c>
      <c r="F34" s="19" t="s">
        <v>709</v>
      </c>
      <c r="G34" s="20" t="s">
        <v>711</v>
      </c>
      <c r="H34" s="19">
        <v>95</v>
      </c>
    </row>
    <row r="35" spans="1:8" ht="113">
      <c r="A35" s="19" t="s">
        <v>720</v>
      </c>
      <c r="B35" s="19" t="s">
        <v>160</v>
      </c>
      <c r="C35" s="22">
        <v>39848.75</v>
      </c>
      <c r="D35" s="19" t="s">
        <v>14</v>
      </c>
      <c r="E35" s="19" t="s">
        <v>721</v>
      </c>
      <c r="G35" s="20" t="s">
        <v>723</v>
      </c>
      <c r="H35" s="19">
        <v>354</v>
      </c>
    </row>
    <row r="36" spans="1:8" ht="141">
      <c r="A36" s="19" t="s">
        <v>726</v>
      </c>
      <c r="B36" s="19" t="s">
        <v>160</v>
      </c>
      <c r="C36" s="22">
        <v>39848.770138888889</v>
      </c>
      <c r="D36" s="19" t="s">
        <v>54</v>
      </c>
      <c r="E36" s="19" t="s">
        <v>727</v>
      </c>
      <c r="G36" s="20" t="s">
        <v>729</v>
      </c>
      <c r="H36" s="19">
        <v>469</v>
      </c>
    </row>
    <row r="37" spans="1:8" ht="57">
      <c r="A37" s="19" t="s">
        <v>796</v>
      </c>
      <c r="B37" s="19" t="s">
        <v>160</v>
      </c>
      <c r="C37" s="22">
        <v>39849.175000000003</v>
      </c>
      <c r="D37" s="19" t="s">
        <v>54</v>
      </c>
      <c r="E37" s="23">
        <v>86118</v>
      </c>
      <c r="G37" s="20" t="s">
        <v>797</v>
      </c>
      <c r="H37" s="19">
        <v>186</v>
      </c>
    </row>
    <row r="38" spans="1:8" ht="57">
      <c r="A38" s="19" t="s">
        <v>798</v>
      </c>
      <c r="B38" s="19" t="s">
        <v>160</v>
      </c>
      <c r="C38" s="22">
        <v>39849.226388888892</v>
      </c>
      <c r="D38" s="19" t="s">
        <v>320</v>
      </c>
      <c r="E38" s="19" t="s">
        <v>799</v>
      </c>
      <c r="G38" s="20" t="s">
        <v>802</v>
      </c>
      <c r="H38" s="19">
        <v>102</v>
      </c>
    </row>
    <row r="39" spans="1:8" ht="113">
      <c r="A39" s="19" t="s">
        <v>842</v>
      </c>
      <c r="B39" s="19" t="s">
        <v>160</v>
      </c>
      <c r="C39" s="22">
        <v>39849.770833333336</v>
      </c>
      <c r="D39" s="19" t="s">
        <v>54</v>
      </c>
      <c r="E39" s="19" t="s">
        <v>843</v>
      </c>
      <c r="G39" s="20" t="s">
        <v>844</v>
      </c>
      <c r="H39" s="19">
        <v>412</v>
      </c>
    </row>
    <row r="40" spans="1:8" ht="29">
      <c r="A40" s="19" t="s">
        <v>856</v>
      </c>
      <c r="B40" s="19" t="s">
        <v>160</v>
      </c>
      <c r="C40" s="22">
        <v>39849.806250000001</v>
      </c>
      <c r="D40" s="19" t="s">
        <v>196</v>
      </c>
      <c r="E40" s="19" t="s">
        <v>857</v>
      </c>
      <c r="G40" s="20" t="s">
        <v>859</v>
      </c>
      <c r="H40" s="19">
        <v>76</v>
      </c>
    </row>
    <row r="41" spans="1:8" ht="113">
      <c r="A41" s="19" t="s">
        <v>864</v>
      </c>
      <c r="B41" s="19" t="s">
        <v>160</v>
      </c>
      <c r="C41" s="22">
        <v>39849.85</v>
      </c>
      <c r="D41" s="19" t="s">
        <v>14</v>
      </c>
      <c r="E41" s="23">
        <v>124104</v>
      </c>
      <c r="G41" s="20" t="s">
        <v>867</v>
      </c>
      <c r="H41" s="19">
        <v>379</v>
      </c>
    </row>
    <row r="42" spans="1:8" ht="127">
      <c r="A42" s="19" t="s">
        <v>868</v>
      </c>
      <c r="B42" s="19" t="s">
        <v>160</v>
      </c>
      <c r="C42" s="22">
        <v>39849.852777777778</v>
      </c>
      <c r="D42" s="19" t="s">
        <v>54</v>
      </c>
      <c r="E42" s="19" t="s">
        <v>869</v>
      </c>
      <c r="G42" s="20" t="s">
        <v>871</v>
      </c>
      <c r="H42" s="19">
        <v>448</v>
      </c>
    </row>
    <row r="43" spans="1:8" ht="43">
      <c r="A43" s="19" t="s">
        <v>874</v>
      </c>
      <c r="B43" s="19" t="s">
        <v>160</v>
      </c>
      <c r="C43" s="22">
        <v>39849.905555555553</v>
      </c>
      <c r="D43" s="19" t="s">
        <v>320</v>
      </c>
      <c r="E43" s="19" t="s">
        <v>875</v>
      </c>
      <c r="G43" s="20" t="s">
        <v>876</v>
      </c>
      <c r="H43" s="19">
        <v>141</v>
      </c>
    </row>
    <row r="44" spans="1:8" ht="85">
      <c r="A44" s="19" t="s">
        <v>880</v>
      </c>
      <c r="B44" s="19" t="s">
        <v>680</v>
      </c>
      <c r="C44" s="22">
        <v>39849.965277777781</v>
      </c>
      <c r="D44" s="19" t="s">
        <v>14</v>
      </c>
      <c r="F44" s="19" t="s">
        <v>881</v>
      </c>
      <c r="G44" s="20" t="s">
        <v>883</v>
      </c>
      <c r="H44" s="19">
        <v>269</v>
      </c>
    </row>
    <row r="45" spans="1:8" ht="71">
      <c r="A45" s="19" t="s">
        <v>896</v>
      </c>
      <c r="B45" s="19" t="s">
        <v>160</v>
      </c>
      <c r="C45" s="22">
        <v>39850.095833333333</v>
      </c>
      <c r="D45" s="19" t="s">
        <v>54</v>
      </c>
      <c r="E45" s="19" t="s">
        <v>897</v>
      </c>
      <c r="G45" s="20" t="s">
        <v>898</v>
      </c>
      <c r="H45" s="19">
        <v>214</v>
      </c>
    </row>
    <row r="46" spans="1:8" ht="409.6">
      <c r="A46" s="19">
        <v>0</v>
      </c>
      <c r="B46" s="19" t="s">
        <v>926</v>
      </c>
      <c r="C46" s="22">
        <v>39850.377083333333</v>
      </c>
      <c r="D46" s="19" t="s">
        <v>14</v>
      </c>
      <c r="E46" s="19" t="s">
        <v>927</v>
      </c>
      <c r="G46" s="20" t="s">
        <v>5924</v>
      </c>
      <c r="H46" s="19">
        <v>1555</v>
      </c>
    </row>
    <row r="47" spans="1:8" ht="57">
      <c r="A47" s="19" t="s">
        <v>1048</v>
      </c>
      <c r="B47" s="19" t="s">
        <v>846</v>
      </c>
      <c r="C47" s="22">
        <v>39851.34097222222</v>
      </c>
      <c r="D47" s="19" t="s">
        <v>84</v>
      </c>
      <c r="E47" s="19" t="s">
        <v>1049</v>
      </c>
      <c r="G47" s="20" t="s">
        <v>1051</v>
      </c>
      <c r="H47" s="19">
        <v>153</v>
      </c>
    </row>
    <row r="48" spans="1:8" ht="29">
      <c r="A48" s="19" t="s">
        <v>1061</v>
      </c>
      <c r="B48" s="19" t="s">
        <v>846</v>
      </c>
      <c r="C48" s="22">
        <v>39851.425694444442</v>
      </c>
      <c r="D48" s="19" t="s">
        <v>474</v>
      </c>
      <c r="E48" s="19" t="s">
        <v>1062</v>
      </c>
      <c r="G48" s="20" t="s">
        <v>1065</v>
      </c>
      <c r="H48" s="19">
        <v>93</v>
      </c>
    </row>
    <row r="49" spans="1:8" ht="127">
      <c r="A49" s="19" t="s">
        <v>1093</v>
      </c>
      <c r="B49" s="19" t="s">
        <v>926</v>
      </c>
      <c r="C49" s="22">
        <v>39851.605555555558</v>
      </c>
      <c r="D49" s="19" t="s">
        <v>14</v>
      </c>
      <c r="E49" s="19" t="s">
        <v>1094</v>
      </c>
      <c r="G49" s="20" t="s">
        <v>1097</v>
      </c>
      <c r="H49" s="19">
        <v>495</v>
      </c>
    </row>
    <row r="50" spans="1:8" ht="57">
      <c r="A50" s="19" t="s">
        <v>1114</v>
      </c>
      <c r="B50" s="19" t="s">
        <v>846</v>
      </c>
      <c r="C50" s="22">
        <v>39851.920138888891</v>
      </c>
      <c r="D50" s="19" t="s">
        <v>54</v>
      </c>
      <c r="E50" s="19" t="s">
        <v>1115</v>
      </c>
      <c r="G50" s="20" t="s">
        <v>1116</v>
      </c>
      <c r="H50" s="19">
        <v>220</v>
      </c>
    </row>
    <row r="51" spans="1:8" ht="29">
      <c r="A51" s="19" t="s">
        <v>1117</v>
      </c>
      <c r="B51" s="19" t="s">
        <v>926</v>
      </c>
      <c r="C51" s="22">
        <v>39851.945833333331</v>
      </c>
      <c r="D51" s="19" t="s">
        <v>14</v>
      </c>
      <c r="E51" s="19" t="s">
        <v>1118</v>
      </c>
      <c r="G51" s="20" t="s">
        <v>1119</v>
      </c>
      <c r="H51" s="19">
        <v>67</v>
      </c>
    </row>
    <row r="52" spans="1:8" ht="85">
      <c r="A52" s="19" t="s">
        <v>1149</v>
      </c>
      <c r="B52" s="19" t="s">
        <v>846</v>
      </c>
      <c r="C52" s="22">
        <v>39852.103472222225</v>
      </c>
      <c r="D52" s="19" t="s">
        <v>1089</v>
      </c>
      <c r="E52" s="19" t="s">
        <v>1150</v>
      </c>
      <c r="G52" s="20" t="s">
        <v>1151</v>
      </c>
      <c r="H52" s="19">
        <v>58</v>
      </c>
    </row>
    <row r="53" spans="1:8" ht="29">
      <c r="A53" s="19" t="s">
        <v>1160</v>
      </c>
      <c r="B53" s="19" t="s">
        <v>846</v>
      </c>
      <c r="C53" s="22">
        <v>39852.202777777777</v>
      </c>
      <c r="D53" s="19" t="s">
        <v>474</v>
      </c>
      <c r="E53" s="19" t="s">
        <v>1161</v>
      </c>
      <c r="G53" s="20" t="s">
        <v>1162</v>
      </c>
      <c r="H53" s="19">
        <v>87</v>
      </c>
    </row>
    <row r="54" spans="1:8" ht="71">
      <c r="A54" s="19" t="s">
        <v>1165</v>
      </c>
      <c r="B54" s="19" t="s">
        <v>846</v>
      </c>
      <c r="C54" s="22">
        <v>39852.316666666666</v>
      </c>
      <c r="D54" s="19" t="s">
        <v>54</v>
      </c>
      <c r="E54" s="19" t="s">
        <v>1166</v>
      </c>
      <c r="G54" s="20" t="s">
        <v>1168</v>
      </c>
      <c r="H54" s="19">
        <v>244</v>
      </c>
    </row>
    <row r="55" spans="1:8" ht="29">
      <c r="A55" s="19" t="s">
        <v>1223</v>
      </c>
      <c r="B55" s="19" t="s">
        <v>846</v>
      </c>
      <c r="C55" s="22">
        <v>39852.795138888891</v>
      </c>
      <c r="D55" s="19" t="s">
        <v>1224</v>
      </c>
      <c r="E55" s="19" t="s">
        <v>1225</v>
      </c>
      <c r="G55" s="20" t="s">
        <v>1226</v>
      </c>
      <c r="H55" s="19">
        <v>63</v>
      </c>
    </row>
    <row r="56" spans="1:8" ht="57">
      <c r="A56" s="19" t="s">
        <v>1266</v>
      </c>
      <c r="B56" s="19" t="s">
        <v>1196</v>
      </c>
      <c r="C56" s="22">
        <v>39852.979166666664</v>
      </c>
      <c r="D56" s="19" t="s">
        <v>14</v>
      </c>
      <c r="E56" s="19" t="s">
        <v>1267</v>
      </c>
      <c r="G56" s="20" t="s">
        <v>1269</v>
      </c>
      <c r="H56" s="19">
        <v>185</v>
      </c>
    </row>
    <row r="57" spans="1:8" ht="71">
      <c r="A57" s="19" t="s">
        <v>1307</v>
      </c>
      <c r="B57" s="19" t="s">
        <v>1196</v>
      </c>
      <c r="C57" s="22">
        <v>39853.37222222222</v>
      </c>
      <c r="D57" s="19" t="s">
        <v>54</v>
      </c>
      <c r="E57" s="19" t="s">
        <v>1308</v>
      </c>
      <c r="G57" s="20" t="s">
        <v>1310</v>
      </c>
      <c r="H57" s="19">
        <v>268</v>
      </c>
    </row>
    <row r="58" spans="1:8" ht="43">
      <c r="A58" s="19" t="s">
        <v>1311</v>
      </c>
      <c r="B58" s="19" t="s">
        <v>1196</v>
      </c>
      <c r="C58" s="22">
        <v>39853.382638888892</v>
      </c>
      <c r="D58" s="19" t="s">
        <v>54</v>
      </c>
      <c r="E58" s="19" t="s">
        <v>1312</v>
      </c>
      <c r="G58" s="20" t="s">
        <v>1313</v>
      </c>
      <c r="H58" s="19">
        <v>112</v>
      </c>
    </row>
    <row r="59" spans="1:8" ht="155">
      <c r="A59" s="19" t="s">
        <v>1314</v>
      </c>
      <c r="B59" s="19" t="s">
        <v>1196</v>
      </c>
      <c r="C59" s="22">
        <v>39853.433333333334</v>
      </c>
      <c r="D59" s="19" t="s">
        <v>14</v>
      </c>
      <c r="E59" s="23">
        <v>410411</v>
      </c>
      <c r="G59" s="20" t="s">
        <v>1316</v>
      </c>
      <c r="H59" s="19">
        <v>549</v>
      </c>
    </row>
    <row r="60" spans="1:8" ht="43">
      <c r="A60" s="19" t="s">
        <v>1340</v>
      </c>
      <c r="B60" s="19" t="s">
        <v>846</v>
      </c>
      <c r="C60" s="22">
        <v>39853.705555555556</v>
      </c>
      <c r="D60" s="19" t="s">
        <v>54</v>
      </c>
      <c r="E60" s="19" t="s">
        <v>1341</v>
      </c>
      <c r="G60" s="20" t="s">
        <v>1342</v>
      </c>
      <c r="H60" s="19">
        <v>130</v>
      </c>
    </row>
    <row r="61" spans="1:8" ht="43">
      <c r="A61" s="19" t="s">
        <v>1369</v>
      </c>
      <c r="B61" s="19" t="s">
        <v>1196</v>
      </c>
      <c r="C61" s="22">
        <v>39853.954861111109</v>
      </c>
      <c r="D61" s="19" t="s">
        <v>320</v>
      </c>
      <c r="E61" s="19" t="s">
        <v>1370</v>
      </c>
      <c r="G61" s="20" t="s">
        <v>1372</v>
      </c>
      <c r="H61" s="19">
        <v>126</v>
      </c>
    </row>
    <row r="62" spans="1:8">
      <c r="A62" s="19" t="s">
        <v>1378</v>
      </c>
      <c r="B62" s="19" t="s">
        <v>1196</v>
      </c>
      <c r="C62" s="22">
        <v>39853.961111111108</v>
      </c>
      <c r="D62" s="19" t="s">
        <v>14</v>
      </c>
      <c r="E62" s="19" t="s">
        <v>1379</v>
      </c>
      <c r="G62" s="20" t="s">
        <v>1381</v>
      </c>
      <c r="H62" s="19">
        <v>40</v>
      </c>
    </row>
    <row r="63" spans="1:8">
      <c r="A63" s="19" t="s">
        <v>1382</v>
      </c>
      <c r="B63" s="19" t="s">
        <v>1196</v>
      </c>
      <c r="C63" s="22">
        <v>39853.963888888888</v>
      </c>
      <c r="D63" s="19" t="s">
        <v>14</v>
      </c>
      <c r="E63" s="19" t="s">
        <v>1383</v>
      </c>
      <c r="G63" s="20" t="s">
        <v>1384</v>
      </c>
      <c r="H63" s="19">
        <v>38</v>
      </c>
    </row>
    <row r="64" spans="1:8" ht="43">
      <c r="A64" s="19" t="s">
        <v>1385</v>
      </c>
      <c r="B64" s="19" t="s">
        <v>1196</v>
      </c>
      <c r="C64" s="22">
        <v>39853.977083333331</v>
      </c>
      <c r="D64" s="19" t="s">
        <v>393</v>
      </c>
      <c r="E64" s="19" t="s">
        <v>1386</v>
      </c>
      <c r="G64" s="20" t="s">
        <v>1387</v>
      </c>
      <c r="H64" s="19">
        <v>150</v>
      </c>
    </row>
    <row r="65" spans="1:8">
      <c r="A65" s="19" t="s">
        <v>1403</v>
      </c>
      <c r="B65" s="19" t="s">
        <v>1196</v>
      </c>
      <c r="C65" s="22">
        <v>39854.020138888889</v>
      </c>
      <c r="D65" s="19" t="s">
        <v>320</v>
      </c>
      <c r="E65" s="23">
        <v>426427430</v>
      </c>
      <c r="G65" s="20" t="s">
        <v>1404</v>
      </c>
      <c r="H65" s="19">
        <v>29</v>
      </c>
    </row>
    <row r="66" spans="1:8" ht="197">
      <c r="A66" s="19" t="s">
        <v>1414</v>
      </c>
      <c r="B66" s="19" t="s">
        <v>1196</v>
      </c>
      <c r="C66" s="22">
        <v>39854.382638888892</v>
      </c>
      <c r="D66" s="19" t="s">
        <v>14</v>
      </c>
      <c r="E66" s="23">
        <v>431433</v>
      </c>
      <c r="G66" s="20" t="s">
        <v>1415</v>
      </c>
      <c r="H66" s="19">
        <v>662</v>
      </c>
    </row>
    <row r="67" spans="1:8" ht="113">
      <c r="A67" s="19" t="s">
        <v>1431</v>
      </c>
      <c r="B67" s="19" t="s">
        <v>1196</v>
      </c>
      <c r="C67" s="22">
        <v>39854.588888888888</v>
      </c>
      <c r="D67" s="19" t="s">
        <v>14</v>
      </c>
      <c r="E67" s="19" t="s">
        <v>1432</v>
      </c>
      <c r="G67" s="20" t="s">
        <v>1433</v>
      </c>
      <c r="H67" s="19">
        <v>425</v>
      </c>
    </row>
    <row r="68" spans="1:8" ht="43">
      <c r="A68" s="19" t="s">
        <v>1452</v>
      </c>
      <c r="B68" s="19" t="s">
        <v>1196</v>
      </c>
      <c r="C68" s="22">
        <v>39855.015277777777</v>
      </c>
      <c r="D68" s="19" t="s">
        <v>54</v>
      </c>
      <c r="E68" s="19" t="s">
        <v>1453</v>
      </c>
      <c r="G68" s="20" t="s">
        <v>1454</v>
      </c>
      <c r="H68" s="19">
        <v>127</v>
      </c>
    </row>
    <row r="69" spans="1:8" ht="99">
      <c r="A69" s="19" t="s">
        <v>1457</v>
      </c>
      <c r="B69" s="19" t="s">
        <v>1196</v>
      </c>
      <c r="C69" s="22">
        <v>39855.030555555553</v>
      </c>
      <c r="D69" s="19" t="s">
        <v>14</v>
      </c>
      <c r="E69" s="19" t="s">
        <v>1458</v>
      </c>
      <c r="G69" s="20" t="s">
        <v>1459</v>
      </c>
      <c r="H69" s="19">
        <v>332</v>
      </c>
    </row>
    <row r="70" spans="1:8" ht="57">
      <c r="A70" s="19" t="s">
        <v>1460</v>
      </c>
      <c r="B70" s="19" t="s">
        <v>1196</v>
      </c>
      <c r="C70" s="22">
        <v>39855.184027777781</v>
      </c>
      <c r="D70" s="19" t="s">
        <v>54</v>
      </c>
      <c r="E70" s="19" t="s">
        <v>1461</v>
      </c>
      <c r="G70" s="20" t="s">
        <v>1462</v>
      </c>
      <c r="H70" s="19">
        <v>196</v>
      </c>
    </row>
    <row r="71" spans="1:8" ht="113">
      <c r="A71" s="19" t="s">
        <v>1467</v>
      </c>
      <c r="B71" s="19" t="s">
        <v>1196</v>
      </c>
      <c r="C71" s="22">
        <v>39855.229861111111</v>
      </c>
      <c r="D71" s="19" t="s">
        <v>54</v>
      </c>
      <c r="E71" s="19" t="s">
        <v>1468</v>
      </c>
      <c r="G71" s="20" t="s">
        <v>1469</v>
      </c>
      <c r="H71" s="19">
        <v>408</v>
      </c>
    </row>
    <row r="72" spans="1:8" ht="71">
      <c r="A72" s="19" t="s">
        <v>1470</v>
      </c>
      <c r="B72" s="19" t="s">
        <v>1196</v>
      </c>
      <c r="C72" s="22">
        <v>39855.245138888888</v>
      </c>
      <c r="D72" s="19" t="s">
        <v>393</v>
      </c>
      <c r="E72" s="19" t="s">
        <v>1471</v>
      </c>
      <c r="G72" s="20" t="s">
        <v>1472</v>
      </c>
      <c r="H72" s="19">
        <v>251</v>
      </c>
    </row>
    <row r="73" spans="1:8" ht="253">
      <c r="A73" s="19" t="s">
        <v>1480</v>
      </c>
      <c r="B73" s="19" t="s">
        <v>1196</v>
      </c>
      <c r="C73" s="22">
        <v>39855.479166666664</v>
      </c>
      <c r="D73" s="19" t="s">
        <v>14</v>
      </c>
      <c r="E73" s="19" t="s">
        <v>1481</v>
      </c>
      <c r="G73" s="20" t="s">
        <v>1482</v>
      </c>
      <c r="H73" s="19">
        <v>909</v>
      </c>
    </row>
    <row r="74" spans="1:8" ht="57">
      <c r="A74" s="19" t="s">
        <v>1515</v>
      </c>
      <c r="B74" s="19" t="s">
        <v>1196</v>
      </c>
      <c r="C74" s="22">
        <v>39855.769444444442</v>
      </c>
      <c r="D74" s="19" t="s">
        <v>54</v>
      </c>
      <c r="E74" s="19" t="s">
        <v>1516</v>
      </c>
      <c r="G74" s="20" t="s">
        <v>1517</v>
      </c>
      <c r="H74" s="19">
        <v>198</v>
      </c>
    </row>
    <row r="75" spans="1:8" ht="127">
      <c r="A75" s="19" t="s">
        <v>1563</v>
      </c>
      <c r="B75" s="19" t="s">
        <v>1196</v>
      </c>
      <c r="C75" s="22">
        <v>39856.015972222223</v>
      </c>
      <c r="D75" s="19" t="s">
        <v>54</v>
      </c>
      <c r="E75" s="19" t="s">
        <v>1564</v>
      </c>
      <c r="G75" s="20" t="s">
        <v>1565</v>
      </c>
      <c r="H75" s="19">
        <v>471</v>
      </c>
    </row>
    <row r="76" spans="1:8" ht="183">
      <c r="A76" s="19" t="s">
        <v>1569</v>
      </c>
      <c r="B76" s="19" t="s">
        <v>846</v>
      </c>
      <c r="C76" s="22">
        <v>39856.03402777778</v>
      </c>
      <c r="D76" s="19" t="s">
        <v>1089</v>
      </c>
      <c r="E76" s="19" t="s">
        <v>1570</v>
      </c>
      <c r="G76" s="20" t="s">
        <v>1571</v>
      </c>
      <c r="H76" s="19">
        <v>124</v>
      </c>
    </row>
    <row r="77" spans="1:8" ht="29">
      <c r="A77" s="19" t="s">
        <v>1577</v>
      </c>
      <c r="B77" s="19" t="s">
        <v>1196</v>
      </c>
      <c r="C77" s="22">
        <v>39856.059027777781</v>
      </c>
      <c r="D77" s="19" t="s">
        <v>14</v>
      </c>
      <c r="E77" s="19" t="s">
        <v>1578</v>
      </c>
      <c r="G77" s="20" t="s">
        <v>1579</v>
      </c>
      <c r="H77" s="19">
        <v>76</v>
      </c>
    </row>
    <row r="78" spans="1:8" ht="113">
      <c r="A78" s="19" t="s">
        <v>1582</v>
      </c>
      <c r="B78" s="19" t="s">
        <v>1196</v>
      </c>
      <c r="C78" s="22">
        <v>39856.07708333333</v>
      </c>
      <c r="D78" s="19" t="s">
        <v>320</v>
      </c>
      <c r="E78" s="19" t="s">
        <v>1583</v>
      </c>
      <c r="G78" s="20" t="s">
        <v>1585</v>
      </c>
      <c r="H78" s="19">
        <v>277</v>
      </c>
    </row>
    <row r="79" spans="1:8" ht="71">
      <c r="A79" s="19" t="s">
        <v>1601</v>
      </c>
      <c r="B79" s="19" t="s">
        <v>1196</v>
      </c>
      <c r="C79" s="22">
        <v>39856.269444444442</v>
      </c>
      <c r="D79" s="19" t="s">
        <v>54</v>
      </c>
      <c r="E79" s="19" t="s">
        <v>1602</v>
      </c>
      <c r="G79" s="20" t="s">
        <v>1603</v>
      </c>
      <c r="H79" s="19">
        <v>221</v>
      </c>
    </row>
    <row r="80" spans="1:8" ht="71">
      <c r="A80" s="19" t="s">
        <v>1662</v>
      </c>
      <c r="B80" s="19" t="s">
        <v>1519</v>
      </c>
      <c r="C80" s="22">
        <v>39856.580555555556</v>
      </c>
      <c r="D80" s="19" t="s">
        <v>54</v>
      </c>
      <c r="E80" s="19" t="s">
        <v>1663</v>
      </c>
      <c r="G80" s="20" t="s">
        <v>1665</v>
      </c>
      <c r="H80" s="19">
        <v>204</v>
      </c>
    </row>
    <row r="81" spans="1:8" ht="43">
      <c r="A81" s="19" t="s">
        <v>1705</v>
      </c>
      <c r="B81" s="19" t="s">
        <v>846</v>
      </c>
      <c r="C81" s="22">
        <v>39856.87777777778</v>
      </c>
      <c r="D81" s="19" t="s">
        <v>1089</v>
      </c>
      <c r="E81" s="19" t="s">
        <v>1706</v>
      </c>
      <c r="G81" s="20" t="s">
        <v>1707</v>
      </c>
      <c r="H81" s="19">
        <v>51</v>
      </c>
    </row>
    <row r="82" spans="1:8">
      <c r="A82" s="19" t="s">
        <v>1713</v>
      </c>
      <c r="B82" s="19" t="s">
        <v>846</v>
      </c>
      <c r="C82" s="22">
        <v>39856.978472222225</v>
      </c>
      <c r="D82" s="19" t="s">
        <v>1089</v>
      </c>
      <c r="E82" s="19" t="s">
        <v>1714</v>
      </c>
      <c r="G82" s="20" t="s">
        <v>1716</v>
      </c>
      <c r="H82" s="19">
        <v>14</v>
      </c>
    </row>
    <row r="83" spans="1:8" ht="43">
      <c r="A83" s="19" t="s">
        <v>1717</v>
      </c>
      <c r="B83" s="19" t="s">
        <v>1196</v>
      </c>
      <c r="C83" s="22">
        <v>39857.01666666667</v>
      </c>
      <c r="D83" s="19" t="s">
        <v>320</v>
      </c>
      <c r="E83" s="19" t="s">
        <v>1718</v>
      </c>
      <c r="G83" s="20" t="s">
        <v>1719</v>
      </c>
      <c r="H83" s="19">
        <v>150</v>
      </c>
    </row>
    <row r="84" spans="1:8" ht="85">
      <c r="A84" s="19" t="s">
        <v>1720</v>
      </c>
      <c r="B84" s="19" t="s">
        <v>1196</v>
      </c>
      <c r="C84" s="22">
        <v>39857.038194444445</v>
      </c>
      <c r="D84" s="19" t="s">
        <v>14</v>
      </c>
      <c r="E84" s="19" t="s">
        <v>1721</v>
      </c>
      <c r="G84" s="20" t="s">
        <v>1723</v>
      </c>
      <c r="H84" s="19">
        <v>322</v>
      </c>
    </row>
    <row r="85" spans="1:8" ht="29">
      <c r="A85" s="19" t="s">
        <v>1740</v>
      </c>
      <c r="B85" s="19" t="s">
        <v>846</v>
      </c>
      <c r="C85" s="22">
        <v>39857.366666666669</v>
      </c>
      <c r="D85" s="19" t="s">
        <v>474</v>
      </c>
      <c r="E85" s="19" t="s">
        <v>1741</v>
      </c>
      <c r="G85" s="20" t="s">
        <v>1742</v>
      </c>
      <c r="H85" s="19">
        <v>41</v>
      </c>
    </row>
    <row r="86" spans="1:8" ht="99">
      <c r="A86" s="19" t="s">
        <v>1811</v>
      </c>
      <c r="B86" s="19" t="s">
        <v>1696</v>
      </c>
      <c r="C86" s="22">
        <v>39858.054861111108</v>
      </c>
      <c r="D86" s="19" t="s">
        <v>14</v>
      </c>
      <c r="E86" s="19" t="s">
        <v>1812</v>
      </c>
      <c r="G86" s="20" t="s">
        <v>1813</v>
      </c>
      <c r="H86" s="19">
        <v>344</v>
      </c>
    </row>
    <row r="87" spans="1:8" ht="71">
      <c r="A87" s="19" t="s">
        <v>1834</v>
      </c>
      <c r="B87" s="19" t="s">
        <v>1696</v>
      </c>
      <c r="C87" s="22">
        <v>39858.404166666667</v>
      </c>
      <c r="D87" s="19" t="s">
        <v>14</v>
      </c>
      <c r="E87" s="19" t="s">
        <v>1835</v>
      </c>
      <c r="G87" s="20" t="s">
        <v>1837</v>
      </c>
      <c r="H87" s="19">
        <v>255</v>
      </c>
    </row>
    <row r="88" spans="1:8" ht="43">
      <c r="A88" s="19" t="s">
        <v>1863</v>
      </c>
      <c r="B88" s="19" t="s">
        <v>1196</v>
      </c>
      <c r="C88" s="22">
        <v>39858.845138888886</v>
      </c>
      <c r="D88" s="19" t="s">
        <v>255</v>
      </c>
      <c r="E88" s="19" t="s">
        <v>1864</v>
      </c>
      <c r="G88" s="20" t="s">
        <v>1866</v>
      </c>
      <c r="H88" s="19">
        <v>128</v>
      </c>
    </row>
    <row r="89" spans="1:8" ht="29">
      <c r="A89" s="19" t="s">
        <v>1918</v>
      </c>
      <c r="B89" s="19" t="s">
        <v>1814</v>
      </c>
      <c r="C89" s="22">
        <v>39859.699999999997</v>
      </c>
      <c r="D89" s="19" t="s">
        <v>1089</v>
      </c>
      <c r="E89" s="19" t="s">
        <v>1919</v>
      </c>
      <c r="G89" s="20" t="s">
        <v>1920</v>
      </c>
      <c r="H89" s="19">
        <v>82</v>
      </c>
    </row>
    <row r="90" spans="1:8" ht="29">
      <c r="A90" s="19" t="s">
        <v>1977</v>
      </c>
      <c r="B90" s="19" t="s">
        <v>1814</v>
      </c>
      <c r="C90" s="22">
        <v>39860.540277777778</v>
      </c>
      <c r="D90" s="19" t="s">
        <v>474</v>
      </c>
      <c r="E90" s="19" t="s">
        <v>1978</v>
      </c>
      <c r="G90" s="20" t="s">
        <v>1980</v>
      </c>
      <c r="H90" s="19">
        <v>29</v>
      </c>
    </row>
    <row r="91" spans="1:8" ht="183">
      <c r="A91" s="19" t="s">
        <v>2013</v>
      </c>
      <c r="B91" s="19" t="s">
        <v>1814</v>
      </c>
      <c r="C91" s="22">
        <v>39860.777777777781</v>
      </c>
      <c r="D91" s="19" t="s">
        <v>1089</v>
      </c>
      <c r="E91" s="19" t="s">
        <v>2014</v>
      </c>
      <c r="G91" s="20" t="s">
        <v>2016</v>
      </c>
      <c r="H91" s="19">
        <v>141</v>
      </c>
    </row>
    <row r="92" spans="1:8" ht="57">
      <c r="A92" s="19" t="s">
        <v>2021</v>
      </c>
      <c r="B92" s="19" t="s">
        <v>1814</v>
      </c>
      <c r="C92" s="22">
        <v>39860.793749999997</v>
      </c>
      <c r="D92" s="19" t="s">
        <v>2010</v>
      </c>
      <c r="F92" s="19" t="s">
        <v>2022</v>
      </c>
      <c r="G92" s="20" t="s">
        <v>2023</v>
      </c>
      <c r="H92" s="19">
        <v>102</v>
      </c>
    </row>
    <row r="93" spans="1:8" ht="29">
      <c r="A93" s="19" t="s">
        <v>2056</v>
      </c>
      <c r="B93" s="19" t="s">
        <v>1696</v>
      </c>
      <c r="C93" s="22">
        <v>39861.837500000001</v>
      </c>
      <c r="D93" s="19" t="s">
        <v>320</v>
      </c>
      <c r="E93" s="19" t="s">
        <v>2057</v>
      </c>
      <c r="G93" s="20" t="s">
        <v>2058</v>
      </c>
      <c r="H93" s="19">
        <v>72</v>
      </c>
    </row>
    <row r="94" spans="1:8" ht="57">
      <c r="A94" s="19" t="s">
        <v>2112</v>
      </c>
      <c r="B94" s="19" t="s">
        <v>1696</v>
      </c>
      <c r="C94" s="22">
        <v>39863.267361111109</v>
      </c>
      <c r="D94" s="19" t="s">
        <v>320</v>
      </c>
      <c r="E94" s="19" t="s">
        <v>2113</v>
      </c>
      <c r="G94" s="20" t="s">
        <v>2115</v>
      </c>
      <c r="H94" s="19">
        <v>189</v>
      </c>
    </row>
    <row r="95" spans="1:8" ht="29">
      <c r="A95" s="19" t="s">
        <v>2165</v>
      </c>
      <c r="B95" s="19" t="s">
        <v>1696</v>
      </c>
      <c r="C95" s="22">
        <v>39864.288888888892</v>
      </c>
      <c r="D95" s="19" t="s">
        <v>320</v>
      </c>
      <c r="E95" s="19" t="s">
        <v>2166</v>
      </c>
      <c r="G95" s="20" t="s">
        <v>2168</v>
      </c>
      <c r="H95" s="19">
        <v>103</v>
      </c>
    </row>
    <row r="96" spans="1:8" ht="71">
      <c r="A96" s="19" t="s">
        <v>2183</v>
      </c>
      <c r="B96" s="19" t="s">
        <v>1814</v>
      </c>
      <c r="C96" s="22">
        <v>39864.353472222225</v>
      </c>
      <c r="D96" s="19" t="s">
        <v>381</v>
      </c>
      <c r="E96" s="19" t="s">
        <v>2184</v>
      </c>
      <c r="G96" s="20" t="s">
        <v>2185</v>
      </c>
      <c r="H96" s="19">
        <v>94</v>
      </c>
    </row>
    <row r="97" spans="1:8" ht="113">
      <c r="A97" s="19" t="s">
        <v>2222</v>
      </c>
      <c r="B97" s="19" t="s">
        <v>1696</v>
      </c>
      <c r="C97" s="22">
        <v>39864.759722222225</v>
      </c>
      <c r="D97" s="19" t="s">
        <v>14</v>
      </c>
      <c r="E97" s="19" t="s">
        <v>2223</v>
      </c>
      <c r="G97" s="20" t="s">
        <v>2225</v>
      </c>
      <c r="H97" s="19">
        <v>351</v>
      </c>
    </row>
    <row r="98" spans="1:8" ht="43">
      <c r="A98" s="19" t="s">
        <v>2235</v>
      </c>
      <c r="B98" s="19" t="s">
        <v>1814</v>
      </c>
      <c r="C98" s="22">
        <v>39864.870833333334</v>
      </c>
      <c r="D98" s="19" t="s">
        <v>1089</v>
      </c>
      <c r="E98" s="19" t="s">
        <v>2236</v>
      </c>
      <c r="G98" s="20" t="s">
        <v>2238</v>
      </c>
      <c r="H98" s="19">
        <v>62</v>
      </c>
    </row>
    <row r="99" spans="1:8" ht="71">
      <c r="A99" s="19" t="s">
        <v>2249</v>
      </c>
      <c r="B99" s="19" t="s">
        <v>1814</v>
      </c>
      <c r="C99" s="22">
        <v>39865.368750000001</v>
      </c>
      <c r="D99" s="19" t="s">
        <v>54</v>
      </c>
      <c r="E99" s="19" t="s">
        <v>2250</v>
      </c>
      <c r="G99" s="20" t="s">
        <v>2252</v>
      </c>
      <c r="H99" s="19">
        <v>189</v>
      </c>
    </row>
    <row r="100" spans="1:8" ht="43">
      <c r="A100" s="19" t="s">
        <v>2265</v>
      </c>
      <c r="B100" s="19" t="s">
        <v>1696</v>
      </c>
      <c r="C100" s="22">
        <v>39865.73333333333</v>
      </c>
      <c r="D100" s="19" t="s">
        <v>54</v>
      </c>
      <c r="E100" s="19" t="s">
        <v>2266</v>
      </c>
      <c r="G100" s="20" t="s">
        <v>2268</v>
      </c>
      <c r="H100" s="19">
        <v>154</v>
      </c>
    </row>
    <row r="101" spans="1:8">
      <c r="A101" s="19" t="s">
        <v>2282</v>
      </c>
      <c r="B101" s="19" t="s">
        <v>1696</v>
      </c>
      <c r="C101" s="22">
        <v>39865.798611111109</v>
      </c>
      <c r="D101" s="19" t="s">
        <v>196</v>
      </c>
      <c r="E101" s="19" t="s">
        <v>2283</v>
      </c>
      <c r="G101" s="20" t="s">
        <v>2284</v>
      </c>
      <c r="H101" s="19">
        <v>14</v>
      </c>
    </row>
    <row r="102" spans="1:8" ht="43">
      <c r="A102" s="19" t="s">
        <v>2285</v>
      </c>
      <c r="B102" s="19" t="s">
        <v>1696</v>
      </c>
      <c r="C102" s="22">
        <v>39865.818749999999</v>
      </c>
      <c r="D102" s="19" t="s">
        <v>14</v>
      </c>
      <c r="E102" s="19" t="s">
        <v>2286</v>
      </c>
      <c r="G102" s="20" t="s">
        <v>2288</v>
      </c>
      <c r="H102" s="19">
        <v>158</v>
      </c>
    </row>
    <row r="103" spans="1:8" ht="57">
      <c r="A103" s="19" t="s">
        <v>2313</v>
      </c>
      <c r="B103" s="19" t="s">
        <v>1814</v>
      </c>
      <c r="C103" s="22">
        <v>39866.492361111108</v>
      </c>
      <c r="D103" s="19" t="s">
        <v>474</v>
      </c>
      <c r="E103" s="19" t="s">
        <v>2314</v>
      </c>
      <c r="G103" s="20" t="s">
        <v>2315</v>
      </c>
      <c r="H103" s="19">
        <v>176</v>
      </c>
    </row>
    <row r="104" spans="1:8" ht="29">
      <c r="A104" s="19" t="s">
        <v>2325</v>
      </c>
      <c r="B104" s="19" t="s">
        <v>1696</v>
      </c>
      <c r="C104" s="22">
        <v>39867.020138888889</v>
      </c>
      <c r="D104" s="19" t="s">
        <v>320</v>
      </c>
      <c r="E104" s="19" t="s">
        <v>2326</v>
      </c>
      <c r="G104" s="20" t="s">
        <v>2328</v>
      </c>
      <c r="H104" s="19">
        <v>97</v>
      </c>
    </row>
    <row r="105" spans="1:8" ht="127">
      <c r="A105" s="19" t="s">
        <v>2343</v>
      </c>
      <c r="B105" s="19" t="s">
        <v>1814</v>
      </c>
      <c r="C105" s="22">
        <v>39867.394444444442</v>
      </c>
      <c r="D105" s="19" t="s">
        <v>54</v>
      </c>
      <c r="E105" s="19" t="s">
        <v>2344</v>
      </c>
      <c r="G105" s="20" t="s">
        <v>2345</v>
      </c>
      <c r="H105" s="19">
        <v>468</v>
      </c>
    </row>
    <row r="106" spans="1:8" ht="141">
      <c r="A106" s="19" t="s">
        <v>2457</v>
      </c>
      <c r="B106" s="19" t="s">
        <v>2335</v>
      </c>
      <c r="C106" s="22">
        <v>39868.563888888886</v>
      </c>
      <c r="D106" s="19" t="s">
        <v>14</v>
      </c>
      <c r="E106" s="19" t="s">
        <v>2458</v>
      </c>
      <c r="G106" s="20" t="s">
        <v>2460</v>
      </c>
      <c r="H106" s="19">
        <v>531</v>
      </c>
    </row>
    <row r="107" spans="1:8" ht="155">
      <c r="A107" s="19" t="s">
        <v>2477</v>
      </c>
      <c r="B107" s="19" t="s">
        <v>2335</v>
      </c>
      <c r="C107" s="22">
        <v>39868.74722222222</v>
      </c>
      <c r="D107" s="19" t="s">
        <v>2452</v>
      </c>
      <c r="E107" s="19" t="s">
        <v>2478</v>
      </c>
      <c r="G107" s="20" t="s">
        <v>2480</v>
      </c>
      <c r="H107" s="19">
        <v>456</v>
      </c>
    </row>
    <row r="108" spans="1:8" ht="113">
      <c r="A108" s="19" t="s">
        <v>2491</v>
      </c>
      <c r="B108" s="19" t="s">
        <v>2335</v>
      </c>
      <c r="C108" s="22">
        <v>39869.203472222223</v>
      </c>
      <c r="D108" s="19" t="s">
        <v>2452</v>
      </c>
      <c r="E108" s="19" t="s">
        <v>2492</v>
      </c>
      <c r="G108" s="20" t="s">
        <v>2494</v>
      </c>
      <c r="H108" s="19">
        <v>374</v>
      </c>
    </row>
    <row r="109" spans="1:8">
      <c r="A109" s="19" t="s">
        <v>2532</v>
      </c>
      <c r="B109" s="19" t="s">
        <v>1814</v>
      </c>
      <c r="C109" s="22">
        <v>39870.06527777778</v>
      </c>
      <c r="D109" s="19" t="s">
        <v>1089</v>
      </c>
      <c r="E109" s="19" t="s">
        <v>2533</v>
      </c>
      <c r="G109" s="20" t="s">
        <v>2535</v>
      </c>
      <c r="H109" s="19">
        <v>45</v>
      </c>
    </row>
    <row r="110" spans="1:8">
      <c r="A110" s="19" t="s">
        <v>2586</v>
      </c>
      <c r="B110" s="19" t="s">
        <v>1814</v>
      </c>
      <c r="C110" s="22">
        <v>39871.867361111108</v>
      </c>
      <c r="D110" s="19" t="s">
        <v>54</v>
      </c>
      <c r="E110" s="19" t="s">
        <v>2587</v>
      </c>
      <c r="G110" s="20" t="s">
        <v>2588</v>
      </c>
      <c r="H110" s="19">
        <v>45</v>
      </c>
    </row>
    <row r="111" spans="1:8" ht="85">
      <c r="A111" s="19" t="s">
        <v>2594</v>
      </c>
      <c r="B111" s="19" t="s">
        <v>2335</v>
      </c>
      <c r="C111" s="22">
        <v>39871.954861111109</v>
      </c>
      <c r="D111" s="19" t="s">
        <v>54</v>
      </c>
      <c r="E111" s="19" t="s">
        <v>2595</v>
      </c>
      <c r="G111" s="20" t="s">
        <v>2597</v>
      </c>
      <c r="H111" s="19">
        <v>273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S2129"/>
  <sheetViews>
    <sheetView workbookViewId="0"/>
  </sheetViews>
  <sheetFormatPr baseColWidth="10" defaultColWidth="14.5" defaultRowHeight="15" customHeight="1"/>
  <cols>
    <col min="1" max="1" width="11.5" customWidth="1"/>
    <col min="2" max="2" width="10.6640625" customWidth="1"/>
    <col min="3" max="4" width="18.5" customWidth="1"/>
    <col min="5" max="5" width="20.33203125" customWidth="1"/>
  </cols>
  <sheetData>
    <row r="1" spans="1:19" ht="33.75" customHeight="1">
      <c r="A1" s="1" t="s">
        <v>1</v>
      </c>
      <c r="B1" s="1" t="s">
        <v>2</v>
      </c>
      <c r="C1" s="1" t="s">
        <v>5801</v>
      </c>
      <c r="D1" s="1" t="s">
        <v>3</v>
      </c>
      <c r="E1" s="1" t="s">
        <v>4</v>
      </c>
      <c r="F1" s="1"/>
      <c r="G1" s="1"/>
      <c r="H1" s="1"/>
      <c r="I1" s="1"/>
      <c r="J1" s="1"/>
      <c r="K1" s="1"/>
      <c r="L1" s="1"/>
      <c r="M1" s="1"/>
      <c r="N1" s="1"/>
      <c r="O1" s="1"/>
      <c r="P1" s="1"/>
      <c r="Q1" s="1"/>
      <c r="R1" s="1"/>
      <c r="S1" s="1"/>
    </row>
    <row r="2" spans="1:19" ht="33.75" customHeight="1">
      <c r="A2" s="1" t="s">
        <v>12</v>
      </c>
      <c r="B2" s="3" t="s">
        <v>13</v>
      </c>
      <c r="C2" s="3">
        <v>1</v>
      </c>
      <c r="D2" s="4">
        <v>39840.65824074074</v>
      </c>
      <c r="E2" s="1" t="s">
        <v>14</v>
      </c>
      <c r="F2" s="1"/>
      <c r="G2" s="1"/>
      <c r="H2" s="1"/>
      <c r="I2" s="1"/>
      <c r="J2" s="1"/>
      <c r="K2" s="1"/>
      <c r="L2" s="1"/>
      <c r="M2" s="1"/>
      <c r="N2" s="1"/>
      <c r="O2" s="1"/>
      <c r="P2" s="1"/>
      <c r="Q2" s="1"/>
      <c r="R2" s="1"/>
      <c r="S2" s="1"/>
    </row>
    <row r="3" spans="1:19" ht="33.75" customHeight="1">
      <c r="A3" s="1" t="s">
        <v>20</v>
      </c>
      <c r="B3" s="3" t="s">
        <v>13</v>
      </c>
      <c r="C3" s="3">
        <v>1</v>
      </c>
      <c r="D3" s="4">
        <v>39840.722222222219</v>
      </c>
      <c r="E3" s="1" t="s">
        <v>21</v>
      </c>
      <c r="F3" s="1"/>
      <c r="G3" s="1"/>
      <c r="H3" s="1"/>
      <c r="I3" s="1"/>
      <c r="J3" s="1"/>
      <c r="K3" s="1"/>
      <c r="L3" s="1"/>
      <c r="M3" s="1"/>
      <c r="N3" s="1"/>
      <c r="O3" s="1"/>
      <c r="P3" s="1"/>
      <c r="Q3" s="1"/>
      <c r="R3" s="1"/>
      <c r="S3" s="1"/>
    </row>
    <row r="4" spans="1:19" ht="33.75" customHeight="1">
      <c r="A4" s="1" t="s">
        <v>25</v>
      </c>
      <c r="B4" s="3" t="s">
        <v>13</v>
      </c>
      <c r="C4" s="3">
        <v>1</v>
      </c>
      <c r="D4" s="4">
        <v>39840.734027777777</v>
      </c>
      <c r="E4" s="1" t="s">
        <v>14</v>
      </c>
      <c r="F4" s="1"/>
      <c r="G4" s="1"/>
      <c r="H4" s="1"/>
      <c r="I4" s="1"/>
      <c r="J4" s="1"/>
      <c r="K4" s="1"/>
      <c r="L4" s="1"/>
      <c r="M4" s="1"/>
      <c r="N4" s="1"/>
      <c r="O4" s="1"/>
      <c r="P4" s="1"/>
      <c r="Q4" s="1"/>
      <c r="R4" s="1"/>
      <c r="S4" s="1"/>
    </row>
    <row r="5" spans="1:19" ht="33.75" customHeight="1">
      <c r="A5" s="1" t="s">
        <v>31</v>
      </c>
      <c r="B5" s="3" t="s">
        <v>13</v>
      </c>
      <c r="C5" s="3">
        <v>1</v>
      </c>
      <c r="D5" s="4">
        <v>39840.777777777781</v>
      </c>
      <c r="E5" s="1" t="s">
        <v>32</v>
      </c>
      <c r="F5" s="1"/>
      <c r="G5" s="1"/>
      <c r="H5" s="1"/>
      <c r="I5" s="1"/>
      <c r="J5" s="1"/>
      <c r="K5" s="1"/>
      <c r="L5" s="1"/>
      <c r="M5" s="1"/>
      <c r="N5" s="1"/>
      <c r="O5" s="1"/>
      <c r="P5" s="1"/>
      <c r="Q5" s="1"/>
      <c r="R5" s="1"/>
      <c r="S5" s="1"/>
    </row>
    <row r="6" spans="1:19" ht="33.75" customHeight="1">
      <c r="A6" s="1" t="s">
        <v>37</v>
      </c>
      <c r="B6" s="3" t="s">
        <v>13</v>
      </c>
      <c r="C6" s="3">
        <v>1</v>
      </c>
      <c r="D6" s="4">
        <v>39840.779861111114</v>
      </c>
      <c r="E6" s="1" t="s">
        <v>38</v>
      </c>
      <c r="F6" s="1"/>
      <c r="G6" s="1"/>
      <c r="H6" s="1"/>
      <c r="I6" s="1"/>
      <c r="J6" s="1"/>
      <c r="K6" s="1"/>
      <c r="L6" s="1"/>
      <c r="M6" s="1"/>
      <c r="N6" s="1"/>
      <c r="O6" s="1"/>
      <c r="P6" s="1"/>
      <c r="Q6" s="1"/>
      <c r="R6" s="1"/>
      <c r="S6" s="1"/>
    </row>
    <row r="7" spans="1:19" ht="33.75" customHeight="1">
      <c r="A7" s="1" t="s">
        <v>44</v>
      </c>
      <c r="B7" s="3" t="s">
        <v>13</v>
      </c>
      <c r="C7" s="3">
        <v>1</v>
      </c>
      <c r="D7" s="4">
        <v>39840.786805555559</v>
      </c>
      <c r="E7" s="1" t="s">
        <v>45</v>
      </c>
      <c r="F7" s="1"/>
      <c r="G7" s="1"/>
      <c r="H7" s="1"/>
      <c r="I7" s="1"/>
      <c r="J7" s="1"/>
      <c r="K7" s="1"/>
      <c r="L7" s="1"/>
      <c r="M7" s="1"/>
      <c r="N7" s="1"/>
      <c r="O7" s="1"/>
      <c r="P7" s="1"/>
      <c r="Q7" s="1"/>
      <c r="R7" s="1"/>
      <c r="S7" s="1"/>
    </row>
    <row r="8" spans="1:19" ht="33.75" customHeight="1">
      <c r="A8" s="1" t="s">
        <v>48</v>
      </c>
      <c r="B8" s="3" t="s">
        <v>13</v>
      </c>
      <c r="C8" s="3">
        <v>1</v>
      </c>
      <c r="D8" s="4">
        <v>39840.85</v>
      </c>
      <c r="E8" s="1" t="s">
        <v>49</v>
      </c>
      <c r="F8" s="1"/>
      <c r="G8" s="1"/>
      <c r="H8" s="1"/>
      <c r="I8" s="1"/>
      <c r="J8" s="1"/>
      <c r="K8" s="1"/>
      <c r="L8" s="1"/>
      <c r="M8" s="1"/>
      <c r="N8" s="1"/>
      <c r="O8" s="1"/>
      <c r="P8" s="1"/>
      <c r="Q8" s="1"/>
      <c r="R8" s="1"/>
      <c r="S8" s="1"/>
    </row>
    <row r="9" spans="1:19" ht="33.75" customHeight="1">
      <c r="A9" s="1" t="s">
        <v>53</v>
      </c>
      <c r="B9" s="3" t="s">
        <v>13</v>
      </c>
      <c r="C9" s="3">
        <v>1</v>
      </c>
      <c r="D9" s="4">
        <v>39841.03402777778</v>
      </c>
      <c r="E9" s="1" t="s">
        <v>54</v>
      </c>
      <c r="F9" s="1"/>
      <c r="G9" s="1"/>
      <c r="H9" s="1"/>
      <c r="I9" s="1"/>
      <c r="J9" s="1"/>
      <c r="K9" s="1"/>
      <c r="L9" s="1"/>
      <c r="M9" s="1"/>
      <c r="N9" s="1"/>
      <c r="O9" s="1"/>
      <c r="P9" s="1"/>
      <c r="Q9" s="1"/>
      <c r="R9" s="1"/>
      <c r="S9" s="1"/>
    </row>
    <row r="10" spans="1:19" ht="33.75" customHeight="1">
      <c r="A10" s="1" t="s">
        <v>58</v>
      </c>
      <c r="B10" s="3" t="s">
        <v>13</v>
      </c>
      <c r="C10" s="3">
        <v>1</v>
      </c>
      <c r="D10" s="4">
        <v>39841.186805555553</v>
      </c>
      <c r="E10" s="1" t="s">
        <v>59</v>
      </c>
      <c r="F10" s="1"/>
      <c r="G10" s="1"/>
      <c r="H10" s="1"/>
      <c r="I10" s="1"/>
      <c r="J10" s="1"/>
      <c r="K10" s="1"/>
      <c r="L10" s="1"/>
      <c r="M10" s="1"/>
      <c r="N10" s="1"/>
      <c r="O10" s="1"/>
      <c r="P10" s="1"/>
      <c r="Q10" s="1"/>
      <c r="R10" s="1"/>
      <c r="S10" s="1"/>
    </row>
    <row r="11" spans="1:19" ht="33.75" customHeight="1">
      <c r="A11" s="1" t="s">
        <v>62</v>
      </c>
      <c r="B11" s="3" t="s">
        <v>13</v>
      </c>
      <c r="C11" s="3">
        <v>1</v>
      </c>
      <c r="D11" s="4">
        <v>39841.53125</v>
      </c>
      <c r="E11" s="1" t="s">
        <v>63</v>
      </c>
      <c r="F11" s="1"/>
      <c r="G11" s="1"/>
      <c r="H11" s="1"/>
      <c r="I11" s="1"/>
      <c r="J11" s="1"/>
      <c r="K11" s="1"/>
      <c r="L11" s="1"/>
      <c r="M11" s="1"/>
      <c r="N11" s="1"/>
      <c r="O11" s="1"/>
      <c r="P11" s="1"/>
      <c r="Q11" s="1"/>
      <c r="R11" s="1"/>
      <c r="S11" s="1"/>
    </row>
    <row r="12" spans="1:19" ht="33.75" customHeight="1">
      <c r="A12" s="1" t="s">
        <v>69</v>
      </c>
      <c r="B12" s="3" t="s">
        <v>13</v>
      </c>
      <c r="C12" s="3">
        <v>1</v>
      </c>
      <c r="D12" s="4">
        <v>39841.593055555553</v>
      </c>
      <c r="E12" s="1" t="s">
        <v>70</v>
      </c>
      <c r="F12" s="1"/>
      <c r="G12" s="1"/>
      <c r="H12" s="1"/>
      <c r="I12" s="1"/>
      <c r="J12" s="1"/>
      <c r="K12" s="1"/>
      <c r="L12" s="1"/>
      <c r="M12" s="1"/>
      <c r="N12" s="1"/>
      <c r="O12" s="1"/>
      <c r="P12" s="1"/>
      <c r="Q12" s="1"/>
      <c r="R12" s="1"/>
      <c r="S12" s="1"/>
    </row>
    <row r="13" spans="1:19" ht="33.75" customHeight="1">
      <c r="A13" s="1" t="s">
        <v>74</v>
      </c>
      <c r="B13" s="3" t="s">
        <v>13</v>
      </c>
      <c r="C13" s="3">
        <v>1</v>
      </c>
      <c r="D13" s="4">
        <v>39841.607638888891</v>
      </c>
      <c r="E13" s="1" t="s">
        <v>21</v>
      </c>
      <c r="F13" s="1"/>
      <c r="G13" s="1"/>
      <c r="H13" s="1"/>
      <c r="I13" s="1"/>
      <c r="J13" s="1"/>
      <c r="K13" s="1"/>
      <c r="L13" s="1"/>
      <c r="M13" s="1"/>
      <c r="N13" s="1"/>
      <c r="O13" s="1"/>
      <c r="P13" s="1"/>
      <c r="Q13" s="1"/>
      <c r="R13" s="1"/>
      <c r="S13" s="1"/>
    </row>
    <row r="14" spans="1:19" ht="33.75" customHeight="1">
      <c r="A14" s="1" t="s">
        <v>77</v>
      </c>
      <c r="B14" s="3" t="s">
        <v>13</v>
      </c>
      <c r="C14" s="3">
        <v>1</v>
      </c>
      <c r="D14" s="4">
        <v>39841.757638888892</v>
      </c>
      <c r="E14" s="1" t="s">
        <v>54</v>
      </c>
      <c r="F14" s="1"/>
      <c r="G14" s="1"/>
      <c r="H14" s="1"/>
      <c r="I14" s="1"/>
      <c r="J14" s="1"/>
      <c r="K14" s="1"/>
      <c r="L14" s="1"/>
      <c r="M14" s="1"/>
      <c r="N14" s="1"/>
      <c r="O14" s="1"/>
      <c r="P14" s="1"/>
      <c r="Q14" s="1"/>
      <c r="R14" s="1"/>
      <c r="S14" s="1"/>
    </row>
    <row r="15" spans="1:19" ht="33.75" customHeight="1">
      <c r="A15" s="1" t="s">
        <v>83</v>
      </c>
      <c r="B15" s="3" t="s">
        <v>13</v>
      </c>
      <c r="C15" s="3">
        <v>1</v>
      </c>
      <c r="D15" s="4">
        <v>39841.765277777777</v>
      </c>
      <c r="E15" s="1" t="s">
        <v>84</v>
      </c>
      <c r="F15" s="1"/>
      <c r="G15" s="1"/>
      <c r="H15" s="1"/>
      <c r="I15" s="1"/>
      <c r="J15" s="1"/>
      <c r="K15" s="1"/>
      <c r="L15" s="1"/>
      <c r="M15" s="1"/>
      <c r="N15" s="1"/>
      <c r="O15" s="1"/>
      <c r="P15" s="1"/>
      <c r="Q15" s="1"/>
      <c r="R15" s="1"/>
      <c r="S15" s="1"/>
    </row>
    <row r="16" spans="1:19" ht="33.75" customHeight="1">
      <c r="A16" s="1" t="s">
        <v>87</v>
      </c>
      <c r="B16" s="3" t="s">
        <v>13</v>
      </c>
      <c r="C16" s="3">
        <v>1</v>
      </c>
      <c r="D16" s="4">
        <v>39841.981249999997</v>
      </c>
      <c r="E16" s="1" t="s">
        <v>14</v>
      </c>
      <c r="F16" s="1"/>
      <c r="G16" s="1"/>
      <c r="H16" s="1"/>
      <c r="I16" s="1"/>
      <c r="J16" s="1"/>
      <c r="K16" s="1"/>
      <c r="L16" s="1"/>
      <c r="M16" s="1"/>
      <c r="N16" s="1"/>
      <c r="O16" s="1"/>
      <c r="P16" s="1"/>
      <c r="Q16" s="1"/>
      <c r="R16" s="1"/>
      <c r="S16" s="1"/>
    </row>
    <row r="17" spans="1:19" ht="33.75" customHeight="1">
      <c r="A17" s="1" t="s">
        <v>92</v>
      </c>
      <c r="B17" s="3" t="s">
        <v>13</v>
      </c>
      <c r="C17" s="3">
        <v>1</v>
      </c>
      <c r="D17" s="4">
        <v>39842.952777777777</v>
      </c>
      <c r="E17" s="1" t="s">
        <v>93</v>
      </c>
      <c r="F17" s="1"/>
      <c r="G17" s="1"/>
      <c r="H17" s="1"/>
      <c r="I17" s="1"/>
      <c r="J17" s="1"/>
      <c r="K17" s="1"/>
      <c r="L17" s="1"/>
      <c r="M17" s="1"/>
      <c r="N17" s="1"/>
      <c r="O17" s="1"/>
      <c r="P17" s="1"/>
      <c r="Q17" s="1"/>
      <c r="R17" s="1"/>
      <c r="S17" s="1"/>
    </row>
    <row r="18" spans="1:19" ht="33.75" customHeight="1">
      <c r="A18" s="1" t="s">
        <v>12</v>
      </c>
      <c r="B18" s="1" t="s">
        <v>96</v>
      </c>
      <c r="C18" s="1">
        <v>2</v>
      </c>
      <c r="D18" s="4">
        <v>39843.452187499999</v>
      </c>
      <c r="E18" s="1" t="s">
        <v>14</v>
      </c>
      <c r="F18" s="1"/>
      <c r="G18" s="1"/>
      <c r="H18" s="1"/>
      <c r="I18" s="1"/>
      <c r="J18" s="1"/>
      <c r="K18" s="1"/>
      <c r="L18" s="1"/>
      <c r="M18" s="1"/>
      <c r="N18" s="1"/>
      <c r="O18" s="1"/>
      <c r="P18" s="1"/>
      <c r="Q18" s="1"/>
      <c r="R18" s="1"/>
      <c r="S18" s="1"/>
    </row>
    <row r="19" spans="1:19" ht="33.75" customHeight="1">
      <c r="A19" s="1" t="s">
        <v>100</v>
      </c>
      <c r="B19" s="3" t="s">
        <v>13</v>
      </c>
      <c r="C19" s="3">
        <v>1</v>
      </c>
      <c r="D19" s="4">
        <v>39843.599999999999</v>
      </c>
      <c r="E19" s="1" t="s">
        <v>101</v>
      </c>
      <c r="F19" s="1"/>
      <c r="G19" s="1"/>
      <c r="H19" s="1"/>
      <c r="I19" s="1"/>
      <c r="J19" s="1"/>
      <c r="K19" s="1"/>
      <c r="L19" s="1"/>
      <c r="M19" s="1"/>
      <c r="N19" s="1"/>
      <c r="O19" s="1"/>
      <c r="P19" s="1"/>
      <c r="Q19" s="1"/>
      <c r="R19" s="1"/>
      <c r="S19" s="1"/>
    </row>
    <row r="20" spans="1:19" ht="33.75" customHeight="1">
      <c r="A20" s="1" t="s">
        <v>105</v>
      </c>
      <c r="B20" s="3" t="s">
        <v>13</v>
      </c>
      <c r="C20" s="3">
        <v>1</v>
      </c>
      <c r="D20" s="4">
        <v>39843.663194444445</v>
      </c>
      <c r="E20" s="1" t="s">
        <v>101</v>
      </c>
      <c r="F20" s="1"/>
      <c r="G20" s="1"/>
      <c r="H20" s="1"/>
      <c r="I20" s="1"/>
      <c r="J20" s="1"/>
      <c r="K20" s="1"/>
      <c r="L20" s="1"/>
      <c r="M20" s="1"/>
      <c r="N20" s="1"/>
      <c r="O20" s="1"/>
      <c r="P20" s="1"/>
      <c r="Q20" s="1"/>
      <c r="R20" s="1"/>
      <c r="S20" s="1"/>
    </row>
    <row r="21" spans="1:19" ht="33.75" customHeight="1">
      <c r="A21" s="1" t="s">
        <v>109</v>
      </c>
      <c r="B21" s="3" t="s">
        <v>13</v>
      </c>
      <c r="C21" s="3">
        <v>1</v>
      </c>
      <c r="D21" s="4">
        <v>39843.6875</v>
      </c>
      <c r="E21" s="1" t="s">
        <v>110</v>
      </c>
      <c r="F21" s="1"/>
      <c r="G21" s="1"/>
      <c r="H21" s="1"/>
      <c r="I21" s="1"/>
      <c r="J21" s="1"/>
      <c r="K21" s="1"/>
      <c r="L21" s="1"/>
      <c r="M21" s="1"/>
      <c r="N21" s="1"/>
      <c r="O21" s="1"/>
      <c r="P21" s="1"/>
      <c r="Q21" s="1"/>
      <c r="R21" s="1"/>
      <c r="S21" s="1"/>
    </row>
    <row r="22" spans="1:19" ht="33.75" customHeight="1">
      <c r="A22" s="1" t="s">
        <v>113</v>
      </c>
      <c r="B22" s="3" t="s">
        <v>13</v>
      </c>
      <c r="C22" s="3">
        <v>1</v>
      </c>
      <c r="D22" s="4">
        <v>39843.697222222225</v>
      </c>
      <c r="E22" s="1" t="s">
        <v>21</v>
      </c>
      <c r="F22" s="1"/>
      <c r="G22" s="1"/>
      <c r="H22" s="1"/>
      <c r="I22" s="1"/>
      <c r="J22" s="1"/>
      <c r="K22" s="1"/>
      <c r="L22" s="1"/>
      <c r="M22" s="1"/>
      <c r="N22" s="1"/>
      <c r="O22" s="1"/>
      <c r="P22" s="1"/>
      <c r="Q22" s="1"/>
      <c r="R22" s="1"/>
      <c r="S22" s="1"/>
    </row>
    <row r="23" spans="1:19" ht="33.75" customHeight="1">
      <c r="A23" s="1" t="s">
        <v>117</v>
      </c>
      <c r="B23" s="1" t="s">
        <v>96</v>
      </c>
      <c r="C23" s="1">
        <v>2</v>
      </c>
      <c r="D23" s="4">
        <v>39843.716666666667</v>
      </c>
      <c r="E23" s="1" t="s">
        <v>54</v>
      </c>
      <c r="F23" s="1"/>
      <c r="G23" s="1"/>
      <c r="H23" s="1"/>
      <c r="I23" s="1"/>
      <c r="J23" s="1"/>
      <c r="K23" s="1"/>
      <c r="L23" s="1"/>
      <c r="M23" s="1"/>
      <c r="N23" s="1"/>
      <c r="O23" s="1"/>
      <c r="P23" s="1"/>
      <c r="Q23" s="1"/>
      <c r="R23" s="1"/>
      <c r="S23" s="1"/>
    </row>
    <row r="24" spans="1:19" ht="33.75" customHeight="1">
      <c r="A24" s="1" t="s">
        <v>120</v>
      </c>
      <c r="B24" s="3" t="s">
        <v>13</v>
      </c>
      <c r="C24" s="3">
        <v>1</v>
      </c>
      <c r="D24" s="4">
        <v>39843.749305555553</v>
      </c>
      <c r="E24" s="1" t="s">
        <v>121</v>
      </c>
      <c r="F24" s="1"/>
      <c r="G24" s="1"/>
      <c r="H24" s="1"/>
      <c r="I24" s="1"/>
      <c r="J24" s="1"/>
      <c r="K24" s="1"/>
      <c r="L24" s="1"/>
      <c r="M24" s="1"/>
      <c r="N24" s="1"/>
      <c r="O24" s="1"/>
      <c r="P24" s="1"/>
      <c r="Q24" s="1"/>
      <c r="R24" s="1"/>
      <c r="S24" s="1"/>
    </row>
    <row r="25" spans="1:19" ht="33.75" customHeight="1">
      <c r="A25" s="1" t="s">
        <v>124</v>
      </c>
      <c r="B25" s="1" t="s">
        <v>96</v>
      </c>
      <c r="C25" s="1">
        <v>2</v>
      </c>
      <c r="D25" s="4">
        <v>39843.768750000003</v>
      </c>
      <c r="E25" s="1" t="s">
        <v>14</v>
      </c>
      <c r="F25" s="1"/>
      <c r="G25" s="1"/>
      <c r="H25" s="1"/>
      <c r="I25" s="1"/>
      <c r="J25" s="1"/>
      <c r="K25" s="1"/>
      <c r="L25" s="1"/>
      <c r="M25" s="1"/>
      <c r="N25" s="1"/>
      <c r="O25" s="1"/>
      <c r="P25" s="1"/>
      <c r="Q25" s="1"/>
      <c r="R25" s="1"/>
      <c r="S25" s="1"/>
    </row>
    <row r="26" spans="1:19" ht="33.75" customHeight="1">
      <c r="A26" s="1" t="s">
        <v>128</v>
      </c>
      <c r="B26" s="1" t="s">
        <v>96</v>
      </c>
      <c r="C26" s="1">
        <v>2</v>
      </c>
      <c r="D26" s="4">
        <v>39843.797222222223</v>
      </c>
      <c r="E26" s="1" t="s">
        <v>110</v>
      </c>
      <c r="F26" s="1"/>
      <c r="G26" s="1"/>
      <c r="H26" s="1"/>
      <c r="I26" s="1"/>
      <c r="J26" s="1"/>
      <c r="K26" s="1"/>
      <c r="L26" s="1"/>
      <c r="M26" s="1"/>
      <c r="N26" s="1"/>
      <c r="O26" s="1"/>
      <c r="P26" s="1"/>
      <c r="Q26" s="1"/>
      <c r="R26" s="1"/>
      <c r="S26" s="1"/>
    </row>
    <row r="27" spans="1:19" ht="33.75" customHeight="1">
      <c r="A27" s="1" t="s">
        <v>132</v>
      </c>
      <c r="B27" s="1" t="s">
        <v>96</v>
      </c>
      <c r="C27" s="1">
        <v>2</v>
      </c>
      <c r="D27" s="4">
        <v>39844.310416666667</v>
      </c>
      <c r="E27" s="1" t="s">
        <v>84</v>
      </c>
      <c r="F27" s="1"/>
      <c r="G27" s="1"/>
      <c r="H27" s="1"/>
      <c r="I27" s="1"/>
      <c r="J27" s="1"/>
      <c r="K27" s="1"/>
      <c r="L27" s="1"/>
      <c r="M27" s="1"/>
      <c r="N27" s="1"/>
      <c r="O27" s="1"/>
      <c r="P27" s="1"/>
      <c r="Q27" s="1"/>
      <c r="R27" s="1"/>
      <c r="S27" s="1"/>
    </row>
    <row r="28" spans="1:19" ht="33.75" customHeight="1">
      <c r="A28" s="1" t="s">
        <v>136</v>
      </c>
      <c r="B28" s="1" t="s">
        <v>96</v>
      </c>
      <c r="C28" s="1">
        <v>2</v>
      </c>
      <c r="D28" s="4">
        <v>39844.345138888886</v>
      </c>
      <c r="E28" s="1" t="s">
        <v>14</v>
      </c>
      <c r="F28" s="1"/>
      <c r="G28" s="1"/>
      <c r="H28" s="1"/>
      <c r="I28" s="1"/>
      <c r="J28" s="1"/>
      <c r="K28" s="1"/>
      <c r="L28" s="1"/>
      <c r="M28" s="1"/>
      <c r="N28" s="1"/>
      <c r="O28" s="1"/>
      <c r="P28" s="1"/>
      <c r="Q28" s="1"/>
      <c r="R28" s="1"/>
      <c r="S28" s="1"/>
    </row>
    <row r="29" spans="1:19" ht="33.75" customHeight="1">
      <c r="A29" s="1" t="s">
        <v>139</v>
      </c>
      <c r="B29" s="3" t="s">
        <v>13</v>
      </c>
      <c r="C29" s="3">
        <v>1</v>
      </c>
      <c r="D29" s="4">
        <v>39844.586805555555</v>
      </c>
      <c r="E29" s="1" t="s">
        <v>101</v>
      </c>
      <c r="F29" s="1"/>
      <c r="G29" s="1"/>
      <c r="H29" s="1"/>
      <c r="I29" s="1"/>
      <c r="J29" s="1"/>
      <c r="K29" s="1"/>
      <c r="L29" s="1"/>
      <c r="M29" s="1"/>
      <c r="N29" s="1"/>
      <c r="O29" s="1"/>
      <c r="P29" s="1"/>
      <c r="Q29" s="1"/>
      <c r="R29" s="1"/>
      <c r="S29" s="1"/>
    </row>
    <row r="30" spans="1:19" ht="33.75" customHeight="1">
      <c r="A30" s="1" t="s">
        <v>143</v>
      </c>
      <c r="B30" s="3" t="s">
        <v>13</v>
      </c>
      <c r="C30" s="3">
        <v>1</v>
      </c>
      <c r="D30" s="4">
        <v>39844.589583333334</v>
      </c>
      <c r="E30" s="1" t="s">
        <v>144</v>
      </c>
      <c r="F30" s="1"/>
      <c r="G30" s="1"/>
      <c r="H30" s="1"/>
      <c r="I30" s="1"/>
      <c r="J30" s="1"/>
      <c r="K30" s="1"/>
      <c r="L30" s="1"/>
      <c r="M30" s="1"/>
      <c r="N30" s="1"/>
      <c r="O30" s="1"/>
      <c r="P30" s="1"/>
      <c r="Q30" s="1"/>
      <c r="R30" s="1"/>
      <c r="S30" s="1"/>
    </row>
    <row r="31" spans="1:19" ht="33.75" customHeight="1">
      <c r="A31" s="1" t="s">
        <v>148</v>
      </c>
      <c r="B31" s="3" t="s">
        <v>13</v>
      </c>
      <c r="C31" s="3">
        <v>1</v>
      </c>
      <c r="D31" s="4">
        <v>39844.681250000001</v>
      </c>
      <c r="E31" s="1" t="s">
        <v>14</v>
      </c>
      <c r="F31" s="1"/>
      <c r="G31" s="1"/>
      <c r="H31" s="1"/>
      <c r="I31" s="1"/>
      <c r="J31" s="1"/>
      <c r="K31" s="1"/>
      <c r="L31" s="1"/>
      <c r="M31" s="1"/>
      <c r="N31" s="1"/>
      <c r="O31" s="1"/>
      <c r="P31" s="1"/>
      <c r="Q31" s="1"/>
      <c r="R31" s="1"/>
      <c r="S31" s="1"/>
    </row>
    <row r="32" spans="1:19" ht="33.75" customHeight="1">
      <c r="A32" s="1" t="s">
        <v>153</v>
      </c>
      <c r="B32" s="3" t="s">
        <v>13</v>
      </c>
      <c r="C32" s="3">
        <v>1</v>
      </c>
      <c r="D32" s="4">
        <v>39844.712500000001</v>
      </c>
      <c r="E32" s="1" t="s">
        <v>154</v>
      </c>
      <c r="F32" s="1"/>
      <c r="G32" s="1"/>
      <c r="H32" s="1"/>
      <c r="I32" s="1"/>
      <c r="J32" s="1"/>
      <c r="K32" s="1"/>
      <c r="L32" s="1"/>
      <c r="M32" s="1"/>
      <c r="N32" s="1"/>
      <c r="O32" s="1"/>
      <c r="P32" s="1"/>
      <c r="Q32" s="1"/>
      <c r="R32" s="1"/>
      <c r="S32" s="1"/>
    </row>
    <row r="33" spans="1:19" ht="33.75" customHeight="1">
      <c r="A33" s="1" t="s">
        <v>12</v>
      </c>
      <c r="B33" s="1" t="s">
        <v>156</v>
      </c>
      <c r="C33" s="1">
        <v>3</v>
      </c>
      <c r="D33" s="4">
        <v>39845.528981481482</v>
      </c>
      <c r="E33" s="1" t="s">
        <v>14</v>
      </c>
      <c r="F33" s="1"/>
      <c r="G33" s="1"/>
      <c r="H33" s="1"/>
      <c r="I33" s="1"/>
      <c r="J33" s="1"/>
      <c r="K33" s="1"/>
      <c r="L33" s="1"/>
      <c r="M33" s="1"/>
      <c r="N33" s="1"/>
      <c r="O33" s="1"/>
      <c r="P33" s="1"/>
      <c r="Q33" s="1"/>
      <c r="R33" s="1"/>
      <c r="S33" s="1"/>
    </row>
    <row r="34" spans="1:19" ht="33.75" customHeight="1">
      <c r="A34" s="1" t="s">
        <v>12</v>
      </c>
      <c r="B34" s="1" t="s">
        <v>160</v>
      </c>
      <c r="C34" s="1">
        <v>4</v>
      </c>
      <c r="D34" s="4">
        <v>39845.530092592591</v>
      </c>
      <c r="E34" s="1" t="s">
        <v>14</v>
      </c>
      <c r="F34" s="1"/>
      <c r="G34" s="1"/>
      <c r="H34" s="1"/>
      <c r="I34" s="1"/>
      <c r="J34" s="1"/>
      <c r="K34" s="1"/>
      <c r="L34" s="1"/>
      <c r="M34" s="1"/>
      <c r="N34" s="1"/>
      <c r="O34" s="1"/>
      <c r="P34" s="1"/>
      <c r="Q34" s="1"/>
      <c r="R34" s="1"/>
      <c r="S34" s="1"/>
    </row>
    <row r="35" spans="1:19" ht="33.75" customHeight="1">
      <c r="A35" s="1" t="s">
        <v>12</v>
      </c>
      <c r="B35" s="1" t="s">
        <v>162</v>
      </c>
      <c r="C35" s="1">
        <v>5</v>
      </c>
      <c r="D35" s="4">
        <v>39845.530590277776</v>
      </c>
      <c r="E35" s="1" t="s">
        <v>14</v>
      </c>
      <c r="F35" s="1"/>
      <c r="G35" s="1"/>
      <c r="H35" s="1"/>
      <c r="I35" s="1"/>
      <c r="J35" s="1"/>
      <c r="K35" s="1"/>
      <c r="L35" s="1"/>
      <c r="M35" s="1"/>
      <c r="N35" s="1"/>
      <c r="O35" s="1"/>
      <c r="P35" s="1"/>
      <c r="Q35" s="1"/>
      <c r="R35" s="1"/>
      <c r="S35" s="1"/>
    </row>
    <row r="36" spans="1:19" ht="33.75" customHeight="1">
      <c r="A36" s="1" t="s">
        <v>165</v>
      </c>
      <c r="B36" s="3" t="s">
        <v>13</v>
      </c>
      <c r="C36" s="3">
        <v>1</v>
      </c>
      <c r="D36" s="4">
        <v>39845.607638888891</v>
      </c>
      <c r="E36" s="1" t="s">
        <v>101</v>
      </c>
      <c r="F36" s="1"/>
      <c r="G36" s="1"/>
      <c r="H36" s="1"/>
      <c r="I36" s="1"/>
      <c r="J36" s="1"/>
      <c r="K36" s="1"/>
      <c r="L36" s="1"/>
      <c r="M36" s="1"/>
      <c r="N36" s="1"/>
      <c r="O36" s="1"/>
      <c r="P36" s="1"/>
      <c r="Q36" s="1"/>
      <c r="R36" s="1"/>
      <c r="S36" s="1"/>
    </row>
    <row r="37" spans="1:19" ht="33.75" customHeight="1">
      <c r="A37" s="1" t="s">
        <v>170</v>
      </c>
      <c r="B37" s="3" t="s">
        <v>13</v>
      </c>
      <c r="C37" s="3">
        <v>1</v>
      </c>
      <c r="D37" s="4">
        <v>39845.740972222222</v>
      </c>
      <c r="E37" s="1" t="s">
        <v>171</v>
      </c>
      <c r="F37" s="1"/>
      <c r="G37" s="1"/>
      <c r="H37" s="1"/>
      <c r="I37" s="1"/>
      <c r="J37" s="1"/>
      <c r="K37" s="1"/>
      <c r="L37" s="1"/>
      <c r="M37" s="1"/>
      <c r="N37" s="1"/>
      <c r="O37" s="1"/>
      <c r="P37" s="1"/>
      <c r="Q37" s="1"/>
      <c r="R37" s="1"/>
      <c r="S37" s="1"/>
    </row>
    <row r="38" spans="1:19" ht="33.75" customHeight="1">
      <c r="A38" s="1" t="s">
        <v>12</v>
      </c>
      <c r="B38" s="1" t="s">
        <v>174</v>
      </c>
      <c r="C38" s="1">
        <v>6</v>
      </c>
      <c r="D38" s="4">
        <v>39845.799675925926</v>
      </c>
      <c r="E38" s="1" t="s">
        <v>175</v>
      </c>
      <c r="F38" s="1"/>
      <c r="G38" s="1"/>
      <c r="H38" s="1"/>
      <c r="I38" s="1"/>
      <c r="J38" s="1"/>
      <c r="K38" s="1"/>
      <c r="L38" s="1"/>
      <c r="M38" s="1"/>
      <c r="N38" s="1"/>
      <c r="O38" s="1"/>
      <c r="P38" s="1"/>
      <c r="Q38" s="1"/>
      <c r="R38" s="1"/>
      <c r="S38" s="1"/>
    </row>
    <row r="39" spans="1:19" ht="33.75" customHeight="1">
      <c r="A39" s="1" t="s">
        <v>177</v>
      </c>
      <c r="B39" s="1" t="s">
        <v>156</v>
      </c>
      <c r="C39" s="1">
        <v>3</v>
      </c>
      <c r="D39" s="4">
        <v>39845.837500000001</v>
      </c>
      <c r="E39" s="1" t="s">
        <v>178</v>
      </c>
      <c r="F39" s="1"/>
      <c r="G39" s="1"/>
      <c r="H39" s="1"/>
      <c r="I39" s="1"/>
      <c r="J39" s="1"/>
      <c r="K39" s="1"/>
      <c r="L39" s="1"/>
      <c r="M39" s="1"/>
      <c r="N39" s="1"/>
      <c r="O39" s="1"/>
      <c r="P39" s="1"/>
      <c r="Q39" s="1"/>
      <c r="R39" s="1"/>
      <c r="S39" s="1"/>
    </row>
    <row r="40" spans="1:19" ht="33.75" customHeight="1">
      <c r="A40" s="1" t="s">
        <v>181</v>
      </c>
      <c r="B40" s="1" t="s">
        <v>156</v>
      </c>
      <c r="C40" s="1">
        <v>3</v>
      </c>
      <c r="D40" s="4">
        <v>39845.839583333334</v>
      </c>
      <c r="E40" s="1" t="s">
        <v>178</v>
      </c>
      <c r="F40" s="1"/>
      <c r="G40" s="1"/>
      <c r="H40" s="1"/>
      <c r="I40" s="1"/>
      <c r="J40" s="1"/>
      <c r="K40" s="1"/>
      <c r="L40" s="1"/>
      <c r="M40" s="1"/>
      <c r="N40" s="1"/>
      <c r="O40" s="1"/>
      <c r="P40" s="1"/>
      <c r="Q40" s="1"/>
      <c r="R40" s="1"/>
      <c r="S40" s="1"/>
    </row>
    <row r="41" spans="1:19" ht="33.75" customHeight="1">
      <c r="A41" s="1" t="s">
        <v>184</v>
      </c>
      <c r="B41" s="3" t="s">
        <v>13</v>
      </c>
      <c r="C41" s="3">
        <v>1</v>
      </c>
      <c r="D41" s="4">
        <v>39845.852083333331</v>
      </c>
      <c r="E41" s="1" t="s">
        <v>54</v>
      </c>
      <c r="F41" s="1"/>
      <c r="G41" s="1"/>
      <c r="H41" s="1"/>
      <c r="I41" s="1"/>
      <c r="J41" s="1"/>
      <c r="K41" s="1"/>
      <c r="L41" s="1"/>
      <c r="M41" s="1"/>
      <c r="N41" s="1"/>
      <c r="O41" s="1"/>
      <c r="P41" s="1"/>
      <c r="Q41" s="1"/>
      <c r="R41" s="1"/>
      <c r="S41" s="1"/>
    </row>
    <row r="42" spans="1:19" ht="33.75" customHeight="1">
      <c r="A42" s="1" t="s">
        <v>188</v>
      </c>
      <c r="B42" s="1" t="s">
        <v>160</v>
      </c>
      <c r="C42" s="1">
        <v>4</v>
      </c>
      <c r="D42" s="4">
        <v>39845.874305555553</v>
      </c>
      <c r="E42" s="1" t="s">
        <v>14</v>
      </c>
      <c r="F42" s="1"/>
      <c r="G42" s="1"/>
      <c r="H42" s="1"/>
      <c r="I42" s="1"/>
      <c r="J42" s="1"/>
      <c r="K42" s="1"/>
      <c r="L42" s="1"/>
      <c r="M42" s="1"/>
      <c r="N42" s="1"/>
      <c r="O42" s="1"/>
      <c r="P42" s="1"/>
      <c r="Q42" s="1"/>
      <c r="R42" s="1"/>
      <c r="S42" s="1"/>
    </row>
    <row r="43" spans="1:19" ht="33.75" customHeight="1">
      <c r="A43" s="1" t="s">
        <v>191</v>
      </c>
      <c r="B43" s="1" t="s">
        <v>156</v>
      </c>
      <c r="C43" s="1">
        <v>3</v>
      </c>
      <c r="D43" s="4">
        <v>39845.875</v>
      </c>
      <c r="E43" s="1" t="s">
        <v>192</v>
      </c>
      <c r="F43" s="1"/>
      <c r="G43" s="1"/>
      <c r="H43" s="1"/>
      <c r="I43" s="1"/>
      <c r="J43" s="1"/>
      <c r="K43" s="1"/>
      <c r="L43" s="1"/>
      <c r="M43" s="1"/>
      <c r="N43" s="1"/>
      <c r="O43" s="1"/>
      <c r="P43" s="1"/>
      <c r="Q43" s="1"/>
      <c r="R43" s="1"/>
      <c r="S43" s="1"/>
    </row>
    <row r="44" spans="1:19" ht="33.75" customHeight="1">
      <c r="A44" s="1" t="s">
        <v>195</v>
      </c>
      <c r="B44" s="1" t="s">
        <v>160</v>
      </c>
      <c r="C44" s="1">
        <v>4</v>
      </c>
      <c r="D44" s="4">
        <v>39845.880555555559</v>
      </c>
      <c r="E44" s="1" t="s">
        <v>196</v>
      </c>
      <c r="F44" s="1"/>
      <c r="G44" s="1"/>
      <c r="H44" s="1"/>
      <c r="I44" s="1"/>
      <c r="J44" s="1"/>
      <c r="K44" s="1"/>
      <c r="L44" s="1"/>
      <c r="M44" s="1"/>
      <c r="N44" s="1"/>
      <c r="O44" s="1"/>
      <c r="P44" s="1"/>
      <c r="Q44" s="1"/>
      <c r="R44" s="1"/>
      <c r="S44" s="1"/>
    </row>
    <row r="45" spans="1:19" ht="33.75" customHeight="1">
      <c r="A45" s="1" t="s">
        <v>201</v>
      </c>
      <c r="B45" s="1" t="s">
        <v>160</v>
      </c>
      <c r="C45" s="1">
        <v>4</v>
      </c>
      <c r="D45" s="4">
        <v>39845.890972222223</v>
      </c>
      <c r="E45" s="1" t="s">
        <v>84</v>
      </c>
      <c r="F45" s="1"/>
      <c r="G45" s="1"/>
      <c r="H45" s="1"/>
      <c r="I45" s="1"/>
      <c r="J45" s="1"/>
      <c r="K45" s="1"/>
      <c r="L45" s="1"/>
      <c r="M45" s="1"/>
      <c r="N45" s="1"/>
      <c r="O45" s="1"/>
      <c r="P45" s="1"/>
      <c r="Q45" s="1"/>
      <c r="R45" s="1"/>
      <c r="S45" s="1"/>
    </row>
    <row r="46" spans="1:19" ht="33.75" customHeight="1">
      <c r="A46" s="1" t="s">
        <v>204</v>
      </c>
      <c r="B46" s="1" t="s">
        <v>160</v>
      </c>
      <c r="C46" s="1">
        <v>4</v>
      </c>
      <c r="D46" s="4">
        <v>39845.893055555556</v>
      </c>
      <c r="E46" s="1" t="s">
        <v>54</v>
      </c>
      <c r="F46" s="1"/>
      <c r="G46" s="1"/>
      <c r="H46" s="1"/>
      <c r="I46" s="1"/>
      <c r="J46" s="1"/>
      <c r="K46" s="1"/>
      <c r="L46" s="1"/>
      <c r="M46" s="1"/>
      <c r="N46" s="1"/>
      <c r="O46" s="1"/>
      <c r="P46" s="1"/>
      <c r="Q46" s="1"/>
      <c r="R46" s="1"/>
      <c r="S46" s="1"/>
    </row>
    <row r="47" spans="1:19" ht="33.75" customHeight="1">
      <c r="A47" s="1" t="s">
        <v>208</v>
      </c>
      <c r="B47" s="1" t="s">
        <v>160</v>
      </c>
      <c r="C47" s="1">
        <v>4</v>
      </c>
      <c r="D47" s="4">
        <v>39845.895833333336</v>
      </c>
      <c r="E47" s="1" t="s">
        <v>54</v>
      </c>
      <c r="F47" s="1"/>
      <c r="G47" s="1"/>
      <c r="H47" s="1"/>
      <c r="I47" s="1"/>
      <c r="J47" s="1"/>
      <c r="K47" s="1"/>
      <c r="L47" s="1"/>
      <c r="M47" s="1"/>
      <c r="N47" s="1"/>
      <c r="O47" s="1"/>
      <c r="P47" s="1"/>
      <c r="Q47" s="1"/>
      <c r="R47" s="1"/>
      <c r="S47" s="1"/>
    </row>
    <row r="48" spans="1:19" ht="33.75" customHeight="1">
      <c r="A48" s="1" t="s">
        <v>211</v>
      </c>
      <c r="B48" s="1" t="s">
        <v>160</v>
      </c>
      <c r="C48" s="1">
        <v>4</v>
      </c>
      <c r="D48" s="4">
        <v>39845.927777777775</v>
      </c>
      <c r="E48" s="1" t="s">
        <v>212</v>
      </c>
      <c r="F48" s="1"/>
      <c r="G48" s="1"/>
      <c r="H48" s="1"/>
      <c r="I48" s="1"/>
      <c r="J48" s="1"/>
      <c r="K48" s="1"/>
      <c r="L48" s="1"/>
      <c r="M48" s="1"/>
      <c r="N48" s="1"/>
      <c r="O48" s="1"/>
      <c r="P48" s="1"/>
      <c r="Q48" s="1"/>
      <c r="R48" s="1"/>
      <c r="S48" s="1"/>
    </row>
    <row r="49" spans="1:19" ht="33.75" customHeight="1">
      <c r="A49" s="1" t="s">
        <v>217</v>
      </c>
      <c r="B49" s="1" t="s">
        <v>160</v>
      </c>
      <c r="C49" s="1">
        <v>4</v>
      </c>
      <c r="D49" s="4">
        <v>39846.059027777781</v>
      </c>
      <c r="E49" s="1" t="s">
        <v>14</v>
      </c>
      <c r="F49" s="1"/>
      <c r="G49" s="1"/>
      <c r="H49" s="1"/>
      <c r="I49" s="1"/>
      <c r="J49" s="1"/>
      <c r="K49" s="1"/>
      <c r="L49" s="1"/>
      <c r="M49" s="1"/>
      <c r="N49" s="1"/>
      <c r="O49" s="1"/>
      <c r="P49" s="1"/>
      <c r="Q49" s="1"/>
      <c r="R49" s="1"/>
      <c r="S49" s="1"/>
    </row>
    <row r="50" spans="1:19" ht="33.75" customHeight="1">
      <c r="A50" s="1" t="s">
        <v>222</v>
      </c>
      <c r="B50" s="1" t="s">
        <v>160</v>
      </c>
      <c r="C50" s="1">
        <v>4</v>
      </c>
      <c r="D50" s="4">
        <v>39846.063194444447</v>
      </c>
      <c r="E50" s="1" t="s">
        <v>54</v>
      </c>
      <c r="F50" s="1"/>
      <c r="G50" s="1"/>
      <c r="H50" s="1"/>
      <c r="I50" s="1"/>
      <c r="J50" s="1"/>
      <c r="K50" s="1"/>
      <c r="L50" s="1"/>
      <c r="M50" s="1"/>
      <c r="N50" s="1"/>
      <c r="O50" s="1"/>
      <c r="P50" s="1"/>
      <c r="Q50" s="1"/>
      <c r="R50" s="1"/>
      <c r="S50" s="1"/>
    </row>
    <row r="51" spans="1:19" ht="33.75" customHeight="1">
      <c r="A51" s="1" t="s">
        <v>227</v>
      </c>
      <c r="B51" s="1" t="s">
        <v>160</v>
      </c>
      <c r="C51" s="1">
        <v>4</v>
      </c>
      <c r="D51" s="4">
        <v>39846.066666666666</v>
      </c>
      <c r="E51" s="1" t="s">
        <v>14</v>
      </c>
      <c r="F51" s="1"/>
      <c r="G51" s="1"/>
      <c r="H51" s="1"/>
      <c r="I51" s="1"/>
      <c r="J51" s="1"/>
      <c r="K51" s="1"/>
      <c r="L51" s="1"/>
      <c r="M51" s="1"/>
      <c r="N51" s="1"/>
      <c r="O51" s="1"/>
      <c r="P51" s="1"/>
      <c r="Q51" s="1"/>
      <c r="R51" s="1"/>
      <c r="S51" s="1"/>
    </row>
    <row r="52" spans="1:19" ht="33.75" customHeight="1">
      <c r="A52" s="1" t="s">
        <v>230</v>
      </c>
      <c r="B52" s="1" t="s">
        <v>160</v>
      </c>
      <c r="C52" s="1">
        <v>4</v>
      </c>
      <c r="D52" s="4">
        <v>39846.072916666664</v>
      </c>
      <c r="E52" s="1" t="s">
        <v>14</v>
      </c>
      <c r="F52" s="1"/>
      <c r="G52" s="1"/>
      <c r="H52" s="1"/>
      <c r="I52" s="1"/>
      <c r="J52" s="1"/>
      <c r="K52" s="1"/>
      <c r="L52" s="1"/>
      <c r="M52" s="1"/>
      <c r="N52" s="1"/>
      <c r="O52" s="1"/>
      <c r="P52" s="1"/>
      <c r="Q52" s="1"/>
      <c r="R52" s="1"/>
      <c r="S52" s="1"/>
    </row>
    <row r="53" spans="1:19" ht="33.75" customHeight="1">
      <c r="A53" s="1" t="s">
        <v>234</v>
      </c>
      <c r="B53" s="1" t="s">
        <v>156</v>
      </c>
      <c r="C53" s="1">
        <v>3</v>
      </c>
      <c r="D53" s="4">
        <v>39846.079861111109</v>
      </c>
      <c r="E53" s="1" t="s">
        <v>14</v>
      </c>
      <c r="F53" s="1"/>
      <c r="G53" s="1"/>
      <c r="H53" s="1"/>
      <c r="I53" s="1"/>
      <c r="J53" s="1"/>
      <c r="K53" s="1"/>
      <c r="L53" s="1"/>
      <c r="M53" s="1"/>
      <c r="N53" s="1"/>
      <c r="O53" s="1"/>
      <c r="P53" s="1"/>
      <c r="Q53" s="1"/>
      <c r="R53" s="1"/>
      <c r="S53" s="1"/>
    </row>
    <row r="54" spans="1:19" ht="33.75" customHeight="1">
      <c r="A54" s="1" t="s">
        <v>237</v>
      </c>
      <c r="B54" s="1" t="s">
        <v>160</v>
      </c>
      <c r="C54" s="1">
        <v>4</v>
      </c>
      <c r="D54" s="4">
        <v>39846.095138888886</v>
      </c>
      <c r="E54" s="1" t="s">
        <v>84</v>
      </c>
      <c r="F54" s="1"/>
      <c r="G54" s="1"/>
      <c r="H54" s="1"/>
      <c r="I54" s="1"/>
      <c r="J54" s="1"/>
      <c r="K54" s="1"/>
      <c r="L54" s="1"/>
      <c r="M54" s="1"/>
      <c r="N54" s="1"/>
      <c r="O54" s="1"/>
      <c r="P54" s="1"/>
      <c r="Q54" s="1"/>
      <c r="R54" s="1"/>
      <c r="S54" s="1"/>
    </row>
    <row r="55" spans="1:19" ht="33.75" customHeight="1">
      <c r="A55" s="1" t="s">
        <v>240</v>
      </c>
      <c r="B55" s="1" t="s">
        <v>160</v>
      </c>
      <c r="C55" s="1">
        <v>4</v>
      </c>
      <c r="D55" s="4">
        <v>39846.102083333331</v>
      </c>
      <c r="E55" s="1" t="s">
        <v>54</v>
      </c>
      <c r="F55" s="1"/>
      <c r="G55" s="1"/>
      <c r="H55" s="1"/>
      <c r="I55" s="1"/>
      <c r="J55" s="1"/>
      <c r="K55" s="1"/>
      <c r="L55" s="1"/>
      <c r="M55" s="1"/>
      <c r="N55" s="1"/>
      <c r="O55" s="1"/>
      <c r="P55" s="1"/>
      <c r="Q55" s="1"/>
      <c r="R55" s="1"/>
      <c r="S55" s="1"/>
    </row>
    <row r="56" spans="1:19" ht="33.75" customHeight="1">
      <c r="A56" s="1" t="s">
        <v>244</v>
      </c>
      <c r="B56" s="3" t="s">
        <v>13</v>
      </c>
      <c r="C56" s="3">
        <v>1</v>
      </c>
      <c r="D56" s="4">
        <v>39846.132638888892</v>
      </c>
      <c r="E56" s="1" t="s">
        <v>54</v>
      </c>
      <c r="F56" s="1"/>
      <c r="G56" s="1"/>
      <c r="H56" s="1"/>
      <c r="I56" s="1"/>
      <c r="J56" s="1"/>
      <c r="K56" s="1"/>
      <c r="L56" s="1"/>
      <c r="M56" s="1"/>
      <c r="N56" s="1"/>
      <c r="O56" s="1"/>
      <c r="P56" s="1"/>
      <c r="Q56" s="1"/>
      <c r="R56" s="1"/>
      <c r="S56" s="1"/>
    </row>
    <row r="57" spans="1:19" ht="33.75" customHeight="1">
      <c r="A57" s="1" t="s">
        <v>248</v>
      </c>
      <c r="B57" s="1" t="s">
        <v>160</v>
      </c>
      <c r="C57" s="1">
        <v>4</v>
      </c>
      <c r="D57" s="4">
        <v>39846.172222222223</v>
      </c>
      <c r="E57" s="1" t="s">
        <v>54</v>
      </c>
      <c r="F57" s="1"/>
      <c r="G57" s="1"/>
      <c r="H57" s="1"/>
      <c r="I57" s="1"/>
      <c r="J57" s="1"/>
      <c r="K57" s="1"/>
      <c r="L57" s="1"/>
      <c r="M57" s="1"/>
      <c r="N57" s="1"/>
      <c r="O57" s="1"/>
      <c r="P57" s="1"/>
      <c r="Q57" s="1"/>
      <c r="R57" s="1"/>
      <c r="S57" s="1"/>
    </row>
    <row r="58" spans="1:19" ht="33.75" customHeight="1">
      <c r="A58" s="1" t="s">
        <v>251</v>
      </c>
      <c r="B58" s="1" t="s">
        <v>160</v>
      </c>
      <c r="C58" s="1">
        <v>4</v>
      </c>
      <c r="D58" s="4">
        <v>39846.226388888892</v>
      </c>
      <c r="E58" s="1" t="s">
        <v>196</v>
      </c>
      <c r="F58" s="1"/>
      <c r="G58" s="1"/>
      <c r="H58" s="1"/>
      <c r="I58" s="1"/>
      <c r="J58" s="1"/>
      <c r="K58" s="1"/>
      <c r="L58" s="1"/>
      <c r="M58" s="1"/>
      <c r="N58" s="1"/>
      <c r="O58" s="1"/>
      <c r="P58" s="1"/>
      <c r="Q58" s="1"/>
      <c r="R58" s="1"/>
      <c r="S58" s="1"/>
    </row>
    <row r="59" spans="1:19" ht="33.75" customHeight="1">
      <c r="A59" s="1" t="s">
        <v>254</v>
      </c>
      <c r="B59" s="1" t="s">
        <v>160</v>
      </c>
      <c r="C59" s="1">
        <v>4</v>
      </c>
      <c r="D59" s="4">
        <v>39846.313888888886</v>
      </c>
      <c r="E59" s="1" t="s">
        <v>255</v>
      </c>
      <c r="F59" s="1"/>
      <c r="G59" s="1"/>
      <c r="H59" s="1"/>
      <c r="I59" s="1"/>
      <c r="J59" s="1"/>
      <c r="K59" s="1"/>
      <c r="L59" s="1"/>
      <c r="M59" s="1"/>
      <c r="N59" s="1"/>
      <c r="O59" s="1"/>
      <c r="P59" s="1"/>
      <c r="Q59" s="1"/>
      <c r="R59" s="1"/>
      <c r="S59" s="1"/>
    </row>
    <row r="60" spans="1:19" ht="33.75" customHeight="1">
      <c r="A60" s="1" t="s">
        <v>257</v>
      </c>
      <c r="B60" s="1" t="s">
        <v>160</v>
      </c>
      <c r="C60" s="1">
        <v>4</v>
      </c>
      <c r="D60" s="4">
        <v>39846.333333333336</v>
      </c>
      <c r="E60" s="1" t="s">
        <v>54</v>
      </c>
      <c r="F60" s="1"/>
      <c r="G60" s="1"/>
      <c r="H60" s="1"/>
      <c r="I60" s="1"/>
      <c r="J60" s="1"/>
      <c r="K60" s="1"/>
      <c r="L60" s="1"/>
      <c r="M60" s="1"/>
      <c r="N60" s="1"/>
      <c r="O60" s="1"/>
      <c r="P60" s="1"/>
      <c r="Q60" s="1"/>
      <c r="R60" s="1"/>
      <c r="S60" s="1"/>
    </row>
    <row r="61" spans="1:19" ht="33.75" customHeight="1">
      <c r="A61" s="1" t="s">
        <v>262</v>
      </c>
      <c r="B61" s="1" t="s">
        <v>160</v>
      </c>
      <c r="C61" s="1">
        <v>4</v>
      </c>
      <c r="D61" s="4">
        <v>39846.365277777775</v>
      </c>
      <c r="E61" s="1" t="s">
        <v>54</v>
      </c>
      <c r="F61" s="1"/>
      <c r="G61" s="1"/>
      <c r="H61" s="1"/>
      <c r="I61" s="1"/>
      <c r="J61" s="1"/>
      <c r="K61" s="1"/>
      <c r="L61" s="1"/>
      <c r="M61" s="1"/>
      <c r="N61" s="1"/>
      <c r="O61" s="1"/>
      <c r="P61" s="1"/>
      <c r="Q61" s="1"/>
      <c r="R61" s="1"/>
      <c r="S61" s="1"/>
    </row>
    <row r="62" spans="1:19" ht="33.75" customHeight="1">
      <c r="A62" s="1" t="s">
        <v>266</v>
      </c>
      <c r="B62" s="1" t="s">
        <v>160</v>
      </c>
      <c r="C62" s="1">
        <v>4</v>
      </c>
      <c r="D62" s="4">
        <v>39846.375694444447</v>
      </c>
      <c r="E62" s="1" t="s">
        <v>54</v>
      </c>
      <c r="F62" s="1"/>
      <c r="G62" s="1"/>
      <c r="H62" s="1"/>
      <c r="I62" s="1"/>
      <c r="J62" s="1"/>
      <c r="K62" s="1"/>
      <c r="L62" s="1"/>
      <c r="M62" s="1"/>
      <c r="N62" s="1"/>
      <c r="O62" s="1"/>
      <c r="P62" s="1"/>
      <c r="Q62" s="1"/>
      <c r="R62" s="1"/>
      <c r="S62" s="1"/>
    </row>
    <row r="63" spans="1:19" ht="33.75" customHeight="1">
      <c r="A63" s="1" t="s">
        <v>270</v>
      </c>
      <c r="B63" s="1" t="s">
        <v>160</v>
      </c>
      <c r="C63" s="1">
        <v>4</v>
      </c>
      <c r="D63" s="4">
        <v>39846.384027777778</v>
      </c>
      <c r="E63" s="1" t="s">
        <v>14</v>
      </c>
      <c r="F63" s="1"/>
      <c r="G63" s="1"/>
      <c r="H63" s="1"/>
      <c r="I63" s="1"/>
      <c r="J63" s="1"/>
      <c r="K63" s="1"/>
      <c r="L63" s="1"/>
      <c r="M63" s="1"/>
      <c r="N63" s="1"/>
      <c r="O63" s="1"/>
      <c r="P63" s="1"/>
      <c r="Q63" s="1"/>
      <c r="R63" s="1"/>
      <c r="S63" s="1"/>
    </row>
    <row r="64" spans="1:19" ht="33.75" customHeight="1">
      <c r="A64" s="1" t="s">
        <v>273</v>
      </c>
      <c r="B64" s="1" t="s">
        <v>160</v>
      </c>
      <c r="C64" s="1">
        <v>4</v>
      </c>
      <c r="D64" s="4">
        <v>39846.386805555558</v>
      </c>
      <c r="E64" s="1" t="s">
        <v>14</v>
      </c>
      <c r="F64" s="1"/>
      <c r="G64" s="1"/>
      <c r="H64" s="1"/>
      <c r="I64" s="1"/>
      <c r="J64" s="1"/>
      <c r="K64" s="1"/>
      <c r="L64" s="1"/>
      <c r="M64" s="1"/>
      <c r="N64" s="1"/>
      <c r="O64" s="1"/>
      <c r="P64" s="1"/>
      <c r="Q64" s="1"/>
      <c r="R64" s="1"/>
      <c r="S64" s="1"/>
    </row>
    <row r="65" spans="1:19" ht="33.75" customHeight="1">
      <c r="A65" s="1" t="s">
        <v>276</v>
      </c>
      <c r="B65" s="1" t="s">
        <v>160</v>
      </c>
      <c r="C65" s="1">
        <v>4</v>
      </c>
      <c r="D65" s="4">
        <v>39846.406944444447</v>
      </c>
      <c r="E65" s="1" t="s">
        <v>14</v>
      </c>
      <c r="F65" s="1"/>
      <c r="G65" s="1"/>
      <c r="H65" s="1"/>
      <c r="I65" s="1"/>
      <c r="J65" s="1"/>
      <c r="K65" s="1"/>
      <c r="L65" s="1"/>
      <c r="M65" s="1"/>
      <c r="N65" s="1"/>
      <c r="O65" s="1"/>
      <c r="P65" s="1"/>
      <c r="Q65" s="1"/>
      <c r="R65" s="1"/>
      <c r="S65" s="1"/>
    </row>
    <row r="66" spans="1:19" ht="33.75" customHeight="1">
      <c r="A66" s="1" t="s">
        <v>281</v>
      </c>
      <c r="B66" s="1" t="s">
        <v>160</v>
      </c>
      <c r="C66" s="1">
        <v>4</v>
      </c>
      <c r="D66" s="4">
        <v>39846.425694444442</v>
      </c>
      <c r="E66" s="1" t="s">
        <v>14</v>
      </c>
      <c r="F66" s="1"/>
      <c r="G66" s="1"/>
      <c r="H66" s="1"/>
      <c r="I66" s="1"/>
      <c r="J66" s="1"/>
      <c r="K66" s="1"/>
      <c r="L66" s="1"/>
      <c r="M66" s="1"/>
      <c r="N66" s="1"/>
      <c r="O66" s="1"/>
      <c r="P66" s="1"/>
      <c r="Q66" s="1"/>
      <c r="R66" s="1"/>
      <c r="S66" s="1"/>
    </row>
    <row r="67" spans="1:19" ht="33.75" customHeight="1">
      <c r="A67" s="1" t="s">
        <v>286</v>
      </c>
      <c r="B67" s="1" t="s">
        <v>160</v>
      </c>
      <c r="C67" s="1">
        <v>4</v>
      </c>
      <c r="D67" s="4">
        <v>39846.459722222222</v>
      </c>
      <c r="E67" s="1" t="s">
        <v>14</v>
      </c>
      <c r="F67" s="1"/>
      <c r="G67" s="1"/>
      <c r="H67" s="1"/>
      <c r="I67" s="1"/>
      <c r="J67" s="1"/>
      <c r="K67" s="1"/>
      <c r="L67" s="1"/>
      <c r="M67" s="1"/>
      <c r="N67" s="1"/>
      <c r="O67" s="1"/>
      <c r="P67" s="1"/>
      <c r="Q67" s="1"/>
      <c r="R67" s="1"/>
      <c r="S67" s="1"/>
    </row>
    <row r="68" spans="1:19" ht="33.75" customHeight="1">
      <c r="A68" s="1" t="s">
        <v>290</v>
      </c>
      <c r="B68" s="1" t="s">
        <v>156</v>
      </c>
      <c r="C68" s="1">
        <v>3</v>
      </c>
      <c r="D68" s="4">
        <v>39846.509027777778</v>
      </c>
      <c r="E68" s="1" t="s">
        <v>14</v>
      </c>
      <c r="F68" s="1"/>
      <c r="G68" s="1"/>
      <c r="H68" s="1"/>
      <c r="I68" s="1"/>
      <c r="J68" s="1"/>
      <c r="K68" s="1"/>
      <c r="L68" s="1"/>
      <c r="M68" s="1"/>
      <c r="N68" s="1"/>
      <c r="O68" s="1"/>
      <c r="P68" s="1"/>
      <c r="Q68" s="1"/>
      <c r="R68" s="1"/>
      <c r="S68" s="1"/>
    </row>
    <row r="69" spans="1:19" ht="33.75" customHeight="1">
      <c r="A69" s="1" t="s">
        <v>293</v>
      </c>
      <c r="B69" s="1" t="s">
        <v>160</v>
      </c>
      <c r="C69" s="1">
        <v>4</v>
      </c>
      <c r="D69" s="4">
        <v>39846.53125</v>
      </c>
      <c r="E69" s="1" t="s">
        <v>14</v>
      </c>
      <c r="F69" s="1"/>
      <c r="G69" s="1"/>
      <c r="H69" s="1"/>
      <c r="I69" s="1"/>
      <c r="J69" s="1"/>
      <c r="K69" s="1"/>
      <c r="L69" s="1"/>
      <c r="M69" s="1"/>
      <c r="N69" s="1"/>
      <c r="O69" s="1"/>
      <c r="P69" s="1"/>
      <c r="Q69" s="1"/>
      <c r="R69" s="1"/>
      <c r="S69" s="1"/>
    </row>
    <row r="70" spans="1:19" ht="33.75" customHeight="1">
      <c r="A70" s="1" t="s">
        <v>298</v>
      </c>
      <c r="B70" s="1" t="s">
        <v>160</v>
      </c>
      <c r="C70" s="1">
        <v>4</v>
      </c>
      <c r="D70" s="4">
        <v>39846.572222222225</v>
      </c>
      <c r="E70" s="1" t="s">
        <v>14</v>
      </c>
      <c r="F70" s="1"/>
      <c r="G70" s="1"/>
      <c r="H70" s="1"/>
      <c r="I70" s="1"/>
      <c r="J70" s="1"/>
      <c r="K70" s="1"/>
      <c r="L70" s="1"/>
      <c r="M70" s="1"/>
      <c r="N70" s="1"/>
      <c r="O70" s="1"/>
      <c r="P70" s="1"/>
      <c r="Q70" s="1"/>
      <c r="R70" s="1"/>
      <c r="S70" s="1"/>
    </row>
    <row r="71" spans="1:19" ht="33.75" customHeight="1">
      <c r="A71" s="1" t="s">
        <v>302</v>
      </c>
      <c r="B71" s="3" t="s">
        <v>13</v>
      </c>
      <c r="C71" s="3">
        <v>1</v>
      </c>
      <c r="D71" s="4">
        <v>39846.59097222222</v>
      </c>
      <c r="E71" s="1" t="s">
        <v>101</v>
      </c>
      <c r="F71" s="1"/>
      <c r="G71" s="1"/>
      <c r="H71" s="1"/>
      <c r="I71" s="1"/>
      <c r="J71" s="1"/>
      <c r="K71" s="1"/>
      <c r="L71" s="1"/>
      <c r="M71" s="1"/>
      <c r="N71" s="1"/>
      <c r="O71" s="1"/>
      <c r="P71" s="1"/>
      <c r="Q71" s="1"/>
      <c r="R71" s="1"/>
      <c r="S71" s="1"/>
    </row>
    <row r="72" spans="1:19" ht="33.75" customHeight="1">
      <c r="A72" s="1" t="s">
        <v>304</v>
      </c>
      <c r="B72" s="1" t="s">
        <v>160</v>
      </c>
      <c r="C72" s="1">
        <v>4</v>
      </c>
      <c r="D72" s="4">
        <v>39846.637499999997</v>
      </c>
      <c r="E72" s="1" t="s">
        <v>14</v>
      </c>
      <c r="F72" s="1"/>
      <c r="G72" s="1"/>
      <c r="H72" s="1"/>
      <c r="I72" s="1"/>
      <c r="J72" s="1"/>
      <c r="K72" s="1"/>
      <c r="L72" s="1"/>
      <c r="M72" s="1"/>
      <c r="N72" s="1"/>
      <c r="O72" s="1"/>
      <c r="P72" s="1"/>
      <c r="Q72" s="1"/>
      <c r="R72" s="1"/>
      <c r="S72" s="1"/>
    </row>
    <row r="73" spans="1:19" ht="33.75" customHeight="1">
      <c r="A73" s="1" t="s">
        <v>307</v>
      </c>
      <c r="B73" s="1" t="s">
        <v>160</v>
      </c>
      <c r="C73" s="1">
        <v>4</v>
      </c>
      <c r="D73" s="4">
        <v>39846.647916666669</v>
      </c>
      <c r="E73" s="1" t="s">
        <v>14</v>
      </c>
      <c r="F73" s="1"/>
      <c r="G73" s="1"/>
      <c r="H73" s="1"/>
      <c r="I73" s="1"/>
      <c r="J73" s="1"/>
      <c r="K73" s="1"/>
      <c r="L73" s="1"/>
      <c r="M73" s="1"/>
      <c r="N73" s="1"/>
      <c r="O73" s="1"/>
      <c r="P73" s="1"/>
      <c r="Q73" s="1"/>
      <c r="R73" s="1"/>
      <c r="S73" s="1"/>
    </row>
    <row r="74" spans="1:19" ht="33.75" customHeight="1">
      <c r="A74" s="1" t="s">
        <v>310</v>
      </c>
      <c r="B74" s="1" t="s">
        <v>160</v>
      </c>
      <c r="C74" s="1">
        <v>4</v>
      </c>
      <c r="D74" s="4">
        <v>39846.657638888886</v>
      </c>
      <c r="E74" s="1" t="s">
        <v>14</v>
      </c>
      <c r="F74" s="1"/>
      <c r="G74" s="1"/>
      <c r="H74" s="1"/>
      <c r="I74" s="1"/>
      <c r="J74" s="1"/>
      <c r="K74" s="1"/>
      <c r="L74" s="1"/>
      <c r="M74" s="1"/>
      <c r="N74" s="1"/>
      <c r="O74" s="1"/>
      <c r="P74" s="1"/>
      <c r="Q74" s="1"/>
      <c r="R74" s="1"/>
      <c r="S74" s="1"/>
    </row>
    <row r="75" spans="1:19" ht="33.75" customHeight="1">
      <c r="A75" s="1" t="s">
        <v>313</v>
      </c>
      <c r="B75" s="1" t="s">
        <v>160</v>
      </c>
      <c r="C75" s="1">
        <v>4</v>
      </c>
      <c r="D75" s="4">
        <v>39846.677777777775</v>
      </c>
      <c r="E75" s="1" t="s">
        <v>314</v>
      </c>
      <c r="F75" s="1"/>
      <c r="G75" s="1"/>
      <c r="H75" s="1"/>
      <c r="I75" s="1"/>
      <c r="J75" s="1"/>
      <c r="K75" s="1"/>
      <c r="L75" s="1"/>
      <c r="M75" s="1"/>
      <c r="N75" s="1"/>
      <c r="O75" s="1"/>
      <c r="P75" s="1"/>
      <c r="Q75" s="1"/>
      <c r="R75" s="1"/>
      <c r="S75" s="1"/>
    </row>
    <row r="76" spans="1:19" ht="33.75" customHeight="1">
      <c r="A76" s="1" t="s">
        <v>319</v>
      </c>
      <c r="B76" s="1" t="s">
        <v>160</v>
      </c>
      <c r="C76" s="1">
        <v>4</v>
      </c>
      <c r="D76" s="4">
        <v>39846.690972222219</v>
      </c>
      <c r="E76" s="1" t="s">
        <v>320</v>
      </c>
      <c r="F76" s="1"/>
      <c r="G76" s="1"/>
      <c r="H76" s="1"/>
      <c r="I76" s="1"/>
      <c r="J76" s="1"/>
      <c r="K76" s="1"/>
      <c r="L76" s="1"/>
      <c r="M76" s="1"/>
      <c r="N76" s="1"/>
      <c r="O76" s="1"/>
      <c r="P76" s="1"/>
      <c r="Q76" s="1"/>
      <c r="R76" s="1"/>
      <c r="S76" s="1"/>
    </row>
    <row r="77" spans="1:19" ht="33.75" customHeight="1">
      <c r="A77" s="1" t="s">
        <v>324</v>
      </c>
      <c r="B77" s="1" t="s">
        <v>160</v>
      </c>
      <c r="C77" s="1">
        <v>4</v>
      </c>
      <c r="D77" s="4">
        <v>39846.697916666664</v>
      </c>
      <c r="E77" s="1" t="s">
        <v>14</v>
      </c>
      <c r="F77" s="1"/>
      <c r="G77" s="1"/>
      <c r="H77" s="1"/>
      <c r="I77" s="1"/>
      <c r="J77" s="1"/>
      <c r="K77" s="1"/>
      <c r="L77" s="1"/>
      <c r="M77" s="1"/>
      <c r="N77" s="1"/>
      <c r="O77" s="1"/>
      <c r="P77" s="1"/>
      <c r="Q77" s="1"/>
      <c r="R77" s="1"/>
      <c r="S77" s="1"/>
    </row>
    <row r="78" spans="1:19" ht="33.75" customHeight="1">
      <c r="A78" s="1" t="s">
        <v>327</v>
      </c>
      <c r="B78" s="1" t="s">
        <v>160</v>
      </c>
      <c r="C78" s="1">
        <v>4</v>
      </c>
      <c r="D78" s="4">
        <v>39846.697916666664</v>
      </c>
      <c r="E78" s="1" t="s">
        <v>320</v>
      </c>
      <c r="F78" s="1"/>
      <c r="G78" s="1"/>
      <c r="H78" s="1"/>
      <c r="I78" s="1"/>
      <c r="J78" s="1"/>
      <c r="K78" s="1"/>
      <c r="L78" s="1"/>
      <c r="M78" s="1"/>
      <c r="N78" s="1"/>
      <c r="O78" s="1"/>
      <c r="P78" s="1"/>
      <c r="Q78" s="1"/>
      <c r="R78" s="1"/>
      <c r="S78" s="1"/>
    </row>
    <row r="79" spans="1:19" ht="33.75" customHeight="1">
      <c r="A79" s="1" t="s">
        <v>330</v>
      </c>
      <c r="B79" s="1" t="s">
        <v>160</v>
      </c>
      <c r="C79" s="1">
        <v>4</v>
      </c>
      <c r="D79" s="4">
        <v>39846.702777777777</v>
      </c>
      <c r="E79" s="1" t="s">
        <v>14</v>
      </c>
      <c r="F79" s="1"/>
      <c r="G79" s="1"/>
      <c r="H79" s="1"/>
      <c r="I79" s="1"/>
      <c r="J79" s="1"/>
      <c r="K79" s="1"/>
      <c r="L79" s="1"/>
      <c r="M79" s="1"/>
      <c r="N79" s="1"/>
      <c r="O79" s="1"/>
      <c r="P79" s="1"/>
      <c r="Q79" s="1"/>
      <c r="R79" s="1"/>
      <c r="S79" s="1"/>
    </row>
    <row r="80" spans="1:19" ht="33.75" customHeight="1">
      <c r="A80" s="1" t="s">
        <v>332</v>
      </c>
      <c r="B80" s="1" t="s">
        <v>160</v>
      </c>
      <c r="C80" s="1">
        <v>4</v>
      </c>
      <c r="D80" s="4">
        <v>39846.704861111109</v>
      </c>
      <c r="E80" s="1" t="s">
        <v>320</v>
      </c>
      <c r="F80" s="1"/>
      <c r="G80" s="1"/>
      <c r="H80" s="1"/>
      <c r="I80" s="1"/>
      <c r="J80" s="1"/>
      <c r="K80" s="1"/>
      <c r="L80" s="1"/>
      <c r="M80" s="1"/>
      <c r="N80" s="1"/>
      <c r="O80" s="1"/>
      <c r="P80" s="1"/>
      <c r="Q80" s="1"/>
      <c r="R80" s="1"/>
      <c r="S80" s="1"/>
    </row>
    <row r="81" spans="1:19" ht="33.75" customHeight="1">
      <c r="A81" s="1" t="s">
        <v>335</v>
      </c>
      <c r="B81" s="1" t="s">
        <v>160</v>
      </c>
      <c r="C81" s="1">
        <v>4</v>
      </c>
      <c r="D81" s="4">
        <v>39846.705555555556</v>
      </c>
      <c r="E81" s="1" t="s">
        <v>84</v>
      </c>
      <c r="F81" s="1"/>
      <c r="G81" s="1"/>
      <c r="H81" s="1"/>
      <c r="I81" s="1"/>
      <c r="J81" s="1"/>
      <c r="K81" s="1"/>
      <c r="L81" s="1"/>
      <c r="M81" s="1"/>
      <c r="N81" s="1"/>
      <c r="O81" s="1"/>
      <c r="P81" s="1"/>
      <c r="Q81" s="1"/>
      <c r="R81" s="1"/>
      <c r="S81" s="1"/>
    </row>
    <row r="82" spans="1:19" ht="33.75" customHeight="1">
      <c r="A82" s="1" t="s">
        <v>339</v>
      </c>
      <c r="B82" s="1" t="s">
        <v>160</v>
      </c>
      <c r="C82" s="1">
        <v>4</v>
      </c>
      <c r="D82" s="4">
        <v>39846.706944444442</v>
      </c>
      <c r="E82" s="1" t="s">
        <v>320</v>
      </c>
      <c r="F82" s="1"/>
      <c r="G82" s="1"/>
      <c r="H82" s="1"/>
      <c r="I82" s="1"/>
      <c r="J82" s="1"/>
      <c r="K82" s="1"/>
      <c r="L82" s="1"/>
      <c r="M82" s="1"/>
      <c r="N82" s="1"/>
      <c r="O82" s="1"/>
      <c r="P82" s="1"/>
      <c r="Q82" s="1"/>
      <c r="R82" s="1"/>
      <c r="S82" s="1"/>
    </row>
    <row r="83" spans="1:19" ht="33.75" customHeight="1">
      <c r="A83" s="1" t="s">
        <v>342</v>
      </c>
      <c r="B83" s="1" t="s">
        <v>160</v>
      </c>
      <c r="C83" s="1">
        <v>4</v>
      </c>
      <c r="D83" s="4">
        <v>39846.707638888889</v>
      </c>
      <c r="E83" s="1" t="s">
        <v>14</v>
      </c>
      <c r="F83" s="1"/>
      <c r="G83" s="1"/>
      <c r="H83" s="1"/>
      <c r="I83" s="1"/>
      <c r="J83" s="1"/>
      <c r="K83" s="1"/>
      <c r="L83" s="1"/>
      <c r="M83" s="1"/>
      <c r="N83" s="1"/>
      <c r="O83" s="1"/>
      <c r="P83" s="1"/>
      <c r="Q83" s="1"/>
      <c r="R83" s="1"/>
      <c r="S83" s="1"/>
    </row>
    <row r="84" spans="1:19" ht="33.75" customHeight="1">
      <c r="A84" s="1" t="s">
        <v>346</v>
      </c>
      <c r="B84" s="1" t="s">
        <v>160</v>
      </c>
      <c r="C84" s="1">
        <v>4</v>
      </c>
      <c r="D84" s="4">
        <v>39846.71597222222</v>
      </c>
      <c r="E84" s="1" t="s">
        <v>320</v>
      </c>
      <c r="F84" s="1"/>
      <c r="G84" s="1"/>
      <c r="H84" s="1"/>
      <c r="I84" s="1"/>
      <c r="J84" s="1"/>
      <c r="K84" s="1"/>
      <c r="L84" s="1"/>
      <c r="M84" s="1"/>
      <c r="N84" s="1"/>
      <c r="O84" s="1"/>
      <c r="P84" s="1"/>
      <c r="Q84" s="1"/>
      <c r="R84" s="1"/>
      <c r="S84" s="1"/>
    </row>
    <row r="85" spans="1:19" ht="33.75" customHeight="1">
      <c r="A85" s="1" t="s">
        <v>350</v>
      </c>
      <c r="B85" s="1" t="s">
        <v>160</v>
      </c>
      <c r="C85" s="1">
        <v>4</v>
      </c>
      <c r="D85" s="4">
        <v>39846.728472222225</v>
      </c>
      <c r="E85" s="1" t="s">
        <v>14</v>
      </c>
      <c r="F85" s="1"/>
      <c r="G85" s="1"/>
      <c r="H85" s="1"/>
      <c r="I85" s="1"/>
      <c r="J85" s="1"/>
      <c r="K85" s="1"/>
      <c r="L85" s="1"/>
      <c r="M85" s="1"/>
      <c r="N85" s="1"/>
      <c r="O85" s="1"/>
      <c r="P85" s="1"/>
      <c r="Q85" s="1"/>
      <c r="R85" s="1"/>
      <c r="S85" s="1"/>
    </row>
    <row r="86" spans="1:19" ht="33.75" customHeight="1">
      <c r="A86" s="1" t="s">
        <v>353</v>
      </c>
      <c r="B86" s="1" t="s">
        <v>160</v>
      </c>
      <c r="C86" s="1">
        <v>4</v>
      </c>
      <c r="D86" s="4">
        <v>39846.729166666664</v>
      </c>
      <c r="E86" s="1" t="s">
        <v>84</v>
      </c>
      <c r="F86" s="1"/>
      <c r="G86" s="1"/>
      <c r="H86" s="1"/>
      <c r="I86" s="1"/>
      <c r="J86" s="1"/>
      <c r="K86" s="1"/>
      <c r="L86" s="1"/>
      <c r="M86" s="1"/>
      <c r="N86" s="1"/>
      <c r="O86" s="1"/>
      <c r="P86" s="1"/>
      <c r="Q86" s="1"/>
      <c r="R86" s="1"/>
      <c r="S86" s="1"/>
    </row>
    <row r="87" spans="1:19" ht="33.75" customHeight="1">
      <c r="A87" s="1" t="s">
        <v>357</v>
      </c>
      <c r="B87" s="3" t="s">
        <v>13</v>
      </c>
      <c r="C87" s="3">
        <v>1</v>
      </c>
      <c r="D87" s="4">
        <v>39846.732638888891</v>
      </c>
      <c r="E87" s="1" t="s">
        <v>101</v>
      </c>
      <c r="F87" s="1"/>
      <c r="G87" s="1"/>
      <c r="H87" s="1"/>
      <c r="I87" s="1"/>
      <c r="J87" s="1"/>
      <c r="K87" s="1"/>
      <c r="L87" s="1"/>
      <c r="M87" s="1"/>
      <c r="N87" s="1"/>
      <c r="O87" s="1"/>
      <c r="P87" s="1"/>
      <c r="Q87" s="1"/>
      <c r="R87" s="1"/>
      <c r="S87" s="1"/>
    </row>
    <row r="88" spans="1:19" ht="33.75" customHeight="1">
      <c r="A88" s="1" t="s">
        <v>360</v>
      </c>
      <c r="B88" s="1" t="s">
        <v>156</v>
      </c>
      <c r="C88" s="1">
        <v>3</v>
      </c>
      <c r="D88" s="4">
        <v>39846.736805555556</v>
      </c>
      <c r="E88" s="1" t="s">
        <v>14</v>
      </c>
      <c r="F88" s="1"/>
      <c r="G88" s="1"/>
      <c r="H88" s="1"/>
      <c r="I88" s="1"/>
      <c r="J88" s="1"/>
      <c r="K88" s="1"/>
      <c r="L88" s="1"/>
      <c r="M88" s="1"/>
      <c r="N88" s="1"/>
      <c r="O88" s="1"/>
      <c r="P88" s="1"/>
      <c r="Q88" s="1"/>
      <c r="R88" s="1"/>
      <c r="S88" s="1"/>
    </row>
    <row r="89" spans="1:19" ht="33.75" customHeight="1">
      <c r="A89" s="1" t="s">
        <v>363</v>
      </c>
      <c r="B89" s="1" t="s">
        <v>160</v>
      </c>
      <c r="C89" s="1">
        <v>4</v>
      </c>
      <c r="D89" s="4">
        <v>39846.74722222222</v>
      </c>
      <c r="E89" s="1" t="s">
        <v>54</v>
      </c>
      <c r="F89" s="1"/>
      <c r="G89" s="1"/>
      <c r="H89" s="1"/>
      <c r="I89" s="1"/>
      <c r="J89" s="1"/>
      <c r="K89" s="1"/>
      <c r="L89" s="1"/>
      <c r="M89" s="1"/>
      <c r="N89" s="1"/>
      <c r="O89" s="1"/>
      <c r="P89" s="1"/>
      <c r="Q89" s="1"/>
      <c r="R89" s="1"/>
      <c r="S89" s="1"/>
    </row>
    <row r="90" spans="1:19" ht="33.75" customHeight="1">
      <c r="A90" s="1" t="s">
        <v>366</v>
      </c>
      <c r="B90" s="1" t="s">
        <v>160</v>
      </c>
      <c r="C90" s="1">
        <v>4</v>
      </c>
      <c r="D90" s="4">
        <v>39846.769444444442</v>
      </c>
      <c r="E90" s="1" t="s">
        <v>54</v>
      </c>
      <c r="F90" s="1"/>
      <c r="G90" s="1"/>
      <c r="H90" s="1"/>
      <c r="I90" s="1"/>
      <c r="J90" s="1"/>
      <c r="K90" s="1"/>
      <c r="L90" s="1"/>
      <c r="M90" s="1"/>
      <c r="N90" s="1"/>
      <c r="O90" s="1"/>
      <c r="P90" s="1"/>
      <c r="Q90" s="1"/>
      <c r="R90" s="1"/>
      <c r="S90" s="1"/>
    </row>
    <row r="91" spans="1:19" ht="33.75" customHeight="1">
      <c r="A91" s="1" t="s">
        <v>371</v>
      </c>
      <c r="B91" s="1" t="s">
        <v>160</v>
      </c>
      <c r="C91" s="1">
        <v>4</v>
      </c>
      <c r="D91" s="4">
        <v>39846.772222222222</v>
      </c>
      <c r="E91" s="1" t="s">
        <v>54</v>
      </c>
      <c r="F91" s="1"/>
      <c r="G91" s="1"/>
      <c r="H91" s="1"/>
      <c r="I91" s="1"/>
      <c r="J91" s="1"/>
      <c r="K91" s="1"/>
      <c r="L91" s="1"/>
      <c r="M91" s="1"/>
      <c r="N91" s="1"/>
      <c r="O91" s="1"/>
      <c r="P91" s="1"/>
      <c r="Q91" s="1"/>
      <c r="R91" s="1"/>
      <c r="S91" s="1"/>
    </row>
    <row r="92" spans="1:19" ht="33.75" customHeight="1">
      <c r="A92" s="1" t="s">
        <v>374</v>
      </c>
      <c r="B92" s="1" t="s">
        <v>160</v>
      </c>
      <c r="C92" s="1">
        <v>4</v>
      </c>
      <c r="D92" s="4">
        <v>39846.825694444444</v>
      </c>
      <c r="E92" s="1" t="s">
        <v>84</v>
      </c>
      <c r="F92" s="1"/>
      <c r="G92" s="1"/>
      <c r="H92" s="1"/>
      <c r="I92" s="1"/>
      <c r="J92" s="1"/>
      <c r="K92" s="1"/>
      <c r="L92" s="1"/>
      <c r="M92" s="1"/>
      <c r="N92" s="1"/>
      <c r="O92" s="1"/>
      <c r="P92" s="1"/>
      <c r="Q92" s="1"/>
      <c r="R92" s="1"/>
      <c r="S92" s="1"/>
    </row>
    <row r="93" spans="1:19" ht="33.75" customHeight="1">
      <c r="A93" s="1" t="s">
        <v>378</v>
      </c>
      <c r="B93" s="1" t="s">
        <v>160</v>
      </c>
      <c r="C93" s="1">
        <v>4</v>
      </c>
      <c r="D93" s="4">
        <v>39846.826388888891</v>
      </c>
      <c r="E93" s="1" t="s">
        <v>84</v>
      </c>
      <c r="F93" s="1"/>
      <c r="G93" s="1"/>
      <c r="H93" s="1"/>
      <c r="I93" s="1"/>
      <c r="J93" s="1"/>
      <c r="K93" s="1"/>
      <c r="L93" s="1"/>
      <c r="M93" s="1"/>
      <c r="N93" s="1"/>
      <c r="O93" s="1"/>
      <c r="P93" s="1"/>
      <c r="Q93" s="1"/>
      <c r="R93" s="1"/>
      <c r="S93" s="1"/>
    </row>
    <row r="94" spans="1:19" ht="33.75" customHeight="1">
      <c r="A94" s="1" t="s">
        <v>380</v>
      </c>
      <c r="B94" s="1" t="s">
        <v>160</v>
      </c>
      <c r="C94" s="1">
        <v>4</v>
      </c>
      <c r="D94" s="4">
        <v>39846.852083333331</v>
      </c>
      <c r="E94" s="1" t="s">
        <v>381</v>
      </c>
      <c r="F94" s="1"/>
      <c r="G94" s="1"/>
      <c r="H94" s="1"/>
      <c r="I94" s="1"/>
      <c r="J94" s="1"/>
      <c r="K94" s="1"/>
      <c r="L94" s="1"/>
      <c r="M94" s="1"/>
      <c r="N94" s="1"/>
      <c r="O94" s="1"/>
      <c r="P94" s="1"/>
      <c r="Q94" s="1"/>
      <c r="R94" s="1"/>
      <c r="S94" s="1"/>
    </row>
    <row r="95" spans="1:19" ht="33.75" customHeight="1">
      <c r="A95" s="1" t="s">
        <v>384</v>
      </c>
      <c r="B95" s="1" t="s">
        <v>156</v>
      </c>
      <c r="C95" s="1">
        <v>3</v>
      </c>
      <c r="D95" s="4">
        <v>39846.857638888891</v>
      </c>
      <c r="E95" s="1" t="s">
        <v>54</v>
      </c>
      <c r="F95" s="1"/>
      <c r="G95" s="1"/>
      <c r="H95" s="1"/>
      <c r="I95" s="1"/>
      <c r="J95" s="1"/>
      <c r="K95" s="1"/>
      <c r="L95" s="1"/>
      <c r="M95" s="1"/>
      <c r="N95" s="1"/>
      <c r="O95" s="1"/>
      <c r="P95" s="1"/>
      <c r="Q95" s="1"/>
      <c r="R95" s="1"/>
      <c r="S95" s="1"/>
    </row>
    <row r="96" spans="1:19" ht="33.75" customHeight="1">
      <c r="A96" s="1" t="s">
        <v>388</v>
      </c>
      <c r="B96" s="1" t="s">
        <v>156</v>
      </c>
      <c r="C96" s="1">
        <v>3</v>
      </c>
      <c r="D96" s="4">
        <v>39846.861805555556</v>
      </c>
      <c r="E96" s="1" t="s">
        <v>54</v>
      </c>
      <c r="F96" s="1"/>
      <c r="G96" s="1"/>
      <c r="H96" s="1"/>
      <c r="I96" s="1"/>
      <c r="J96" s="1"/>
      <c r="K96" s="1"/>
      <c r="L96" s="1"/>
      <c r="M96" s="1"/>
      <c r="N96" s="1"/>
      <c r="O96" s="1"/>
      <c r="P96" s="1"/>
      <c r="Q96" s="1"/>
      <c r="R96" s="1"/>
      <c r="S96" s="1"/>
    </row>
    <row r="97" spans="1:19" ht="33.75" customHeight="1">
      <c r="A97" s="1" t="s">
        <v>392</v>
      </c>
      <c r="B97" s="1" t="s">
        <v>160</v>
      </c>
      <c r="C97" s="1">
        <v>4</v>
      </c>
      <c r="D97" s="4">
        <v>39846.863194444442</v>
      </c>
      <c r="E97" s="1" t="s">
        <v>393</v>
      </c>
      <c r="F97" s="1"/>
      <c r="G97" s="1"/>
      <c r="H97" s="1"/>
      <c r="I97" s="1"/>
      <c r="J97" s="1"/>
      <c r="K97" s="1"/>
      <c r="L97" s="1"/>
      <c r="M97" s="1"/>
      <c r="N97" s="1"/>
      <c r="O97" s="1"/>
      <c r="P97" s="1"/>
      <c r="Q97" s="1"/>
      <c r="R97" s="1"/>
      <c r="S97" s="1"/>
    </row>
    <row r="98" spans="1:19" ht="33.75" customHeight="1">
      <c r="A98" s="1" t="s">
        <v>396</v>
      </c>
      <c r="B98" s="1" t="s">
        <v>156</v>
      </c>
      <c r="C98" s="1">
        <v>3</v>
      </c>
      <c r="D98" s="4">
        <v>39846.863888888889</v>
      </c>
      <c r="E98" s="1" t="s">
        <v>101</v>
      </c>
      <c r="F98" s="1"/>
      <c r="G98" s="1"/>
      <c r="H98" s="1"/>
      <c r="I98" s="1"/>
      <c r="J98" s="1"/>
      <c r="K98" s="1"/>
      <c r="L98" s="1"/>
      <c r="M98" s="1"/>
      <c r="N98" s="1"/>
      <c r="O98" s="1"/>
      <c r="P98" s="1"/>
      <c r="Q98" s="1"/>
      <c r="R98" s="1"/>
      <c r="S98" s="1"/>
    </row>
    <row r="99" spans="1:19" ht="33.75" customHeight="1">
      <c r="A99" s="1" t="s">
        <v>398</v>
      </c>
      <c r="B99" s="1" t="s">
        <v>160</v>
      </c>
      <c r="C99" s="1">
        <v>4</v>
      </c>
      <c r="D99" s="4">
        <v>39846.865972222222</v>
      </c>
      <c r="E99" s="1" t="s">
        <v>54</v>
      </c>
      <c r="F99" s="1"/>
      <c r="G99" s="1"/>
      <c r="H99" s="1"/>
      <c r="I99" s="1"/>
      <c r="J99" s="1"/>
      <c r="K99" s="1"/>
      <c r="L99" s="1"/>
      <c r="M99" s="1"/>
      <c r="N99" s="1"/>
      <c r="O99" s="1"/>
      <c r="P99" s="1"/>
      <c r="Q99" s="1"/>
      <c r="R99" s="1"/>
      <c r="S99" s="1"/>
    </row>
    <row r="100" spans="1:19" ht="33.75" customHeight="1">
      <c r="A100" s="1" t="s">
        <v>400</v>
      </c>
      <c r="B100" s="1" t="s">
        <v>160</v>
      </c>
      <c r="C100" s="1">
        <v>4</v>
      </c>
      <c r="D100" s="4">
        <v>39846.904166666667</v>
      </c>
      <c r="E100" s="1" t="s">
        <v>401</v>
      </c>
      <c r="F100" s="1"/>
      <c r="G100" s="1"/>
      <c r="H100" s="1"/>
      <c r="I100" s="1"/>
      <c r="J100" s="1"/>
      <c r="K100" s="1"/>
      <c r="L100" s="1"/>
      <c r="M100" s="1"/>
      <c r="N100" s="1"/>
      <c r="O100" s="1"/>
      <c r="P100" s="1"/>
      <c r="Q100" s="1"/>
      <c r="R100" s="1"/>
      <c r="S100" s="1"/>
    </row>
    <row r="101" spans="1:19" ht="33.75" customHeight="1">
      <c r="A101" s="1" t="s">
        <v>405</v>
      </c>
      <c r="B101" s="1" t="s">
        <v>160</v>
      </c>
      <c r="C101" s="1">
        <v>4</v>
      </c>
      <c r="D101" s="4">
        <v>39846.90625</v>
      </c>
      <c r="E101" s="1" t="s">
        <v>54</v>
      </c>
      <c r="F101" s="1"/>
      <c r="G101" s="1"/>
      <c r="H101" s="1"/>
      <c r="I101" s="1"/>
      <c r="J101" s="1"/>
      <c r="K101" s="1"/>
      <c r="L101" s="1"/>
      <c r="M101" s="1"/>
      <c r="N101" s="1"/>
      <c r="O101" s="1"/>
      <c r="P101" s="1"/>
      <c r="Q101" s="1"/>
      <c r="R101" s="1"/>
      <c r="S101" s="1"/>
    </row>
    <row r="102" spans="1:19" ht="33.75" customHeight="1">
      <c r="A102" s="1" t="s">
        <v>408</v>
      </c>
      <c r="B102" s="1" t="s">
        <v>160</v>
      </c>
      <c r="C102" s="1">
        <v>4</v>
      </c>
      <c r="D102" s="4">
        <v>39846.911111111112</v>
      </c>
      <c r="E102" s="1" t="s">
        <v>196</v>
      </c>
      <c r="F102" s="1"/>
      <c r="G102" s="1"/>
      <c r="H102" s="1"/>
      <c r="I102" s="1"/>
      <c r="J102" s="1"/>
      <c r="K102" s="1"/>
      <c r="L102" s="1"/>
      <c r="M102" s="1"/>
      <c r="N102" s="1"/>
      <c r="O102" s="1"/>
      <c r="P102" s="1"/>
      <c r="Q102" s="1"/>
      <c r="R102" s="1"/>
      <c r="S102" s="1"/>
    </row>
    <row r="103" spans="1:19" ht="33.75" customHeight="1">
      <c r="A103" s="1" t="s">
        <v>412</v>
      </c>
      <c r="B103" s="1" t="s">
        <v>160</v>
      </c>
      <c r="C103" s="1">
        <v>4</v>
      </c>
      <c r="D103" s="4">
        <v>39846.92291666667</v>
      </c>
      <c r="E103" s="1" t="s">
        <v>196</v>
      </c>
      <c r="F103" s="1"/>
      <c r="G103" s="1"/>
      <c r="H103" s="1"/>
      <c r="I103" s="1"/>
      <c r="J103" s="1"/>
      <c r="K103" s="1"/>
      <c r="L103" s="1"/>
      <c r="M103" s="1"/>
      <c r="N103" s="1"/>
      <c r="O103" s="1"/>
      <c r="P103" s="1"/>
      <c r="Q103" s="1"/>
      <c r="R103" s="1"/>
      <c r="S103" s="1"/>
    </row>
    <row r="104" spans="1:19" ht="33.75" customHeight="1">
      <c r="A104" s="1" t="s">
        <v>415</v>
      </c>
      <c r="B104" s="1" t="s">
        <v>160</v>
      </c>
      <c r="C104" s="1">
        <v>4</v>
      </c>
      <c r="D104" s="4">
        <v>39846.943749999999</v>
      </c>
      <c r="E104" s="1" t="s">
        <v>416</v>
      </c>
      <c r="F104" s="1"/>
      <c r="G104" s="1"/>
      <c r="H104" s="1"/>
      <c r="I104" s="1"/>
      <c r="J104" s="1"/>
      <c r="K104" s="1"/>
      <c r="L104" s="1"/>
      <c r="M104" s="1"/>
      <c r="N104" s="1"/>
      <c r="O104" s="1"/>
      <c r="P104" s="1"/>
      <c r="Q104" s="1"/>
      <c r="R104" s="1"/>
      <c r="S104" s="1"/>
    </row>
    <row r="105" spans="1:19" ht="33.75" customHeight="1">
      <c r="A105" s="1" t="s">
        <v>419</v>
      </c>
      <c r="B105" s="1" t="s">
        <v>160</v>
      </c>
      <c r="C105" s="1">
        <v>4</v>
      </c>
      <c r="D105" s="4">
        <v>39846.944444444445</v>
      </c>
      <c r="E105" s="1" t="s">
        <v>416</v>
      </c>
      <c r="F105" s="1"/>
      <c r="G105" s="1"/>
      <c r="H105" s="1"/>
      <c r="I105" s="1"/>
      <c r="J105" s="1"/>
      <c r="K105" s="1"/>
      <c r="L105" s="1"/>
      <c r="M105" s="1"/>
      <c r="N105" s="1"/>
      <c r="O105" s="1"/>
      <c r="P105" s="1"/>
      <c r="Q105" s="1"/>
      <c r="R105" s="1"/>
      <c r="S105" s="1"/>
    </row>
    <row r="106" spans="1:19" ht="33.75" customHeight="1">
      <c r="A106" s="1" t="s">
        <v>421</v>
      </c>
      <c r="B106" s="1" t="s">
        <v>160</v>
      </c>
      <c r="C106" s="1">
        <v>4</v>
      </c>
      <c r="D106" s="4">
        <v>39846.948611111111</v>
      </c>
      <c r="E106" s="1" t="s">
        <v>196</v>
      </c>
      <c r="F106" s="1"/>
      <c r="G106" s="1"/>
      <c r="H106" s="1"/>
      <c r="I106" s="1"/>
      <c r="J106" s="1"/>
      <c r="K106" s="1"/>
      <c r="L106" s="1"/>
      <c r="M106" s="1"/>
      <c r="N106" s="1"/>
      <c r="O106" s="1"/>
      <c r="P106" s="1"/>
      <c r="Q106" s="1"/>
      <c r="R106" s="1"/>
      <c r="S106" s="1"/>
    </row>
    <row r="107" spans="1:19" ht="33.75" customHeight="1">
      <c r="A107" s="1" t="s">
        <v>423</v>
      </c>
      <c r="B107" s="1" t="s">
        <v>160</v>
      </c>
      <c r="C107" s="1">
        <v>4</v>
      </c>
      <c r="D107" s="4">
        <v>39846.949999999997</v>
      </c>
      <c r="E107" s="1" t="s">
        <v>196</v>
      </c>
      <c r="F107" s="1"/>
      <c r="G107" s="1"/>
      <c r="H107" s="1"/>
      <c r="I107" s="1"/>
      <c r="J107" s="1"/>
      <c r="K107" s="1"/>
      <c r="L107" s="1"/>
      <c r="M107" s="1"/>
      <c r="N107" s="1"/>
      <c r="O107" s="1"/>
      <c r="P107" s="1"/>
      <c r="Q107" s="1"/>
      <c r="R107" s="1"/>
      <c r="S107" s="1"/>
    </row>
    <row r="108" spans="1:19" ht="33.75" customHeight="1">
      <c r="A108" s="1" t="s">
        <v>425</v>
      </c>
      <c r="B108" s="1" t="s">
        <v>160</v>
      </c>
      <c r="C108" s="1">
        <v>4</v>
      </c>
      <c r="D108" s="4">
        <v>39846.968055555553</v>
      </c>
      <c r="E108" s="1" t="s">
        <v>54</v>
      </c>
      <c r="F108" s="1"/>
      <c r="G108" s="1"/>
      <c r="H108" s="1"/>
      <c r="I108" s="1"/>
      <c r="J108" s="1"/>
      <c r="K108" s="1"/>
      <c r="L108" s="1"/>
      <c r="M108" s="1"/>
      <c r="N108" s="1"/>
      <c r="O108" s="1"/>
      <c r="P108" s="1"/>
      <c r="Q108" s="1"/>
      <c r="R108" s="1"/>
      <c r="S108" s="1"/>
    </row>
    <row r="109" spans="1:19" ht="33.75" customHeight="1">
      <c r="A109" s="1" t="s">
        <v>427</v>
      </c>
      <c r="B109" s="1" t="s">
        <v>160</v>
      </c>
      <c r="C109" s="1">
        <v>4</v>
      </c>
      <c r="D109" s="4">
        <v>39846.970138888886</v>
      </c>
      <c r="E109" s="1" t="s">
        <v>54</v>
      </c>
      <c r="F109" s="1"/>
      <c r="G109" s="1"/>
      <c r="H109" s="1"/>
      <c r="I109" s="1"/>
      <c r="J109" s="1"/>
      <c r="K109" s="1"/>
      <c r="L109" s="1"/>
      <c r="M109" s="1"/>
      <c r="N109" s="1"/>
      <c r="O109" s="1"/>
      <c r="P109" s="1"/>
      <c r="Q109" s="1"/>
      <c r="R109" s="1"/>
      <c r="S109" s="1"/>
    </row>
    <row r="110" spans="1:19" ht="33.75" customHeight="1">
      <c r="A110" s="1" t="s">
        <v>430</v>
      </c>
      <c r="B110" s="1" t="s">
        <v>160</v>
      </c>
      <c r="C110" s="1">
        <v>4</v>
      </c>
      <c r="D110" s="4">
        <v>39846.97152777778</v>
      </c>
      <c r="E110" s="1" t="s">
        <v>54</v>
      </c>
      <c r="F110" s="1"/>
      <c r="G110" s="1"/>
      <c r="H110" s="1"/>
      <c r="I110" s="1"/>
      <c r="J110" s="1"/>
      <c r="K110" s="1"/>
      <c r="L110" s="1"/>
      <c r="M110" s="1"/>
      <c r="N110" s="1"/>
      <c r="O110" s="1"/>
      <c r="P110" s="1"/>
      <c r="Q110" s="1"/>
      <c r="R110" s="1"/>
      <c r="S110" s="1"/>
    </row>
    <row r="111" spans="1:19" ht="33.75" customHeight="1">
      <c r="A111" s="1" t="s">
        <v>434</v>
      </c>
      <c r="B111" s="3" t="s">
        <v>13</v>
      </c>
      <c r="C111" s="3">
        <v>1</v>
      </c>
      <c r="D111" s="4">
        <v>39846.995833333334</v>
      </c>
      <c r="E111" s="1" t="s">
        <v>435</v>
      </c>
      <c r="F111" s="1"/>
      <c r="G111" s="1"/>
      <c r="H111" s="1"/>
      <c r="I111" s="1"/>
      <c r="J111" s="1"/>
      <c r="K111" s="1"/>
      <c r="L111" s="1"/>
      <c r="M111" s="1"/>
      <c r="N111" s="1"/>
      <c r="O111" s="1"/>
      <c r="P111" s="1"/>
      <c r="Q111" s="1"/>
      <c r="R111" s="1"/>
      <c r="S111" s="1"/>
    </row>
    <row r="112" spans="1:19" ht="33.75" customHeight="1">
      <c r="A112" s="1" t="s">
        <v>438</v>
      </c>
      <c r="B112" s="1" t="s">
        <v>160</v>
      </c>
      <c r="C112" s="1">
        <v>4</v>
      </c>
      <c r="D112" s="4">
        <v>39847.047222222223</v>
      </c>
      <c r="E112" s="1" t="s">
        <v>84</v>
      </c>
      <c r="F112" s="1"/>
      <c r="G112" s="1"/>
      <c r="H112" s="1"/>
      <c r="I112" s="1"/>
      <c r="J112" s="1"/>
      <c r="K112" s="1"/>
      <c r="L112" s="1"/>
      <c r="M112" s="1"/>
      <c r="N112" s="1"/>
      <c r="O112" s="1"/>
      <c r="P112" s="1"/>
      <c r="Q112" s="1"/>
      <c r="R112" s="1"/>
      <c r="S112" s="1"/>
    </row>
    <row r="113" spans="1:19" ht="33.75" customHeight="1">
      <c r="A113" s="1" t="s">
        <v>442</v>
      </c>
      <c r="B113" s="1" t="s">
        <v>160</v>
      </c>
      <c r="C113" s="1">
        <v>4</v>
      </c>
      <c r="D113" s="4">
        <v>39847.052083333336</v>
      </c>
      <c r="E113" s="1" t="s">
        <v>320</v>
      </c>
      <c r="F113" s="1"/>
      <c r="G113" s="1"/>
      <c r="H113" s="1"/>
      <c r="I113" s="1"/>
      <c r="J113" s="1"/>
      <c r="K113" s="1"/>
      <c r="L113" s="1"/>
      <c r="M113" s="1"/>
      <c r="N113" s="1"/>
      <c r="O113" s="1"/>
      <c r="P113" s="1"/>
      <c r="Q113" s="1"/>
      <c r="R113" s="1"/>
      <c r="S113" s="1"/>
    </row>
    <row r="114" spans="1:19" ht="33.75" customHeight="1">
      <c r="A114" s="1" t="s">
        <v>445</v>
      </c>
      <c r="B114" s="1" t="s">
        <v>156</v>
      </c>
      <c r="C114" s="1">
        <v>3</v>
      </c>
      <c r="D114" s="4">
        <v>39847.056250000001</v>
      </c>
      <c r="E114" s="1" t="s">
        <v>446</v>
      </c>
      <c r="F114" s="1"/>
      <c r="G114" s="1"/>
      <c r="H114" s="1"/>
      <c r="I114" s="1"/>
      <c r="J114" s="1"/>
      <c r="K114" s="1"/>
      <c r="L114" s="1"/>
      <c r="M114" s="1"/>
      <c r="N114" s="1"/>
      <c r="O114" s="1"/>
      <c r="P114" s="1"/>
      <c r="Q114" s="1"/>
      <c r="R114" s="1"/>
      <c r="S114" s="1"/>
    </row>
    <row r="115" spans="1:19" ht="33.75" customHeight="1">
      <c r="A115" s="1" t="s">
        <v>449</v>
      </c>
      <c r="B115" s="1" t="s">
        <v>160</v>
      </c>
      <c r="C115" s="1">
        <v>4</v>
      </c>
      <c r="D115" s="4">
        <v>39847.064583333333</v>
      </c>
      <c r="E115" s="1" t="s">
        <v>54</v>
      </c>
      <c r="F115" s="1"/>
      <c r="G115" s="1"/>
      <c r="H115" s="1"/>
      <c r="I115" s="1"/>
      <c r="J115" s="1"/>
      <c r="K115" s="1"/>
      <c r="L115" s="1"/>
      <c r="M115" s="1"/>
      <c r="N115" s="1"/>
      <c r="O115" s="1"/>
      <c r="P115" s="1"/>
      <c r="Q115" s="1"/>
      <c r="R115" s="1"/>
      <c r="S115" s="1"/>
    </row>
    <row r="116" spans="1:19" ht="33.75" customHeight="1">
      <c r="A116" s="1" t="s">
        <v>452</v>
      </c>
      <c r="B116" s="1" t="s">
        <v>160</v>
      </c>
      <c r="C116" s="1">
        <v>4</v>
      </c>
      <c r="D116" s="4">
        <v>39847.077777777777</v>
      </c>
      <c r="E116" s="1" t="s">
        <v>14</v>
      </c>
      <c r="F116" s="1"/>
      <c r="G116" s="1"/>
      <c r="H116" s="1"/>
      <c r="I116" s="1"/>
      <c r="J116" s="1"/>
      <c r="K116" s="1"/>
      <c r="L116" s="1"/>
      <c r="M116" s="1"/>
      <c r="N116" s="1"/>
      <c r="O116" s="1"/>
      <c r="P116" s="1"/>
      <c r="Q116" s="1"/>
      <c r="R116" s="1"/>
      <c r="S116" s="1"/>
    </row>
    <row r="117" spans="1:19" ht="33.75" customHeight="1">
      <c r="A117" s="1" t="s">
        <v>456</v>
      </c>
      <c r="B117" s="1" t="s">
        <v>160</v>
      </c>
      <c r="C117" s="1">
        <v>4</v>
      </c>
      <c r="D117" s="4">
        <v>39847.12777777778</v>
      </c>
      <c r="E117" s="1" t="s">
        <v>54</v>
      </c>
      <c r="F117" s="1"/>
      <c r="G117" s="1"/>
      <c r="H117" s="1"/>
      <c r="I117" s="1"/>
      <c r="J117" s="1"/>
      <c r="K117" s="1"/>
      <c r="L117" s="1"/>
      <c r="M117" s="1"/>
      <c r="N117" s="1"/>
      <c r="O117" s="1"/>
      <c r="P117" s="1"/>
      <c r="Q117" s="1"/>
      <c r="R117" s="1"/>
      <c r="S117" s="1"/>
    </row>
    <row r="118" spans="1:19" ht="33.75" customHeight="1">
      <c r="A118" s="1" t="s">
        <v>460</v>
      </c>
      <c r="B118" s="1" t="s">
        <v>160</v>
      </c>
      <c r="C118" s="1">
        <v>4</v>
      </c>
      <c r="D118" s="4">
        <v>39847.232638888891</v>
      </c>
      <c r="E118" s="1" t="s">
        <v>320</v>
      </c>
      <c r="F118" s="1"/>
      <c r="G118" s="1"/>
      <c r="H118" s="1"/>
      <c r="I118" s="1"/>
      <c r="J118" s="1"/>
      <c r="K118" s="1"/>
      <c r="L118" s="1"/>
      <c r="M118" s="1"/>
      <c r="N118" s="1"/>
      <c r="O118" s="1"/>
      <c r="P118" s="1"/>
      <c r="Q118" s="1"/>
      <c r="R118" s="1"/>
      <c r="S118" s="1"/>
    </row>
    <row r="119" spans="1:19" ht="33.75" customHeight="1">
      <c r="A119" s="1" t="s">
        <v>463</v>
      </c>
      <c r="B119" s="1" t="s">
        <v>160</v>
      </c>
      <c r="C119" s="1">
        <v>4</v>
      </c>
      <c r="D119" s="4">
        <v>39847.259722222225</v>
      </c>
      <c r="E119" s="1" t="s">
        <v>393</v>
      </c>
      <c r="F119" s="1"/>
      <c r="G119" s="1"/>
      <c r="H119" s="1"/>
      <c r="I119" s="1"/>
      <c r="J119" s="1"/>
      <c r="K119" s="1"/>
      <c r="L119" s="1"/>
      <c r="M119" s="1"/>
      <c r="N119" s="1"/>
      <c r="O119" s="1"/>
      <c r="P119" s="1"/>
      <c r="Q119" s="1"/>
      <c r="R119" s="1"/>
      <c r="S119" s="1"/>
    </row>
    <row r="120" spans="1:19" ht="33.75" customHeight="1">
      <c r="A120" s="1" t="s">
        <v>467</v>
      </c>
      <c r="B120" s="1" t="s">
        <v>156</v>
      </c>
      <c r="C120" s="1">
        <v>3</v>
      </c>
      <c r="D120" s="4">
        <v>39847.453472222223</v>
      </c>
      <c r="E120" s="1" t="s">
        <v>101</v>
      </c>
      <c r="F120" s="1"/>
      <c r="G120" s="1"/>
      <c r="H120" s="1"/>
      <c r="I120" s="1"/>
      <c r="J120" s="1"/>
      <c r="K120" s="1"/>
      <c r="L120" s="1"/>
      <c r="M120" s="1"/>
      <c r="N120" s="1"/>
      <c r="O120" s="1"/>
      <c r="P120" s="1"/>
      <c r="Q120" s="1"/>
      <c r="R120" s="1"/>
      <c r="S120" s="1"/>
    </row>
    <row r="121" spans="1:19" ht="33.75" customHeight="1">
      <c r="A121" s="1" t="s">
        <v>470</v>
      </c>
      <c r="B121" s="1" t="s">
        <v>156</v>
      </c>
      <c r="C121" s="1">
        <v>3</v>
      </c>
      <c r="D121" s="4">
        <v>39847.482638888891</v>
      </c>
      <c r="E121" s="1" t="s">
        <v>14</v>
      </c>
      <c r="F121" s="1"/>
      <c r="G121" s="1"/>
      <c r="H121" s="1"/>
      <c r="I121" s="1"/>
      <c r="J121" s="1"/>
      <c r="K121" s="1"/>
      <c r="L121" s="1"/>
      <c r="M121" s="1"/>
      <c r="N121" s="1"/>
      <c r="O121" s="1"/>
      <c r="P121" s="1"/>
      <c r="Q121" s="1"/>
      <c r="R121" s="1"/>
      <c r="S121" s="1"/>
    </row>
    <row r="122" spans="1:19" ht="33.75" customHeight="1">
      <c r="A122" s="1" t="s">
        <v>473</v>
      </c>
      <c r="B122" s="1" t="s">
        <v>160</v>
      </c>
      <c r="C122" s="1">
        <v>4</v>
      </c>
      <c r="D122" s="4">
        <v>39847.491666666669</v>
      </c>
      <c r="E122" s="1" t="s">
        <v>474</v>
      </c>
      <c r="F122" s="1"/>
      <c r="G122" s="1"/>
      <c r="H122" s="1"/>
      <c r="I122" s="1"/>
      <c r="J122" s="1"/>
      <c r="K122" s="1"/>
      <c r="L122" s="1"/>
      <c r="M122" s="1"/>
      <c r="N122" s="1"/>
      <c r="O122" s="1"/>
      <c r="P122" s="1"/>
      <c r="Q122" s="1"/>
      <c r="R122" s="1"/>
      <c r="S122" s="1"/>
    </row>
    <row r="123" spans="1:19" ht="33.75" customHeight="1">
      <c r="A123" s="1" t="s">
        <v>477</v>
      </c>
      <c r="B123" s="1" t="s">
        <v>160</v>
      </c>
      <c r="C123" s="1">
        <v>4</v>
      </c>
      <c r="D123" s="4">
        <v>39847.493055555555</v>
      </c>
      <c r="E123" s="1" t="s">
        <v>14</v>
      </c>
      <c r="F123" s="1"/>
      <c r="G123" s="1"/>
      <c r="H123" s="1"/>
      <c r="I123" s="1"/>
      <c r="J123" s="1"/>
      <c r="K123" s="1"/>
      <c r="L123" s="1"/>
      <c r="M123" s="1"/>
      <c r="N123" s="1"/>
      <c r="O123" s="1"/>
      <c r="P123" s="1"/>
      <c r="Q123" s="1"/>
      <c r="R123" s="1"/>
      <c r="S123" s="1"/>
    </row>
    <row r="124" spans="1:19" ht="33.75" customHeight="1">
      <c r="A124" s="1" t="s">
        <v>484</v>
      </c>
      <c r="B124" s="3" t="s">
        <v>13</v>
      </c>
      <c r="C124" s="3">
        <v>1</v>
      </c>
      <c r="D124" s="4">
        <v>39847.532638888886</v>
      </c>
      <c r="E124" s="1" t="s">
        <v>485</v>
      </c>
      <c r="F124" s="1"/>
      <c r="G124" s="1"/>
      <c r="H124" s="1"/>
      <c r="I124" s="1"/>
      <c r="J124" s="1"/>
      <c r="K124" s="1"/>
      <c r="L124" s="1"/>
      <c r="M124" s="1"/>
      <c r="N124" s="1"/>
      <c r="O124" s="1"/>
      <c r="P124" s="1"/>
      <c r="Q124" s="1"/>
      <c r="R124" s="1"/>
      <c r="S124" s="1"/>
    </row>
    <row r="125" spans="1:19" ht="33.75" customHeight="1">
      <c r="A125" s="1" t="s">
        <v>488</v>
      </c>
      <c r="B125" s="3" t="s">
        <v>13</v>
      </c>
      <c r="C125" s="3">
        <v>1</v>
      </c>
      <c r="D125" s="4">
        <v>39847.556250000001</v>
      </c>
      <c r="E125" s="1" t="s">
        <v>14</v>
      </c>
      <c r="F125" s="1"/>
      <c r="G125" s="1"/>
      <c r="H125" s="1"/>
      <c r="I125" s="1"/>
      <c r="J125" s="1"/>
      <c r="K125" s="1"/>
      <c r="L125" s="1"/>
      <c r="M125" s="1"/>
      <c r="N125" s="1"/>
      <c r="O125" s="1"/>
      <c r="P125" s="1"/>
      <c r="Q125" s="1"/>
      <c r="R125" s="1"/>
      <c r="S125" s="1"/>
    </row>
    <row r="126" spans="1:19" ht="33.75" customHeight="1">
      <c r="A126" s="1" t="s">
        <v>491</v>
      </c>
      <c r="B126" s="1" t="s">
        <v>160</v>
      </c>
      <c r="C126" s="1">
        <v>4</v>
      </c>
      <c r="D126" s="4">
        <v>39847.56527777778</v>
      </c>
      <c r="E126" s="1" t="s">
        <v>14</v>
      </c>
      <c r="F126" s="1"/>
      <c r="G126" s="1"/>
      <c r="H126" s="1"/>
      <c r="I126" s="1"/>
      <c r="J126" s="1"/>
      <c r="K126" s="1"/>
      <c r="L126" s="1"/>
      <c r="M126" s="1"/>
      <c r="N126" s="1"/>
      <c r="O126" s="1"/>
      <c r="P126" s="1"/>
      <c r="Q126" s="1"/>
      <c r="R126" s="1"/>
      <c r="S126" s="1"/>
    </row>
    <row r="127" spans="1:19" ht="33.75" customHeight="1">
      <c r="A127" s="1" t="s">
        <v>496</v>
      </c>
      <c r="B127" s="1" t="s">
        <v>160</v>
      </c>
      <c r="C127" s="1">
        <v>4</v>
      </c>
      <c r="D127" s="4">
        <v>39847.574305555558</v>
      </c>
      <c r="E127" s="1" t="s">
        <v>14</v>
      </c>
      <c r="F127" s="1"/>
      <c r="G127" s="1"/>
      <c r="H127" s="1"/>
      <c r="I127" s="1"/>
      <c r="J127" s="1"/>
      <c r="K127" s="1"/>
      <c r="L127" s="1"/>
      <c r="M127" s="1"/>
      <c r="N127" s="1"/>
      <c r="O127" s="1"/>
      <c r="P127" s="1"/>
      <c r="Q127" s="1"/>
      <c r="R127" s="1"/>
      <c r="S127" s="1"/>
    </row>
    <row r="128" spans="1:19" ht="33.75" customHeight="1">
      <c r="A128" s="1" t="s">
        <v>500</v>
      </c>
      <c r="B128" s="3" t="s">
        <v>13</v>
      </c>
      <c r="C128" s="3">
        <v>1</v>
      </c>
      <c r="D128" s="4">
        <v>39847.574999999997</v>
      </c>
      <c r="E128" s="1" t="s">
        <v>485</v>
      </c>
      <c r="F128" s="1"/>
      <c r="G128" s="1"/>
      <c r="H128" s="1"/>
      <c r="I128" s="1"/>
      <c r="J128" s="1"/>
      <c r="K128" s="1"/>
      <c r="L128" s="1"/>
      <c r="M128" s="1"/>
      <c r="N128" s="1"/>
      <c r="O128" s="1"/>
      <c r="P128" s="1"/>
      <c r="Q128" s="1"/>
      <c r="R128" s="1"/>
      <c r="S128" s="1"/>
    </row>
    <row r="129" spans="1:19" ht="33.75" customHeight="1">
      <c r="A129" s="1" t="s">
        <v>503</v>
      </c>
      <c r="B129" s="1" t="s">
        <v>160</v>
      </c>
      <c r="C129" s="1">
        <v>4</v>
      </c>
      <c r="D129" s="4">
        <v>39847.585416666669</v>
      </c>
      <c r="E129" s="1" t="s">
        <v>14</v>
      </c>
      <c r="F129" s="1"/>
      <c r="G129" s="1"/>
      <c r="H129" s="1"/>
      <c r="I129" s="1"/>
      <c r="J129" s="1"/>
      <c r="K129" s="1"/>
      <c r="L129" s="1"/>
      <c r="M129" s="1"/>
      <c r="N129" s="1"/>
      <c r="O129" s="1"/>
      <c r="P129" s="1"/>
      <c r="Q129" s="1"/>
      <c r="R129" s="1"/>
      <c r="S129" s="1"/>
    </row>
    <row r="130" spans="1:19" ht="33.75" customHeight="1">
      <c r="A130" s="1" t="s">
        <v>507</v>
      </c>
      <c r="B130" s="1" t="s">
        <v>160</v>
      </c>
      <c r="C130" s="1">
        <v>4</v>
      </c>
      <c r="D130" s="4">
        <v>39847.600694444445</v>
      </c>
      <c r="E130" s="1" t="s">
        <v>14</v>
      </c>
      <c r="F130" s="1"/>
      <c r="G130" s="1"/>
      <c r="H130" s="1"/>
      <c r="I130" s="1"/>
      <c r="J130" s="1"/>
      <c r="K130" s="1"/>
      <c r="L130" s="1"/>
      <c r="M130" s="1"/>
      <c r="N130" s="1"/>
      <c r="O130" s="1"/>
      <c r="P130" s="1"/>
      <c r="Q130" s="1"/>
      <c r="R130" s="1"/>
      <c r="S130" s="1"/>
    </row>
    <row r="131" spans="1:19" ht="33.75" customHeight="1">
      <c r="A131" s="1" t="s">
        <v>509</v>
      </c>
      <c r="B131" s="1" t="s">
        <v>160</v>
      </c>
      <c r="C131" s="1">
        <v>4</v>
      </c>
      <c r="D131" s="4">
        <v>39847.616666666669</v>
      </c>
      <c r="E131" s="1" t="s">
        <v>320</v>
      </c>
      <c r="F131" s="1"/>
      <c r="G131" s="1"/>
      <c r="H131" s="1"/>
      <c r="I131" s="1"/>
      <c r="J131" s="1"/>
      <c r="K131" s="1"/>
      <c r="L131" s="1"/>
      <c r="M131" s="1"/>
      <c r="N131" s="1"/>
      <c r="O131" s="1"/>
      <c r="P131" s="1"/>
      <c r="Q131" s="1"/>
      <c r="R131" s="1"/>
      <c r="S131" s="1"/>
    </row>
    <row r="132" spans="1:19" ht="33.75" customHeight="1">
      <c r="A132" s="1" t="s">
        <v>513</v>
      </c>
      <c r="B132" s="1" t="s">
        <v>160</v>
      </c>
      <c r="C132" s="1">
        <v>4</v>
      </c>
      <c r="D132" s="4">
        <v>39847.636111111111</v>
      </c>
      <c r="E132" s="1" t="s">
        <v>14</v>
      </c>
      <c r="F132" s="1"/>
      <c r="G132" s="1"/>
      <c r="H132" s="1"/>
      <c r="I132" s="1"/>
      <c r="J132" s="1"/>
      <c r="K132" s="1"/>
      <c r="L132" s="1"/>
      <c r="M132" s="1"/>
      <c r="N132" s="1"/>
      <c r="O132" s="1"/>
      <c r="P132" s="1"/>
      <c r="Q132" s="1"/>
      <c r="R132" s="1"/>
      <c r="S132" s="1"/>
    </row>
    <row r="133" spans="1:19" ht="33.75" customHeight="1">
      <c r="A133" s="1" t="s">
        <v>515</v>
      </c>
      <c r="B133" s="1" t="s">
        <v>160</v>
      </c>
      <c r="C133" s="1">
        <v>4</v>
      </c>
      <c r="D133" s="4">
        <v>39847.643055555556</v>
      </c>
      <c r="E133" s="1" t="s">
        <v>14</v>
      </c>
      <c r="F133" s="1"/>
      <c r="G133" s="1"/>
      <c r="H133" s="1"/>
      <c r="I133" s="1"/>
      <c r="J133" s="1"/>
      <c r="K133" s="1"/>
      <c r="L133" s="1"/>
      <c r="M133" s="1"/>
      <c r="N133" s="1"/>
      <c r="O133" s="1"/>
      <c r="P133" s="1"/>
      <c r="Q133" s="1"/>
      <c r="R133" s="1"/>
      <c r="S133" s="1"/>
    </row>
    <row r="134" spans="1:19" ht="33.75" customHeight="1">
      <c r="A134" s="1" t="s">
        <v>519</v>
      </c>
      <c r="B134" s="1" t="s">
        <v>160</v>
      </c>
      <c r="C134" s="1">
        <v>4</v>
      </c>
      <c r="D134" s="4">
        <v>39847.655555555553</v>
      </c>
      <c r="E134" s="1" t="s">
        <v>14</v>
      </c>
      <c r="F134" s="1"/>
      <c r="G134" s="1"/>
      <c r="H134" s="1"/>
      <c r="I134" s="1"/>
      <c r="J134" s="1"/>
      <c r="K134" s="1"/>
      <c r="L134" s="1"/>
      <c r="M134" s="1"/>
      <c r="N134" s="1"/>
      <c r="O134" s="1"/>
      <c r="P134" s="1"/>
      <c r="Q134" s="1"/>
      <c r="R134" s="1"/>
      <c r="S134" s="1"/>
    </row>
    <row r="135" spans="1:19" ht="33.75" customHeight="1">
      <c r="A135" s="1" t="s">
        <v>522</v>
      </c>
      <c r="B135" s="1" t="s">
        <v>160</v>
      </c>
      <c r="C135" s="1">
        <v>4</v>
      </c>
      <c r="D135" s="4">
        <v>39847.662499999999</v>
      </c>
      <c r="E135" s="1" t="s">
        <v>14</v>
      </c>
      <c r="F135" s="1"/>
      <c r="G135" s="1"/>
      <c r="H135" s="1"/>
      <c r="I135" s="1"/>
      <c r="J135" s="1"/>
      <c r="K135" s="1"/>
      <c r="L135" s="1"/>
      <c r="M135" s="1"/>
      <c r="N135" s="1"/>
      <c r="O135" s="1"/>
      <c r="P135" s="1"/>
      <c r="Q135" s="1"/>
      <c r="R135" s="1"/>
      <c r="S135" s="1"/>
    </row>
    <row r="136" spans="1:19" ht="33.75" customHeight="1">
      <c r="A136" s="1" t="s">
        <v>525</v>
      </c>
      <c r="B136" s="3" t="s">
        <v>13</v>
      </c>
      <c r="C136" s="3">
        <v>1</v>
      </c>
      <c r="D136" s="4">
        <v>39847.671527777777</v>
      </c>
      <c r="E136" s="1" t="s">
        <v>526</v>
      </c>
      <c r="F136" s="1"/>
      <c r="G136" s="1"/>
      <c r="H136" s="1"/>
      <c r="I136" s="1"/>
      <c r="J136" s="1"/>
      <c r="K136" s="1"/>
      <c r="L136" s="1"/>
      <c r="M136" s="1"/>
      <c r="N136" s="1"/>
      <c r="O136" s="1"/>
      <c r="P136" s="1"/>
      <c r="Q136" s="1"/>
      <c r="R136" s="1"/>
      <c r="S136" s="1"/>
    </row>
    <row r="137" spans="1:19" ht="33.75" customHeight="1">
      <c r="A137" s="1" t="s">
        <v>530</v>
      </c>
      <c r="B137" s="1" t="s">
        <v>160</v>
      </c>
      <c r="C137" s="1">
        <v>4</v>
      </c>
      <c r="D137" s="4">
        <v>39847.677083333336</v>
      </c>
      <c r="E137" s="1" t="s">
        <v>14</v>
      </c>
      <c r="F137" s="1"/>
      <c r="G137" s="1"/>
      <c r="H137" s="1"/>
      <c r="I137" s="1"/>
      <c r="J137" s="1"/>
      <c r="K137" s="1"/>
      <c r="L137" s="1"/>
      <c r="M137" s="1"/>
      <c r="N137" s="1"/>
      <c r="O137" s="1"/>
      <c r="P137" s="1"/>
      <c r="Q137" s="1"/>
      <c r="R137" s="1"/>
      <c r="S137" s="1"/>
    </row>
    <row r="138" spans="1:19" ht="33.75" customHeight="1">
      <c r="A138" s="1" t="s">
        <v>533</v>
      </c>
      <c r="B138" s="1" t="s">
        <v>160</v>
      </c>
      <c r="C138" s="1">
        <v>4</v>
      </c>
      <c r="D138" s="4">
        <v>39847.700694444444</v>
      </c>
      <c r="E138" s="1" t="s">
        <v>14</v>
      </c>
      <c r="F138" s="1"/>
      <c r="G138" s="1"/>
      <c r="H138" s="1"/>
      <c r="I138" s="1"/>
      <c r="J138" s="1"/>
      <c r="K138" s="1"/>
      <c r="L138" s="1"/>
      <c r="M138" s="1"/>
      <c r="N138" s="1"/>
      <c r="O138" s="1"/>
      <c r="P138" s="1"/>
      <c r="Q138" s="1"/>
      <c r="R138" s="1"/>
      <c r="S138" s="1"/>
    </row>
    <row r="139" spans="1:19" ht="33.75" customHeight="1">
      <c r="A139" s="1" t="s">
        <v>537</v>
      </c>
      <c r="B139" s="1" t="s">
        <v>160</v>
      </c>
      <c r="C139" s="1">
        <v>4</v>
      </c>
      <c r="D139" s="4">
        <v>39847.702777777777</v>
      </c>
      <c r="E139" s="1" t="s">
        <v>393</v>
      </c>
      <c r="F139" s="1"/>
      <c r="G139" s="1"/>
      <c r="H139" s="1"/>
      <c r="I139" s="1"/>
      <c r="J139" s="1"/>
      <c r="K139" s="1"/>
      <c r="L139" s="1"/>
      <c r="M139" s="1"/>
      <c r="N139" s="1"/>
      <c r="O139" s="1"/>
      <c r="P139" s="1"/>
      <c r="Q139" s="1"/>
      <c r="R139" s="1"/>
      <c r="S139" s="1"/>
    </row>
    <row r="140" spans="1:19" ht="33.75" customHeight="1">
      <c r="A140" s="1" t="s">
        <v>540</v>
      </c>
      <c r="B140" s="1" t="s">
        <v>160</v>
      </c>
      <c r="C140" s="1">
        <v>4</v>
      </c>
      <c r="D140" s="4">
        <v>39847.710416666669</v>
      </c>
      <c r="E140" s="1" t="s">
        <v>393</v>
      </c>
      <c r="F140" s="1"/>
      <c r="G140" s="1"/>
      <c r="H140" s="1"/>
      <c r="I140" s="1"/>
      <c r="J140" s="1"/>
      <c r="K140" s="1"/>
      <c r="L140" s="1"/>
      <c r="M140" s="1"/>
      <c r="N140" s="1"/>
      <c r="O140" s="1"/>
      <c r="P140" s="1"/>
      <c r="Q140" s="1"/>
      <c r="R140" s="1"/>
      <c r="S140" s="1"/>
    </row>
    <row r="141" spans="1:19" ht="33.75" customHeight="1">
      <c r="A141" s="1" t="s">
        <v>544</v>
      </c>
      <c r="B141" s="3" t="s">
        <v>13</v>
      </c>
      <c r="C141" s="3">
        <v>1</v>
      </c>
      <c r="D141" s="4">
        <v>39847.726388888892</v>
      </c>
      <c r="E141" s="1" t="s">
        <v>545</v>
      </c>
      <c r="F141" s="1"/>
      <c r="G141" s="1"/>
      <c r="H141" s="1"/>
      <c r="I141" s="1"/>
      <c r="J141" s="1"/>
      <c r="K141" s="1"/>
      <c r="L141" s="1"/>
      <c r="M141" s="1"/>
      <c r="N141" s="1"/>
      <c r="O141" s="1"/>
      <c r="P141" s="1"/>
      <c r="Q141" s="1"/>
      <c r="R141" s="1"/>
      <c r="S141" s="1"/>
    </row>
    <row r="142" spans="1:19" ht="33.75" customHeight="1">
      <c r="A142" s="1" t="s">
        <v>547</v>
      </c>
      <c r="B142" s="1" t="s">
        <v>160</v>
      </c>
      <c r="C142" s="1">
        <v>4</v>
      </c>
      <c r="D142" s="4">
        <v>39847.757638888892</v>
      </c>
      <c r="E142" s="1" t="s">
        <v>14</v>
      </c>
      <c r="F142" s="1"/>
      <c r="G142" s="1"/>
      <c r="H142" s="1"/>
      <c r="I142" s="1"/>
      <c r="J142" s="1"/>
      <c r="K142" s="1"/>
      <c r="L142" s="1"/>
      <c r="M142" s="1"/>
      <c r="N142" s="1"/>
      <c r="O142" s="1"/>
      <c r="P142" s="1"/>
      <c r="Q142" s="1"/>
      <c r="R142" s="1"/>
      <c r="S142" s="1"/>
    </row>
    <row r="143" spans="1:19" ht="33.75" customHeight="1">
      <c r="A143" s="1" t="s">
        <v>550</v>
      </c>
      <c r="B143" s="1" t="s">
        <v>160</v>
      </c>
      <c r="C143" s="1">
        <v>4</v>
      </c>
      <c r="D143" s="4">
        <v>39847.767361111109</v>
      </c>
      <c r="E143" s="1" t="s">
        <v>14</v>
      </c>
      <c r="F143" s="1"/>
      <c r="G143" s="1"/>
      <c r="H143" s="1"/>
      <c r="I143" s="1"/>
      <c r="J143" s="1"/>
      <c r="K143" s="1"/>
      <c r="L143" s="1"/>
      <c r="M143" s="1"/>
      <c r="N143" s="1"/>
      <c r="O143" s="1"/>
      <c r="P143" s="1"/>
      <c r="Q143" s="1"/>
      <c r="R143" s="1"/>
      <c r="S143" s="1"/>
    </row>
    <row r="144" spans="1:19" ht="33.75" customHeight="1">
      <c r="A144" s="1" t="s">
        <v>552</v>
      </c>
      <c r="B144" s="3" t="s">
        <v>13</v>
      </c>
      <c r="C144" s="3">
        <v>1</v>
      </c>
      <c r="D144" s="4">
        <v>39847.768055555556</v>
      </c>
      <c r="E144" s="1" t="s">
        <v>553</v>
      </c>
      <c r="F144" s="1"/>
      <c r="G144" s="1"/>
      <c r="H144" s="1"/>
      <c r="I144" s="1"/>
      <c r="J144" s="1"/>
      <c r="K144" s="1"/>
      <c r="L144" s="1"/>
      <c r="M144" s="1"/>
      <c r="N144" s="1"/>
      <c r="O144" s="1"/>
      <c r="P144" s="1"/>
      <c r="Q144" s="1"/>
      <c r="R144" s="1"/>
      <c r="S144" s="1"/>
    </row>
    <row r="145" spans="1:19" ht="33.75" customHeight="1">
      <c r="A145" s="1" t="s">
        <v>559</v>
      </c>
      <c r="B145" s="1" t="s">
        <v>160</v>
      </c>
      <c r="C145" s="1">
        <v>4</v>
      </c>
      <c r="D145" s="4">
        <v>39847.777083333334</v>
      </c>
      <c r="E145" s="1" t="s">
        <v>14</v>
      </c>
      <c r="F145" s="1"/>
      <c r="G145" s="1"/>
      <c r="H145" s="1"/>
      <c r="I145" s="1"/>
      <c r="J145" s="1"/>
      <c r="K145" s="1"/>
      <c r="L145" s="1"/>
      <c r="M145" s="1"/>
      <c r="N145" s="1"/>
      <c r="O145" s="1"/>
      <c r="P145" s="1"/>
      <c r="Q145" s="1"/>
      <c r="R145" s="1"/>
      <c r="S145" s="1"/>
    </row>
    <row r="146" spans="1:19" ht="33.75" customHeight="1">
      <c r="A146" s="1" t="s">
        <v>561</v>
      </c>
      <c r="B146" s="1" t="s">
        <v>160</v>
      </c>
      <c r="C146" s="1">
        <v>4</v>
      </c>
      <c r="D146" s="4">
        <v>39847.779166666667</v>
      </c>
      <c r="E146" s="1" t="s">
        <v>54</v>
      </c>
      <c r="F146" s="1"/>
      <c r="G146" s="1"/>
      <c r="H146" s="1"/>
      <c r="I146" s="1"/>
      <c r="J146" s="1"/>
      <c r="K146" s="1"/>
      <c r="L146" s="1"/>
      <c r="M146" s="1"/>
      <c r="N146" s="1"/>
      <c r="O146" s="1"/>
      <c r="P146" s="1"/>
      <c r="Q146" s="1"/>
      <c r="R146" s="1"/>
      <c r="S146" s="1"/>
    </row>
    <row r="147" spans="1:19" ht="33.75" customHeight="1">
      <c r="A147" s="1" t="s">
        <v>564</v>
      </c>
      <c r="B147" s="1" t="s">
        <v>160</v>
      </c>
      <c r="C147" s="1">
        <v>4</v>
      </c>
      <c r="D147" s="4">
        <v>39847.781944444447</v>
      </c>
      <c r="E147" s="1" t="s">
        <v>54</v>
      </c>
      <c r="F147" s="1"/>
      <c r="G147" s="1"/>
      <c r="H147" s="1"/>
      <c r="I147" s="1"/>
      <c r="J147" s="1"/>
      <c r="K147" s="1"/>
      <c r="L147" s="1"/>
      <c r="M147" s="1"/>
      <c r="N147" s="1"/>
      <c r="O147" s="1"/>
      <c r="P147" s="1"/>
      <c r="Q147" s="1"/>
      <c r="R147" s="1"/>
      <c r="S147" s="1"/>
    </row>
    <row r="148" spans="1:19" ht="33.75" customHeight="1">
      <c r="A148" s="1" t="s">
        <v>566</v>
      </c>
      <c r="B148" s="1" t="s">
        <v>160</v>
      </c>
      <c r="C148" s="1">
        <v>4</v>
      </c>
      <c r="D148" s="4">
        <v>39847.78402777778</v>
      </c>
      <c r="E148" s="1" t="s">
        <v>14</v>
      </c>
      <c r="F148" s="1"/>
      <c r="G148" s="1"/>
      <c r="H148" s="1"/>
      <c r="I148" s="1"/>
      <c r="J148" s="1"/>
      <c r="K148" s="1"/>
      <c r="L148" s="1"/>
      <c r="M148" s="1"/>
      <c r="N148" s="1"/>
      <c r="O148" s="1"/>
      <c r="P148" s="1"/>
      <c r="Q148" s="1"/>
      <c r="R148" s="1"/>
      <c r="S148" s="1"/>
    </row>
    <row r="149" spans="1:19" ht="33.75" customHeight="1">
      <c r="A149" s="1" t="s">
        <v>569</v>
      </c>
      <c r="B149" s="1" t="s">
        <v>160</v>
      </c>
      <c r="C149" s="1">
        <v>4</v>
      </c>
      <c r="D149" s="4">
        <v>39847.786805555559</v>
      </c>
      <c r="E149" s="1" t="s">
        <v>14</v>
      </c>
      <c r="F149" s="1"/>
      <c r="G149" s="1"/>
      <c r="H149" s="1"/>
      <c r="I149" s="1"/>
      <c r="J149" s="1"/>
      <c r="K149" s="1"/>
      <c r="L149" s="1"/>
      <c r="M149" s="1"/>
      <c r="N149" s="1"/>
      <c r="O149" s="1"/>
      <c r="P149" s="1"/>
      <c r="Q149" s="1"/>
      <c r="R149" s="1"/>
      <c r="S149" s="1"/>
    </row>
    <row r="150" spans="1:19" ht="33.75" customHeight="1">
      <c r="A150" s="1" t="s">
        <v>571</v>
      </c>
      <c r="B150" s="1" t="s">
        <v>160</v>
      </c>
      <c r="C150" s="1">
        <v>4</v>
      </c>
      <c r="D150" s="4">
        <v>39847.796527777777</v>
      </c>
      <c r="E150" s="1" t="s">
        <v>393</v>
      </c>
      <c r="F150" s="1"/>
      <c r="G150" s="1"/>
      <c r="H150" s="1"/>
      <c r="I150" s="1"/>
      <c r="J150" s="1"/>
      <c r="K150" s="1"/>
      <c r="L150" s="1"/>
      <c r="M150" s="1"/>
      <c r="N150" s="1"/>
      <c r="O150" s="1"/>
      <c r="P150" s="1"/>
      <c r="Q150" s="1"/>
      <c r="R150" s="1"/>
      <c r="S150" s="1"/>
    </row>
    <row r="151" spans="1:19" ht="33.75" customHeight="1">
      <c r="A151" s="1" t="s">
        <v>574</v>
      </c>
      <c r="B151" s="1" t="s">
        <v>160</v>
      </c>
      <c r="C151" s="1">
        <v>4</v>
      </c>
      <c r="D151" s="4">
        <v>39847.807638888888</v>
      </c>
      <c r="E151" s="1" t="s">
        <v>320</v>
      </c>
      <c r="F151" s="1"/>
      <c r="G151" s="1"/>
      <c r="H151" s="1"/>
      <c r="I151" s="1"/>
      <c r="J151" s="1"/>
      <c r="K151" s="1"/>
      <c r="L151" s="1"/>
      <c r="M151" s="1"/>
      <c r="N151" s="1"/>
      <c r="O151" s="1"/>
      <c r="P151" s="1"/>
      <c r="Q151" s="1"/>
      <c r="R151" s="1"/>
      <c r="S151" s="1"/>
    </row>
    <row r="152" spans="1:19" ht="33.75" customHeight="1">
      <c r="A152" s="1" t="s">
        <v>578</v>
      </c>
      <c r="B152" s="1" t="s">
        <v>160</v>
      </c>
      <c r="C152" s="1">
        <v>4</v>
      </c>
      <c r="D152" s="4">
        <v>39847.822916666664</v>
      </c>
      <c r="E152" s="1" t="s">
        <v>416</v>
      </c>
      <c r="F152" s="1"/>
      <c r="G152" s="1"/>
      <c r="H152" s="1"/>
      <c r="I152" s="1"/>
      <c r="J152" s="1"/>
      <c r="K152" s="1"/>
      <c r="L152" s="1"/>
      <c r="M152" s="1"/>
      <c r="N152" s="1"/>
      <c r="O152" s="1"/>
      <c r="P152" s="1"/>
      <c r="Q152" s="1"/>
      <c r="R152" s="1"/>
      <c r="S152" s="1"/>
    </row>
    <row r="153" spans="1:19" ht="33.75" customHeight="1">
      <c r="A153" s="1" t="s">
        <v>580</v>
      </c>
      <c r="B153" s="1" t="s">
        <v>160</v>
      </c>
      <c r="C153" s="1">
        <v>4</v>
      </c>
      <c r="D153" s="4">
        <v>39847.841666666667</v>
      </c>
      <c r="E153" s="1" t="s">
        <v>54</v>
      </c>
      <c r="F153" s="1"/>
      <c r="G153" s="1"/>
      <c r="H153" s="1"/>
      <c r="I153" s="1"/>
      <c r="J153" s="1"/>
      <c r="K153" s="1"/>
      <c r="L153" s="1"/>
      <c r="M153" s="1"/>
      <c r="N153" s="1"/>
      <c r="O153" s="1"/>
      <c r="P153" s="1"/>
      <c r="Q153" s="1"/>
      <c r="R153" s="1"/>
      <c r="S153" s="1"/>
    </row>
    <row r="154" spans="1:19" ht="33.75" customHeight="1">
      <c r="A154" s="1" t="s">
        <v>583</v>
      </c>
      <c r="B154" s="3" t="s">
        <v>13</v>
      </c>
      <c r="C154" s="3">
        <v>1</v>
      </c>
      <c r="D154" s="4">
        <v>39847.845138888886</v>
      </c>
      <c r="E154" s="1" t="s">
        <v>584</v>
      </c>
      <c r="F154" s="1"/>
      <c r="G154" s="1"/>
      <c r="H154" s="1"/>
      <c r="I154" s="1"/>
      <c r="J154" s="1"/>
      <c r="K154" s="1"/>
      <c r="L154" s="1"/>
      <c r="M154" s="1"/>
      <c r="N154" s="1"/>
      <c r="O154" s="1"/>
      <c r="P154" s="1"/>
      <c r="Q154" s="1"/>
      <c r="R154" s="1"/>
      <c r="S154" s="1"/>
    </row>
    <row r="155" spans="1:19" ht="33.75" customHeight="1">
      <c r="A155" s="1" t="s">
        <v>588</v>
      </c>
      <c r="B155" s="1" t="s">
        <v>160</v>
      </c>
      <c r="C155" s="1">
        <v>4</v>
      </c>
      <c r="D155" s="4">
        <v>39847.855555555558</v>
      </c>
      <c r="E155" s="1" t="s">
        <v>54</v>
      </c>
      <c r="F155" s="1"/>
      <c r="G155" s="1"/>
      <c r="H155" s="1"/>
      <c r="I155" s="1"/>
      <c r="J155" s="1"/>
      <c r="K155" s="1"/>
      <c r="L155" s="1"/>
      <c r="M155" s="1"/>
      <c r="N155" s="1"/>
      <c r="O155" s="1"/>
      <c r="P155" s="1"/>
      <c r="Q155" s="1"/>
      <c r="R155" s="1"/>
      <c r="S155" s="1"/>
    </row>
    <row r="156" spans="1:19" ht="33.75" customHeight="1">
      <c r="A156" s="1" t="s">
        <v>592</v>
      </c>
      <c r="B156" s="1" t="s">
        <v>160</v>
      </c>
      <c r="C156" s="1">
        <v>4</v>
      </c>
      <c r="D156" s="4">
        <v>39847.877083333333</v>
      </c>
      <c r="E156" s="1" t="s">
        <v>54</v>
      </c>
      <c r="F156" s="1"/>
      <c r="G156" s="1"/>
      <c r="H156" s="1"/>
      <c r="I156" s="1"/>
      <c r="J156" s="1"/>
      <c r="K156" s="1"/>
      <c r="L156" s="1"/>
      <c r="M156" s="1"/>
      <c r="N156" s="1"/>
      <c r="O156" s="1"/>
      <c r="P156" s="1"/>
      <c r="Q156" s="1"/>
      <c r="R156" s="1"/>
      <c r="S156" s="1"/>
    </row>
    <row r="157" spans="1:19" ht="33.75" customHeight="1">
      <c r="A157" s="1" t="s">
        <v>595</v>
      </c>
      <c r="B157" s="3" t="s">
        <v>13</v>
      </c>
      <c r="C157" s="3">
        <v>1</v>
      </c>
      <c r="D157" s="4">
        <v>39847.879166666666</v>
      </c>
      <c r="E157" s="1" t="s">
        <v>596</v>
      </c>
      <c r="F157" s="1"/>
      <c r="G157" s="1"/>
      <c r="H157" s="1"/>
      <c r="I157" s="1"/>
      <c r="J157" s="1"/>
      <c r="K157" s="1"/>
      <c r="L157" s="1"/>
      <c r="M157" s="1"/>
      <c r="N157" s="1"/>
      <c r="O157" s="1"/>
      <c r="P157" s="1"/>
      <c r="Q157" s="1"/>
      <c r="R157" s="1"/>
      <c r="S157" s="1"/>
    </row>
    <row r="158" spans="1:19" ht="33.75" customHeight="1">
      <c r="A158" s="1" t="s">
        <v>599</v>
      </c>
      <c r="B158" s="1" t="s">
        <v>156</v>
      </c>
      <c r="C158" s="1">
        <v>3</v>
      </c>
      <c r="D158" s="4">
        <v>39847.943055555559</v>
      </c>
      <c r="E158" s="1" t="s">
        <v>14</v>
      </c>
      <c r="F158" s="1"/>
      <c r="G158" s="1"/>
      <c r="H158" s="1"/>
      <c r="I158" s="1"/>
      <c r="J158" s="1"/>
      <c r="K158" s="1"/>
      <c r="L158" s="1"/>
      <c r="M158" s="1"/>
      <c r="N158" s="1"/>
      <c r="O158" s="1"/>
      <c r="P158" s="1"/>
      <c r="Q158" s="1"/>
      <c r="R158" s="1"/>
      <c r="S158" s="1"/>
    </row>
    <row r="159" spans="1:19" ht="33.75" customHeight="1">
      <c r="A159" s="1" t="s">
        <v>602</v>
      </c>
      <c r="B159" s="1" t="s">
        <v>160</v>
      </c>
      <c r="C159" s="1">
        <v>4</v>
      </c>
      <c r="D159" s="4">
        <v>39847.954861111109</v>
      </c>
      <c r="E159" s="1" t="s">
        <v>14</v>
      </c>
      <c r="F159" s="1"/>
      <c r="G159" s="1"/>
      <c r="H159" s="1"/>
      <c r="I159" s="1"/>
      <c r="J159" s="1"/>
      <c r="K159" s="1"/>
      <c r="L159" s="1"/>
      <c r="M159" s="1"/>
      <c r="N159" s="1"/>
      <c r="O159" s="1"/>
      <c r="P159" s="1"/>
      <c r="Q159" s="1"/>
      <c r="R159" s="1"/>
      <c r="S159" s="1"/>
    </row>
    <row r="160" spans="1:19" ht="33.75" customHeight="1">
      <c r="A160" s="1" t="s">
        <v>605</v>
      </c>
      <c r="B160" s="1" t="s">
        <v>160</v>
      </c>
      <c r="C160" s="1">
        <v>4</v>
      </c>
      <c r="D160" s="4">
        <v>39847.970833333333</v>
      </c>
      <c r="E160" s="1" t="s">
        <v>14</v>
      </c>
      <c r="F160" s="1"/>
      <c r="G160" s="1"/>
      <c r="H160" s="1"/>
      <c r="I160" s="1"/>
      <c r="J160" s="1"/>
      <c r="K160" s="1"/>
      <c r="L160" s="1"/>
      <c r="M160" s="1"/>
      <c r="N160" s="1"/>
      <c r="O160" s="1"/>
      <c r="P160" s="1"/>
      <c r="Q160" s="1"/>
      <c r="R160" s="1"/>
      <c r="S160" s="1"/>
    </row>
    <row r="161" spans="1:19" ht="33.75" customHeight="1">
      <c r="A161" s="1" t="s">
        <v>608</v>
      </c>
      <c r="B161" s="1" t="s">
        <v>160</v>
      </c>
      <c r="C161" s="1">
        <v>4</v>
      </c>
      <c r="D161" s="4">
        <v>39847.995138888888</v>
      </c>
      <c r="E161" s="1" t="s">
        <v>14</v>
      </c>
      <c r="F161" s="1"/>
      <c r="G161" s="1"/>
      <c r="H161" s="1"/>
      <c r="I161" s="1"/>
      <c r="J161" s="1"/>
      <c r="K161" s="1"/>
      <c r="L161" s="1"/>
      <c r="M161" s="1"/>
      <c r="N161" s="1"/>
      <c r="O161" s="1"/>
      <c r="P161" s="1"/>
      <c r="Q161" s="1"/>
      <c r="R161" s="1"/>
      <c r="S161" s="1"/>
    </row>
    <row r="162" spans="1:19" ht="33.75" customHeight="1">
      <c r="A162" s="1" t="s">
        <v>612</v>
      </c>
      <c r="B162" s="1" t="s">
        <v>160</v>
      </c>
      <c r="C162" s="1">
        <v>4</v>
      </c>
      <c r="D162" s="4">
        <v>39848.001388888886</v>
      </c>
      <c r="E162" s="1" t="s">
        <v>474</v>
      </c>
      <c r="F162" s="1"/>
      <c r="G162" s="1"/>
      <c r="H162" s="1"/>
      <c r="I162" s="1"/>
      <c r="J162" s="1"/>
      <c r="K162" s="1"/>
      <c r="L162" s="1"/>
      <c r="M162" s="1"/>
      <c r="N162" s="1"/>
      <c r="O162" s="1"/>
      <c r="P162" s="1"/>
      <c r="Q162" s="1"/>
      <c r="R162" s="1"/>
      <c r="S162" s="1"/>
    </row>
    <row r="163" spans="1:19" ht="33.75" customHeight="1">
      <c r="A163" s="1" t="s">
        <v>616</v>
      </c>
      <c r="B163" s="1" t="s">
        <v>156</v>
      </c>
      <c r="C163" s="1">
        <v>3</v>
      </c>
      <c r="D163" s="4">
        <v>39848.004166666666</v>
      </c>
      <c r="E163" s="1" t="s">
        <v>101</v>
      </c>
      <c r="F163" s="1"/>
      <c r="G163" s="1"/>
      <c r="H163" s="1"/>
      <c r="I163" s="1"/>
      <c r="J163" s="1"/>
      <c r="K163" s="1"/>
      <c r="L163" s="1"/>
      <c r="M163" s="1"/>
      <c r="N163" s="1"/>
      <c r="O163" s="1"/>
      <c r="P163" s="1"/>
      <c r="Q163" s="1"/>
      <c r="R163" s="1"/>
      <c r="S163" s="1"/>
    </row>
    <row r="164" spans="1:19" ht="33.75" customHeight="1">
      <c r="A164" s="1" t="s">
        <v>619</v>
      </c>
      <c r="B164" s="1" t="s">
        <v>160</v>
      </c>
      <c r="C164" s="1">
        <v>4</v>
      </c>
      <c r="D164" s="4">
        <v>39848.013194444444</v>
      </c>
      <c r="E164" s="1" t="s">
        <v>14</v>
      </c>
      <c r="F164" s="1"/>
      <c r="G164" s="1"/>
      <c r="H164" s="1"/>
      <c r="I164" s="1"/>
      <c r="J164" s="1"/>
      <c r="K164" s="1"/>
      <c r="L164" s="1"/>
      <c r="M164" s="1"/>
      <c r="N164" s="1"/>
      <c r="O164" s="1"/>
      <c r="P164" s="1"/>
      <c r="Q164" s="1"/>
      <c r="R164" s="1"/>
      <c r="S164" s="1"/>
    </row>
    <row r="165" spans="1:19" ht="33.75" customHeight="1">
      <c r="A165" s="1" t="s">
        <v>622</v>
      </c>
      <c r="B165" s="1" t="s">
        <v>160</v>
      </c>
      <c r="C165" s="1">
        <v>4</v>
      </c>
      <c r="D165" s="4">
        <v>39848.030555555553</v>
      </c>
      <c r="E165" s="1" t="s">
        <v>320</v>
      </c>
      <c r="F165" s="1"/>
      <c r="G165" s="1"/>
      <c r="H165" s="1"/>
      <c r="I165" s="1"/>
      <c r="J165" s="1"/>
      <c r="K165" s="1"/>
      <c r="L165" s="1"/>
      <c r="M165" s="1"/>
      <c r="N165" s="1"/>
      <c r="O165" s="1"/>
      <c r="P165" s="1"/>
      <c r="Q165" s="1"/>
      <c r="R165" s="1"/>
      <c r="S165" s="1"/>
    </row>
    <row r="166" spans="1:19" ht="33.75" customHeight="1">
      <c r="A166" s="1" t="s">
        <v>626</v>
      </c>
      <c r="B166" s="1" t="s">
        <v>160</v>
      </c>
      <c r="C166" s="1">
        <v>4</v>
      </c>
      <c r="D166" s="4">
        <v>39848.031944444447</v>
      </c>
      <c r="E166" s="1" t="s">
        <v>196</v>
      </c>
      <c r="F166" s="1"/>
      <c r="G166" s="1"/>
      <c r="H166" s="1"/>
      <c r="I166" s="1"/>
      <c r="J166" s="1"/>
      <c r="K166" s="1"/>
      <c r="L166" s="1"/>
      <c r="M166" s="1"/>
      <c r="N166" s="1"/>
      <c r="O166" s="1"/>
      <c r="P166" s="1"/>
      <c r="Q166" s="1"/>
      <c r="R166" s="1"/>
      <c r="S166" s="1"/>
    </row>
    <row r="167" spans="1:19" ht="33.75" customHeight="1">
      <c r="A167" s="1" t="s">
        <v>628</v>
      </c>
      <c r="B167" s="1" t="s">
        <v>160</v>
      </c>
      <c r="C167" s="1">
        <v>4</v>
      </c>
      <c r="D167" s="4">
        <v>39848.040972222225</v>
      </c>
      <c r="E167" s="1" t="s">
        <v>320</v>
      </c>
      <c r="F167" s="1"/>
      <c r="G167" s="1"/>
      <c r="H167" s="1"/>
      <c r="I167" s="1"/>
      <c r="J167" s="1"/>
      <c r="K167" s="1"/>
      <c r="L167" s="1"/>
      <c r="M167" s="1"/>
      <c r="N167" s="1"/>
      <c r="O167" s="1"/>
      <c r="P167" s="1"/>
      <c r="Q167" s="1"/>
      <c r="R167" s="1"/>
      <c r="S167" s="1"/>
    </row>
    <row r="168" spans="1:19" ht="33.75" customHeight="1">
      <c r="A168" s="1" t="s">
        <v>631</v>
      </c>
      <c r="B168" s="1" t="s">
        <v>160</v>
      </c>
      <c r="C168" s="1">
        <v>4</v>
      </c>
      <c r="D168" s="4">
        <v>39848.043749999997</v>
      </c>
      <c r="E168" s="1" t="s">
        <v>14</v>
      </c>
      <c r="F168" s="1"/>
      <c r="G168" s="1"/>
      <c r="H168" s="1"/>
      <c r="I168" s="1"/>
      <c r="J168" s="1"/>
      <c r="K168" s="1"/>
      <c r="L168" s="1"/>
      <c r="M168" s="1"/>
      <c r="N168" s="1"/>
      <c r="O168" s="1"/>
      <c r="P168" s="1"/>
      <c r="Q168" s="1"/>
      <c r="R168" s="1"/>
      <c r="S168" s="1"/>
    </row>
    <row r="169" spans="1:19" ht="33.75" customHeight="1">
      <c r="A169" s="1" t="s">
        <v>634</v>
      </c>
      <c r="B169" s="1" t="s">
        <v>160</v>
      </c>
      <c r="C169" s="1">
        <v>4</v>
      </c>
      <c r="D169" s="4">
        <v>39848.050694444442</v>
      </c>
      <c r="E169" s="1" t="s">
        <v>14</v>
      </c>
      <c r="F169" s="1"/>
      <c r="G169" s="1"/>
      <c r="H169" s="1"/>
      <c r="I169" s="1"/>
      <c r="J169" s="1"/>
      <c r="K169" s="1"/>
      <c r="L169" s="1"/>
      <c r="M169" s="1"/>
      <c r="N169" s="1"/>
      <c r="O169" s="1"/>
      <c r="P169" s="1"/>
      <c r="Q169" s="1"/>
      <c r="R169" s="1"/>
      <c r="S169" s="1"/>
    </row>
    <row r="170" spans="1:19" ht="33.75" customHeight="1">
      <c r="A170" s="1" t="s">
        <v>637</v>
      </c>
      <c r="B170" s="1" t="s">
        <v>160</v>
      </c>
      <c r="C170" s="1">
        <v>4</v>
      </c>
      <c r="D170" s="4">
        <v>39848.077777777777</v>
      </c>
      <c r="E170" s="1" t="s">
        <v>14</v>
      </c>
      <c r="F170" s="1"/>
      <c r="G170" s="1"/>
      <c r="H170" s="1"/>
      <c r="I170" s="1"/>
      <c r="J170" s="1"/>
      <c r="K170" s="1"/>
      <c r="L170" s="1"/>
      <c r="M170" s="1"/>
      <c r="N170" s="1"/>
      <c r="O170" s="1"/>
      <c r="P170" s="1"/>
      <c r="Q170" s="1"/>
      <c r="R170" s="1"/>
      <c r="S170" s="1"/>
    </row>
    <row r="171" spans="1:19" ht="33.75" customHeight="1">
      <c r="A171" s="1" t="s">
        <v>639</v>
      </c>
      <c r="B171" s="1" t="s">
        <v>160</v>
      </c>
      <c r="C171" s="1">
        <v>4</v>
      </c>
      <c r="D171" s="4">
        <v>39848.131944444445</v>
      </c>
      <c r="E171" s="1" t="s">
        <v>320</v>
      </c>
      <c r="F171" s="1"/>
      <c r="G171" s="1"/>
      <c r="H171" s="1"/>
      <c r="I171" s="1"/>
      <c r="J171" s="1"/>
      <c r="K171" s="1"/>
      <c r="L171" s="1"/>
      <c r="M171" s="1"/>
      <c r="N171" s="1"/>
      <c r="O171" s="1"/>
      <c r="P171" s="1"/>
      <c r="Q171" s="1"/>
      <c r="R171" s="1"/>
      <c r="S171" s="1"/>
    </row>
    <row r="172" spans="1:19" ht="33.75" customHeight="1">
      <c r="A172" s="1" t="s">
        <v>642</v>
      </c>
      <c r="B172" s="1" t="s">
        <v>160</v>
      </c>
      <c r="C172" s="1">
        <v>4</v>
      </c>
      <c r="D172" s="4">
        <v>39848.149305555555</v>
      </c>
      <c r="E172" s="1" t="s">
        <v>54</v>
      </c>
      <c r="F172" s="1"/>
      <c r="G172" s="1"/>
      <c r="H172" s="1"/>
      <c r="I172" s="1"/>
      <c r="J172" s="1"/>
      <c r="K172" s="1"/>
      <c r="L172" s="1"/>
      <c r="M172" s="1"/>
      <c r="N172" s="1"/>
      <c r="O172" s="1"/>
      <c r="P172" s="1"/>
      <c r="Q172" s="1"/>
      <c r="R172" s="1"/>
      <c r="S172" s="1"/>
    </row>
    <row r="173" spans="1:19" ht="33.75" customHeight="1">
      <c r="A173" s="1" t="s">
        <v>646</v>
      </c>
      <c r="B173" s="1" t="s">
        <v>160</v>
      </c>
      <c r="C173" s="1">
        <v>4</v>
      </c>
      <c r="D173" s="4">
        <v>39848.154861111114</v>
      </c>
      <c r="E173" s="1" t="s">
        <v>54</v>
      </c>
      <c r="F173" s="1"/>
      <c r="G173" s="1"/>
      <c r="H173" s="1"/>
      <c r="I173" s="1"/>
      <c r="J173" s="1"/>
      <c r="K173" s="1"/>
      <c r="L173" s="1"/>
      <c r="M173" s="1"/>
      <c r="N173" s="1"/>
      <c r="O173" s="1"/>
      <c r="P173" s="1"/>
      <c r="Q173" s="1"/>
      <c r="R173" s="1"/>
      <c r="S173" s="1"/>
    </row>
    <row r="174" spans="1:19" ht="33.75" customHeight="1">
      <c r="A174" s="1" t="s">
        <v>648</v>
      </c>
      <c r="B174" s="1" t="s">
        <v>160</v>
      </c>
      <c r="C174" s="1">
        <v>4</v>
      </c>
      <c r="D174" s="4">
        <v>39848.161111111112</v>
      </c>
      <c r="E174" s="1" t="s">
        <v>54</v>
      </c>
      <c r="F174" s="1"/>
      <c r="G174" s="1"/>
      <c r="H174" s="1"/>
      <c r="I174" s="1"/>
      <c r="J174" s="1"/>
      <c r="K174" s="1"/>
      <c r="L174" s="1"/>
      <c r="M174" s="1"/>
      <c r="N174" s="1"/>
      <c r="O174" s="1"/>
      <c r="P174" s="1"/>
      <c r="Q174" s="1"/>
      <c r="R174" s="1"/>
      <c r="S174" s="1"/>
    </row>
    <row r="175" spans="1:19" ht="33.75" customHeight="1">
      <c r="A175" s="1" t="s">
        <v>651</v>
      </c>
      <c r="B175" s="1" t="s">
        <v>160</v>
      </c>
      <c r="C175" s="1">
        <v>4</v>
      </c>
      <c r="D175" s="4">
        <v>39848.165277777778</v>
      </c>
      <c r="E175" s="1" t="s">
        <v>320</v>
      </c>
      <c r="F175" s="1"/>
      <c r="G175" s="1"/>
      <c r="H175" s="1"/>
      <c r="I175" s="1"/>
      <c r="J175" s="1"/>
      <c r="K175" s="1"/>
      <c r="L175" s="1"/>
      <c r="M175" s="1"/>
      <c r="N175" s="1"/>
      <c r="O175" s="1"/>
      <c r="P175" s="1"/>
      <c r="Q175" s="1"/>
      <c r="R175" s="1"/>
      <c r="S175" s="1"/>
    </row>
    <row r="176" spans="1:19" ht="33.75" customHeight="1">
      <c r="A176" s="1" t="s">
        <v>653</v>
      </c>
      <c r="B176" s="1" t="s">
        <v>160</v>
      </c>
      <c r="C176" s="1">
        <v>4</v>
      </c>
      <c r="D176" s="4">
        <v>39848.170138888891</v>
      </c>
      <c r="E176" s="1" t="s">
        <v>54</v>
      </c>
      <c r="F176" s="1"/>
      <c r="G176" s="1"/>
      <c r="H176" s="1"/>
      <c r="I176" s="1"/>
      <c r="J176" s="1"/>
      <c r="K176" s="1"/>
      <c r="L176" s="1"/>
      <c r="M176" s="1"/>
      <c r="N176" s="1"/>
      <c r="O176" s="1"/>
      <c r="P176" s="1"/>
      <c r="Q176" s="1"/>
      <c r="R176" s="1"/>
      <c r="S176" s="1"/>
    </row>
    <row r="177" spans="1:19" ht="33.75" customHeight="1">
      <c r="A177" s="1" t="s">
        <v>655</v>
      </c>
      <c r="B177" s="1" t="s">
        <v>160</v>
      </c>
      <c r="C177" s="1">
        <v>4</v>
      </c>
      <c r="D177" s="4">
        <v>39848.401388888888</v>
      </c>
      <c r="E177" s="1" t="s">
        <v>14</v>
      </c>
      <c r="F177" s="1"/>
      <c r="G177" s="1"/>
      <c r="H177" s="1"/>
      <c r="I177" s="1"/>
      <c r="J177" s="1"/>
      <c r="K177" s="1"/>
      <c r="L177" s="1"/>
      <c r="M177" s="1"/>
      <c r="N177" s="1"/>
      <c r="O177" s="1"/>
      <c r="P177" s="1"/>
      <c r="Q177" s="1"/>
      <c r="R177" s="1"/>
      <c r="S177" s="1"/>
    </row>
    <row r="178" spans="1:19" ht="33.75" customHeight="1">
      <c r="A178" s="1" t="s">
        <v>658</v>
      </c>
      <c r="B178" s="1" t="s">
        <v>160</v>
      </c>
      <c r="C178" s="1">
        <v>4</v>
      </c>
      <c r="D178" s="4">
        <v>39848.410416666666</v>
      </c>
      <c r="E178" s="1" t="s">
        <v>196</v>
      </c>
      <c r="F178" s="1"/>
      <c r="G178" s="1"/>
      <c r="H178" s="1"/>
      <c r="I178" s="1"/>
      <c r="J178" s="1"/>
      <c r="K178" s="1"/>
      <c r="L178" s="1"/>
      <c r="M178" s="1"/>
      <c r="N178" s="1"/>
      <c r="O178" s="1"/>
      <c r="P178" s="1"/>
      <c r="Q178" s="1"/>
      <c r="R178" s="1"/>
      <c r="S178" s="1"/>
    </row>
    <row r="179" spans="1:19" ht="33.75" customHeight="1">
      <c r="A179" s="1" t="s">
        <v>660</v>
      </c>
      <c r="B179" s="1" t="s">
        <v>160</v>
      </c>
      <c r="C179" s="1">
        <v>4</v>
      </c>
      <c r="D179" s="4">
        <v>39848.412499999999</v>
      </c>
      <c r="E179" s="1" t="s">
        <v>196</v>
      </c>
      <c r="F179" s="1"/>
      <c r="G179" s="1"/>
      <c r="H179" s="1"/>
      <c r="I179" s="1"/>
      <c r="J179" s="1"/>
      <c r="K179" s="1"/>
      <c r="L179" s="1"/>
      <c r="M179" s="1"/>
      <c r="N179" s="1"/>
      <c r="O179" s="1"/>
      <c r="P179" s="1"/>
      <c r="Q179" s="1"/>
      <c r="R179" s="1"/>
      <c r="S179" s="1"/>
    </row>
    <row r="180" spans="1:19" ht="33.75" customHeight="1">
      <c r="A180" s="1" t="s">
        <v>663</v>
      </c>
      <c r="B180" s="1" t="s">
        <v>160</v>
      </c>
      <c r="C180" s="1">
        <v>4</v>
      </c>
      <c r="D180" s="4">
        <v>39848.416666666664</v>
      </c>
      <c r="E180" s="1" t="s">
        <v>14</v>
      </c>
      <c r="F180" s="1"/>
      <c r="G180" s="1"/>
      <c r="H180" s="1"/>
      <c r="I180" s="1"/>
      <c r="J180" s="1"/>
      <c r="K180" s="1"/>
      <c r="L180" s="1"/>
      <c r="M180" s="1"/>
      <c r="N180" s="1"/>
      <c r="O180" s="1"/>
      <c r="P180" s="1"/>
      <c r="Q180" s="1"/>
      <c r="R180" s="1"/>
      <c r="S180" s="1"/>
    </row>
    <row r="181" spans="1:19" ht="33.75" customHeight="1">
      <c r="A181" s="1" t="s">
        <v>667</v>
      </c>
      <c r="B181" s="1" t="s">
        <v>160</v>
      </c>
      <c r="C181" s="1">
        <v>4</v>
      </c>
      <c r="D181" s="4">
        <v>39848.458333333336</v>
      </c>
      <c r="E181" s="1" t="s">
        <v>14</v>
      </c>
      <c r="F181" s="1"/>
      <c r="G181" s="1"/>
      <c r="H181" s="1"/>
      <c r="I181" s="1"/>
      <c r="J181" s="1"/>
      <c r="K181" s="1"/>
      <c r="L181" s="1"/>
      <c r="M181" s="1"/>
      <c r="N181" s="1"/>
      <c r="O181" s="1"/>
      <c r="P181" s="1"/>
      <c r="Q181" s="1"/>
      <c r="R181" s="1"/>
      <c r="S181" s="1"/>
    </row>
    <row r="182" spans="1:19" ht="33.75" customHeight="1">
      <c r="A182" s="1" t="s">
        <v>669</v>
      </c>
      <c r="B182" s="1" t="s">
        <v>160</v>
      </c>
      <c r="C182" s="1">
        <v>4</v>
      </c>
      <c r="D182" s="4">
        <v>39848.470138888886</v>
      </c>
      <c r="E182" s="1" t="s">
        <v>14</v>
      </c>
      <c r="F182" s="1"/>
      <c r="G182" s="1"/>
      <c r="H182" s="1"/>
      <c r="I182" s="1"/>
      <c r="J182" s="1"/>
      <c r="K182" s="1"/>
      <c r="L182" s="1"/>
      <c r="M182" s="1"/>
      <c r="N182" s="1"/>
      <c r="O182" s="1"/>
      <c r="P182" s="1"/>
      <c r="Q182" s="1"/>
      <c r="R182" s="1"/>
      <c r="S182" s="1"/>
    </row>
    <row r="183" spans="1:19" ht="33.75" customHeight="1">
      <c r="A183" s="1" t="s">
        <v>671</v>
      </c>
      <c r="B183" s="1" t="s">
        <v>160</v>
      </c>
      <c r="C183" s="1">
        <v>4</v>
      </c>
      <c r="D183" s="4">
        <v>39848.479861111111</v>
      </c>
      <c r="E183" s="1" t="s">
        <v>14</v>
      </c>
      <c r="F183" s="1"/>
      <c r="G183" s="1"/>
      <c r="H183" s="1"/>
      <c r="I183" s="1"/>
      <c r="J183" s="1"/>
      <c r="K183" s="1"/>
      <c r="L183" s="1"/>
      <c r="M183" s="1"/>
      <c r="N183" s="1"/>
      <c r="O183" s="1"/>
      <c r="P183" s="1"/>
      <c r="Q183" s="1"/>
      <c r="R183" s="1"/>
      <c r="S183" s="1"/>
    </row>
    <row r="184" spans="1:19" ht="33.75" customHeight="1">
      <c r="A184" s="1" t="s">
        <v>676</v>
      </c>
      <c r="B184" s="1" t="s">
        <v>160</v>
      </c>
      <c r="C184" s="1">
        <v>4</v>
      </c>
      <c r="D184" s="4">
        <v>39848.49722222222</v>
      </c>
      <c r="E184" s="1" t="s">
        <v>14</v>
      </c>
      <c r="F184" s="1"/>
      <c r="G184" s="1"/>
      <c r="H184" s="1"/>
      <c r="I184" s="1"/>
      <c r="J184" s="1"/>
      <c r="K184" s="1"/>
      <c r="L184" s="1"/>
      <c r="M184" s="1"/>
      <c r="N184" s="1"/>
      <c r="O184" s="1"/>
      <c r="P184" s="1"/>
      <c r="Q184" s="1"/>
      <c r="R184" s="1"/>
      <c r="S184" s="1"/>
    </row>
    <row r="185" spans="1:19" ht="33.75" customHeight="1">
      <c r="A185" s="1" t="s">
        <v>12</v>
      </c>
      <c r="B185" s="1" t="s">
        <v>680</v>
      </c>
      <c r="C185" s="1">
        <v>7</v>
      </c>
      <c r="D185" s="4">
        <v>39848.504895833335</v>
      </c>
      <c r="E185" s="1" t="s">
        <v>14</v>
      </c>
      <c r="F185" s="1"/>
      <c r="G185" s="1"/>
      <c r="H185" s="1"/>
      <c r="I185" s="1"/>
      <c r="J185" s="1"/>
      <c r="K185" s="1"/>
      <c r="L185" s="1"/>
      <c r="M185" s="1"/>
      <c r="N185" s="1"/>
      <c r="O185" s="1"/>
      <c r="P185" s="1"/>
      <c r="Q185" s="1"/>
      <c r="R185" s="1"/>
      <c r="S185" s="1"/>
    </row>
    <row r="186" spans="1:19" ht="33.75" customHeight="1">
      <c r="A186" s="1" t="s">
        <v>683</v>
      </c>
      <c r="B186" s="1" t="s">
        <v>160</v>
      </c>
      <c r="C186" s="1">
        <v>4</v>
      </c>
      <c r="D186" s="4">
        <v>39848.555555555555</v>
      </c>
      <c r="E186" s="1" t="s">
        <v>14</v>
      </c>
      <c r="F186" s="1"/>
      <c r="G186" s="1"/>
      <c r="H186" s="1"/>
      <c r="I186" s="1"/>
      <c r="J186" s="1"/>
      <c r="K186" s="1"/>
      <c r="L186" s="1"/>
      <c r="M186" s="1"/>
      <c r="N186" s="1"/>
      <c r="O186" s="1"/>
      <c r="P186" s="1"/>
      <c r="Q186" s="1"/>
      <c r="R186" s="1"/>
      <c r="S186" s="1"/>
    </row>
    <row r="187" spans="1:19" ht="33.75" customHeight="1">
      <c r="A187" s="1" t="s">
        <v>687</v>
      </c>
      <c r="B187" s="1" t="s">
        <v>680</v>
      </c>
      <c r="C187" s="1">
        <v>7</v>
      </c>
      <c r="D187" s="4">
        <v>39848.560416666667</v>
      </c>
      <c r="E187" s="1" t="s">
        <v>688</v>
      </c>
      <c r="F187" s="1"/>
      <c r="G187" s="1"/>
      <c r="H187" s="1"/>
      <c r="I187" s="1"/>
      <c r="J187" s="1"/>
      <c r="K187" s="1"/>
      <c r="L187" s="1"/>
      <c r="M187" s="1"/>
      <c r="N187" s="1"/>
      <c r="O187" s="1"/>
      <c r="P187" s="1"/>
      <c r="Q187" s="1"/>
      <c r="R187" s="1"/>
      <c r="S187" s="1"/>
    </row>
    <row r="188" spans="1:19" ht="33.75" customHeight="1">
      <c r="A188" s="1" t="s">
        <v>690</v>
      </c>
      <c r="B188" s="1" t="s">
        <v>160</v>
      </c>
      <c r="C188" s="1">
        <v>4</v>
      </c>
      <c r="D188" s="4">
        <v>39848.561805555553</v>
      </c>
      <c r="E188" s="1" t="s">
        <v>14</v>
      </c>
      <c r="F188" s="1"/>
      <c r="G188" s="1"/>
      <c r="H188" s="1"/>
      <c r="I188" s="1"/>
      <c r="J188" s="1"/>
      <c r="K188" s="1"/>
      <c r="L188" s="1"/>
      <c r="M188" s="1"/>
      <c r="N188" s="1"/>
      <c r="O188" s="1"/>
      <c r="P188" s="1"/>
      <c r="Q188" s="1"/>
      <c r="R188" s="1"/>
      <c r="S188" s="1"/>
    </row>
    <row r="189" spans="1:19" ht="33.75" customHeight="1">
      <c r="A189" s="1" t="s">
        <v>693</v>
      </c>
      <c r="B189" s="1" t="s">
        <v>680</v>
      </c>
      <c r="C189" s="1">
        <v>7</v>
      </c>
      <c r="D189" s="4">
        <v>39848.567361111112</v>
      </c>
      <c r="E189" s="1" t="s">
        <v>70</v>
      </c>
      <c r="F189" s="1"/>
      <c r="G189" s="1"/>
      <c r="H189" s="1"/>
      <c r="I189" s="1"/>
      <c r="J189" s="1"/>
      <c r="K189" s="1"/>
      <c r="L189" s="1"/>
      <c r="M189" s="1"/>
      <c r="N189" s="1"/>
      <c r="O189" s="1"/>
      <c r="P189" s="1"/>
      <c r="Q189" s="1"/>
      <c r="R189" s="1"/>
      <c r="S189" s="1"/>
    </row>
    <row r="190" spans="1:19" ht="33.75" customHeight="1">
      <c r="A190" s="1" t="s">
        <v>696</v>
      </c>
      <c r="B190" s="1" t="s">
        <v>680</v>
      </c>
      <c r="C190" s="1">
        <v>7</v>
      </c>
      <c r="D190" s="4">
        <v>39848.569444444445</v>
      </c>
      <c r="E190" s="1" t="s">
        <v>70</v>
      </c>
      <c r="F190" s="1"/>
      <c r="G190" s="1"/>
      <c r="H190" s="1"/>
      <c r="I190" s="1"/>
      <c r="J190" s="1"/>
      <c r="K190" s="1"/>
      <c r="L190" s="1"/>
      <c r="M190" s="1"/>
      <c r="N190" s="1"/>
      <c r="O190" s="1"/>
      <c r="P190" s="1"/>
      <c r="Q190" s="1"/>
      <c r="R190" s="1"/>
      <c r="S190" s="1"/>
    </row>
    <row r="191" spans="1:19" ht="33.75" customHeight="1">
      <c r="A191" s="1" t="s">
        <v>698</v>
      </c>
      <c r="B191" s="1" t="s">
        <v>160</v>
      </c>
      <c r="C191" s="1">
        <v>4</v>
      </c>
      <c r="D191" s="4">
        <v>39848.626388888886</v>
      </c>
      <c r="E191" s="1" t="s">
        <v>314</v>
      </c>
      <c r="F191" s="1"/>
      <c r="G191" s="1"/>
      <c r="H191" s="1"/>
      <c r="I191" s="1"/>
      <c r="J191" s="1"/>
      <c r="K191" s="1"/>
      <c r="L191" s="1"/>
      <c r="M191" s="1"/>
      <c r="N191" s="1"/>
      <c r="O191" s="1"/>
      <c r="P191" s="1"/>
      <c r="Q191" s="1"/>
      <c r="R191" s="1"/>
      <c r="S191" s="1"/>
    </row>
    <row r="192" spans="1:19" ht="33.75" customHeight="1">
      <c r="A192" s="1" t="s">
        <v>700</v>
      </c>
      <c r="B192" s="1" t="s">
        <v>160</v>
      </c>
      <c r="C192" s="1">
        <v>4</v>
      </c>
      <c r="D192" s="4">
        <v>39848.656944444447</v>
      </c>
      <c r="E192" s="1" t="s">
        <v>320</v>
      </c>
      <c r="F192" s="1"/>
      <c r="G192" s="1"/>
      <c r="H192" s="1"/>
      <c r="I192" s="1"/>
      <c r="J192" s="1"/>
      <c r="K192" s="1"/>
      <c r="L192" s="1"/>
      <c r="M192" s="1"/>
      <c r="N192" s="1"/>
      <c r="O192" s="1"/>
      <c r="P192" s="1"/>
      <c r="Q192" s="1"/>
      <c r="R192" s="1"/>
      <c r="S192" s="1"/>
    </row>
    <row r="193" spans="1:19" ht="33.75" customHeight="1">
      <c r="A193" s="1" t="s">
        <v>702</v>
      </c>
      <c r="B193" s="1" t="s">
        <v>160</v>
      </c>
      <c r="C193" s="1">
        <v>4</v>
      </c>
      <c r="D193" s="4">
        <v>39848.661111111112</v>
      </c>
      <c r="E193" s="1" t="s">
        <v>320</v>
      </c>
      <c r="F193" s="1"/>
      <c r="G193" s="1"/>
      <c r="H193" s="1"/>
      <c r="I193" s="1"/>
      <c r="J193" s="1"/>
      <c r="K193" s="1"/>
      <c r="L193" s="1"/>
      <c r="M193" s="1"/>
      <c r="N193" s="1"/>
      <c r="O193" s="1"/>
      <c r="P193" s="1"/>
      <c r="Q193" s="1"/>
      <c r="R193" s="1"/>
      <c r="S193" s="1"/>
    </row>
    <row r="194" spans="1:19" ht="33.75" customHeight="1">
      <c r="A194" s="1" t="s">
        <v>705</v>
      </c>
      <c r="B194" s="1" t="s">
        <v>160</v>
      </c>
      <c r="C194" s="1">
        <v>4</v>
      </c>
      <c r="D194" s="4">
        <v>39848.661805555559</v>
      </c>
      <c r="E194" s="1" t="s">
        <v>320</v>
      </c>
      <c r="F194" s="1"/>
      <c r="G194" s="1"/>
      <c r="H194" s="1"/>
      <c r="I194" s="1"/>
      <c r="J194" s="1"/>
      <c r="K194" s="1"/>
      <c r="L194" s="1"/>
      <c r="M194" s="1"/>
      <c r="N194" s="1"/>
      <c r="O194" s="1"/>
      <c r="P194" s="1"/>
      <c r="Q194" s="1"/>
      <c r="R194" s="1"/>
      <c r="S194" s="1"/>
    </row>
    <row r="195" spans="1:19" ht="33.75" customHeight="1">
      <c r="A195" s="1" t="s">
        <v>708</v>
      </c>
      <c r="B195" s="1" t="s">
        <v>160</v>
      </c>
      <c r="C195" s="1">
        <v>4</v>
      </c>
      <c r="D195" s="4">
        <v>39848.694444444445</v>
      </c>
      <c r="E195" s="1" t="s">
        <v>84</v>
      </c>
      <c r="F195" s="1"/>
      <c r="G195" s="1"/>
      <c r="H195" s="1"/>
      <c r="I195" s="1"/>
      <c r="J195" s="1"/>
      <c r="K195" s="1"/>
      <c r="L195" s="1"/>
      <c r="M195" s="1"/>
      <c r="N195" s="1"/>
      <c r="O195" s="1"/>
      <c r="P195" s="1"/>
      <c r="Q195" s="1"/>
      <c r="R195" s="1"/>
      <c r="S195" s="1"/>
    </row>
    <row r="196" spans="1:19" ht="33.75" customHeight="1">
      <c r="A196" s="1" t="s">
        <v>712</v>
      </c>
      <c r="B196" s="1" t="s">
        <v>680</v>
      </c>
      <c r="C196" s="1">
        <v>7</v>
      </c>
      <c r="D196" s="4">
        <v>39848.697916666664</v>
      </c>
      <c r="E196" s="1" t="s">
        <v>84</v>
      </c>
      <c r="F196" s="1"/>
      <c r="G196" s="1"/>
      <c r="H196" s="1"/>
      <c r="I196" s="1"/>
      <c r="J196" s="1"/>
      <c r="K196" s="1"/>
      <c r="L196" s="1"/>
      <c r="M196" s="1"/>
      <c r="N196" s="1"/>
      <c r="O196" s="1"/>
      <c r="P196" s="1"/>
      <c r="Q196" s="1"/>
      <c r="R196" s="1"/>
      <c r="S196" s="1"/>
    </row>
    <row r="197" spans="1:19" ht="33.75" customHeight="1">
      <c r="A197" s="1" t="s">
        <v>715</v>
      </c>
      <c r="B197" s="1" t="s">
        <v>160</v>
      </c>
      <c r="C197" s="1">
        <v>4</v>
      </c>
      <c r="D197" s="4">
        <v>39848.722916666666</v>
      </c>
      <c r="E197" s="1" t="s">
        <v>14</v>
      </c>
      <c r="F197" s="1"/>
      <c r="G197" s="1"/>
      <c r="H197" s="1"/>
      <c r="I197" s="1"/>
      <c r="J197" s="1"/>
      <c r="K197" s="1"/>
      <c r="L197" s="1"/>
      <c r="M197" s="1"/>
      <c r="N197" s="1"/>
      <c r="O197" s="1"/>
      <c r="P197" s="1"/>
      <c r="Q197" s="1"/>
      <c r="R197" s="1"/>
      <c r="S197" s="1"/>
    </row>
    <row r="198" spans="1:19" ht="33.75" customHeight="1">
      <c r="A198" s="1" t="s">
        <v>717</v>
      </c>
      <c r="B198" s="1" t="s">
        <v>680</v>
      </c>
      <c r="C198" s="1">
        <v>7</v>
      </c>
      <c r="D198" s="4">
        <v>39848.743055555555</v>
      </c>
      <c r="E198" s="1" t="s">
        <v>416</v>
      </c>
      <c r="F198" s="1"/>
      <c r="G198" s="1"/>
      <c r="H198" s="1"/>
      <c r="I198" s="1"/>
      <c r="J198" s="1"/>
      <c r="K198" s="1"/>
      <c r="L198" s="1"/>
      <c r="M198" s="1"/>
      <c r="N198" s="1"/>
      <c r="O198" s="1"/>
      <c r="P198" s="1"/>
      <c r="Q198" s="1"/>
      <c r="R198" s="1"/>
      <c r="S198" s="1"/>
    </row>
    <row r="199" spans="1:19" ht="33.75" customHeight="1">
      <c r="A199" s="1" t="s">
        <v>720</v>
      </c>
      <c r="B199" s="1" t="s">
        <v>160</v>
      </c>
      <c r="C199" s="1">
        <v>4</v>
      </c>
      <c r="D199" s="4">
        <v>39848.75</v>
      </c>
      <c r="E199" s="1" t="s">
        <v>14</v>
      </c>
      <c r="F199" s="1"/>
      <c r="G199" s="1"/>
      <c r="H199" s="1"/>
      <c r="I199" s="1"/>
      <c r="J199" s="1"/>
      <c r="K199" s="1"/>
      <c r="L199" s="1"/>
      <c r="M199" s="1"/>
      <c r="N199" s="1"/>
      <c r="O199" s="1"/>
      <c r="P199" s="1"/>
      <c r="Q199" s="1"/>
      <c r="R199" s="1"/>
      <c r="S199" s="1"/>
    </row>
    <row r="200" spans="1:19" ht="33.75" customHeight="1">
      <c r="A200" s="1" t="s">
        <v>724</v>
      </c>
      <c r="B200" s="1" t="s">
        <v>160</v>
      </c>
      <c r="C200" s="1">
        <v>4</v>
      </c>
      <c r="D200" s="4">
        <v>39848.761805555558</v>
      </c>
      <c r="E200" s="1" t="s">
        <v>320</v>
      </c>
      <c r="F200" s="1"/>
      <c r="G200" s="1"/>
      <c r="H200" s="1"/>
      <c r="I200" s="1"/>
      <c r="J200" s="1"/>
      <c r="K200" s="1"/>
      <c r="L200" s="1"/>
      <c r="M200" s="1"/>
      <c r="N200" s="1"/>
      <c r="O200" s="1"/>
      <c r="P200" s="1"/>
      <c r="Q200" s="1"/>
      <c r="R200" s="1"/>
      <c r="S200" s="1"/>
    </row>
    <row r="201" spans="1:19" ht="33.75" customHeight="1">
      <c r="A201" s="1" t="s">
        <v>726</v>
      </c>
      <c r="B201" s="1" t="s">
        <v>160</v>
      </c>
      <c r="C201" s="1">
        <v>4</v>
      </c>
      <c r="D201" s="4">
        <v>39848.770138888889</v>
      </c>
      <c r="E201" s="1" t="s">
        <v>54</v>
      </c>
      <c r="F201" s="1"/>
      <c r="G201" s="1"/>
      <c r="H201" s="1"/>
      <c r="I201" s="1"/>
      <c r="J201" s="1"/>
      <c r="K201" s="1"/>
      <c r="L201" s="1"/>
      <c r="M201" s="1"/>
      <c r="N201" s="1"/>
      <c r="O201" s="1"/>
      <c r="P201" s="1"/>
      <c r="Q201" s="1"/>
      <c r="R201" s="1"/>
      <c r="S201" s="1"/>
    </row>
    <row r="202" spans="1:19" ht="33.75" customHeight="1">
      <c r="A202" s="1" t="s">
        <v>730</v>
      </c>
      <c r="B202" s="1" t="s">
        <v>160</v>
      </c>
      <c r="C202" s="1">
        <v>4</v>
      </c>
      <c r="D202" s="4">
        <v>39848.772916666669</v>
      </c>
      <c r="E202" s="1" t="s">
        <v>14</v>
      </c>
      <c r="F202" s="1"/>
      <c r="G202" s="1"/>
      <c r="H202" s="1"/>
      <c r="I202" s="1"/>
      <c r="J202" s="1"/>
      <c r="K202" s="1"/>
      <c r="L202" s="1"/>
      <c r="M202" s="1"/>
      <c r="N202" s="1"/>
      <c r="O202" s="1"/>
      <c r="P202" s="1"/>
      <c r="Q202" s="1"/>
      <c r="R202" s="1"/>
      <c r="S202" s="1"/>
    </row>
    <row r="203" spans="1:19" ht="33.75" customHeight="1">
      <c r="A203" s="1" t="s">
        <v>733</v>
      </c>
      <c r="B203" s="1" t="s">
        <v>160</v>
      </c>
      <c r="C203" s="1">
        <v>4</v>
      </c>
      <c r="D203" s="4">
        <v>39848.776388888888</v>
      </c>
      <c r="E203" s="1" t="s">
        <v>54</v>
      </c>
      <c r="F203" s="1"/>
      <c r="G203" s="1"/>
      <c r="H203" s="1"/>
      <c r="I203" s="1"/>
      <c r="J203" s="1"/>
      <c r="K203" s="1"/>
      <c r="L203" s="1"/>
      <c r="M203" s="1"/>
      <c r="N203" s="1"/>
      <c r="O203" s="1"/>
      <c r="P203" s="1"/>
      <c r="Q203" s="1"/>
      <c r="R203" s="1"/>
      <c r="S203" s="1"/>
    </row>
    <row r="204" spans="1:19" ht="33.75" customHeight="1">
      <c r="A204" s="1" t="s">
        <v>735</v>
      </c>
      <c r="B204" s="1" t="s">
        <v>160</v>
      </c>
      <c r="C204" s="1">
        <v>4</v>
      </c>
      <c r="D204" s="4">
        <v>39848.789583333331</v>
      </c>
      <c r="E204" s="1" t="s">
        <v>54</v>
      </c>
      <c r="F204" s="1"/>
      <c r="G204" s="1"/>
      <c r="H204" s="1"/>
      <c r="I204" s="1"/>
      <c r="J204" s="1"/>
      <c r="K204" s="1"/>
      <c r="L204" s="1"/>
      <c r="M204" s="1"/>
      <c r="N204" s="1"/>
      <c r="O204" s="1"/>
      <c r="P204" s="1"/>
      <c r="Q204" s="1"/>
      <c r="R204" s="1"/>
      <c r="S204" s="1"/>
    </row>
    <row r="205" spans="1:19" ht="33.75" customHeight="1">
      <c r="A205" s="1" t="s">
        <v>739</v>
      </c>
      <c r="B205" s="1" t="s">
        <v>160</v>
      </c>
      <c r="C205" s="1">
        <v>4</v>
      </c>
      <c r="D205" s="4">
        <v>39848.792361111111</v>
      </c>
      <c r="E205" s="1" t="s">
        <v>320</v>
      </c>
      <c r="F205" s="1"/>
      <c r="G205" s="1"/>
      <c r="H205" s="1"/>
      <c r="I205" s="1"/>
      <c r="J205" s="1"/>
      <c r="K205" s="1"/>
      <c r="L205" s="1"/>
      <c r="M205" s="1"/>
      <c r="N205" s="1"/>
      <c r="O205" s="1"/>
      <c r="P205" s="1"/>
      <c r="Q205" s="1"/>
      <c r="R205" s="1"/>
      <c r="S205" s="1"/>
    </row>
    <row r="206" spans="1:19" ht="33.75" customHeight="1">
      <c r="A206" s="1" t="s">
        <v>741</v>
      </c>
      <c r="B206" s="3" t="s">
        <v>13</v>
      </c>
      <c r="C206" s="3">
        <v>1</v>
      </c>
      <c r="D206" s="4">
        <v>39848.79583333333</v>
      </c>
      <c r="E206" s="1" t="s">
        <v>742</v>
      </c>
      <c r="F206" s="1"/>
      <c r="G206" s="1"/>
      <c r="H206" s="1"/>
      <c r="I206" s="1"/>
      <c r="J206" s="1"/>
      <c r="K206" s="1"/>
      <c r="L206" s="1"/>
      <c r="M206" s="1"/>
      <c r="N206" s="1"/>
      <c r="O206" s="1"/>
      <c r="P206" s="1"/>
      <c r="Q206" s="1"/>
      <c r="R206" s="1"/>
      <c r="S206" s="1"/>
    </row>
    <row r="207" spans="1:19" ht="33.75" customHeight="1">
      <c r="A207" s="1" t="s">
        <v>745</v>
      </c>
      <c r="B207" s="1" t="s">
        <v>160</v>
      </c>
      <c r="C207" s="1">
        <v>4</v>
      </c>
      <c r="D207" s="4">
        <v>39848.801388888889</v>
      </c>
      <c r="E207" s="1" t="s">
        <v>320</v>
      </c>
      <c r="F207" s="1"/>
      <c r="G207" s="1"/>
      <c r="H207" s="1"/>
      <c r="I207" s="1"/>
      <c r="J207" s="1"/>
      <c r="K207" s="1"/>
      <c r="L207" s="1"/>
      <c r="M207" s="1"/>
      <c r="N207" s="1"/>
      <c r="O207" s="1"/>
      <c r="P207" s="1"/>
      <c r="Q207" s="1"/>
      <c r="R207" s="1"/>
      <c r="S207" s="1"/>
    </row>
    <row r="208" spans="1:19" ht="33.75" customHeight="1">
      <c r="A208" s="1" t="s">
        <v>748</v>
      </c>
      <c r="B208" s="1" t="s">
        <v>680</v>
      </c>
      <c r="C208" s="1">
        <v>7</v>
      </c>
      <c r="D208" s="4">
        <v>39848.811805555553</v>
      </c>
      <c r="E208" s="1" t="s">
        <v>688</v>
      </c>
      <c r="F208" s="1"/>
      <c r="G208" s="1"/>
      <c r="H208" s="1"/>
      <c r="I208" s="1"/>
      <c r="J208" s="1"/>
      <c r="K208" s="1"/>
      <c r="L208" s="1"/>
      <c r="M208" s="1"/>
      <c r="N208" s="1"/>
      <c r="O208" s="1"/>
      <c r="P208" s="1"/>
      <c r="Q208" s="1"/>
      <c r="R208" s="1"/>
      <c r="S208" s="1"/>
    </row>
    <row r="209" spans="1:19" ht="33.75" customHeight="1">
      <c r="A209" s="1" t="s">
        <v>751</v>
      </c>
      <c r="B209" s="1" t="s">
        <v>160</v>
      </c>
      <c r="C209" s="1">
        <v>4</v>
      </c>
      <c r="D209" s="4">
        <v>39848.820138888892</v>
      </c>
      <c r="E209" s="1" t="s">
        <v>196</v>
      </c>
      <c r="F209" s="1"/>
      <c r="G209" s="1"/>
      <c r="H209" s="1"/>
      <c r="I209" s="1"/>
      <c r="J209" s="1"/>
      <c r="K209" s="1"/>
      <c r="L209" s="1"/>
      <c r="M209" s="1"/>
      <c r="N209" s="1"/>
      <c r="O209" s="1"/>
      <c r="P209" s="1"/>
      <c r="Q209" s="1"/>
      <c r="R209" s="1"/>
      <c r="S209" s="1"/>
    </row>
    <row r="210" spans="1:19" ht="33.75" customHeight="1">
      <c r="A210" s="1" t="s">
        <v>753</v>
      </c>
      <c r="B210" s="1" t="s">
        <v>160</v>
      </c>
      <c r="C210" s="1">
        <v>4</v>
      </c>
      <c r="D210" s="4">
        <v>39848.824999999997</v>
      </c>
      <c r="E210" s="1" t="s">
        <v>255</v>
      </c>
      <c r="F210" s="1"/>
      <c r="G210" s="1"/>
      <c r="H210" s="1"/>
      <c r="I210" s="1"/>
      <c r="J210" s="1"/>
      <c r="K210" s="1"/>
      <c r="L210" s="1"/>
      <c r="M210" s="1"/>
      <c r="N210" s="1"/>
      <c r="O210" s="1"/>
      <c r="P210" s="1"/>
      <c r="Q210" s="1"/>
      <c r="R210" s="1"/>
      <c r="S210" s="1"/>
    </row>
    <row r="211" spans="1:19" ht="33.75" customHeight="1">
      <c r="A211" s="1" t="s">
        <v>756</v>
      </c>
      <c r="B211" s="3" t="s">
        <v>13</v>
      </c>
      <c r="C211" s="3">
        <v>1</v>
      </c>
      <c r="D211" s="4">
        <v>39848.838194444441</v>
      </c>
      <c r="E211" s="1" t="s">
        <v>688</v>
      </c>
      <c r="F211" s="1"/>
      <c r="G211" s="1"/>
      <c r="H211" s="1"/>
      <c r="I211" s="1"/>
      <c r="J211" s="1"/>
      <c r="K211" s="1"/>
      <c r="L211" s="1"/>
      <c r="M211" s="1"/>
      <c r="N211" s="1"/>
      <c r="O211" s="1"/>
      <c r="P211" s="1"/>
      <c r="Q211" s="1"/>
      <c r="R211" s="1"/>
      <c r="S211" s="1"/>
    </row>
    <row r="212" spans="1:19" ht="33.75" customHeight="1">
      <c r="A212" s="1" t="s">
        <v>759</v>
      </c>
      <c r="B212" s="1" t="s">
        <v>160</v>
      </c>
      <c r="C212" s="1">
        <v>4</v>
      </c>
      <c r="D212" s="4">
        <v>39848.84652777778</v>
      </c>
      <c r="E212" s="1" t="s">
        <v>760</v>
      </c>
      <c r="F212" s="1"/>
      <c r="G212" s="1"/>
      <c r="H212" s="1"/>
      <c r="I212" s="1"/>
      <c r="J212" s="1"/>
      <c r="K212" s="1"/>
      <c r="L212" s="1"/>
      <c r="M212" s="1"/>
      <c r="N212" s="1"/>
      <c r="O212" s="1"/>
      <c r="P212" s="1"/>
      <c r="Q212" s="1"/>
      <c r="R212" s="1"/>
      <c r="S212" s="1"/>
    </row>
    <row r="213" spans="1:19" ht="33.75" customHeight="1">
      <c r="A213" s="1" t="s">
        <v>762</v>
      </c>
      <c r="B213" s="1" t="s">
        <v>160</v>
      </c>
      <c r="C213" s="1">
        <v>4</v>
      </c>
      <c r="D213" s="4">
        <v>39848.854166666664</v>
      </c>
      <c r="E213" s="1" t="s">
        <v>54</v>
      </c>
      <c r="F213" s="1"/>
      <c r="G213" s="1"/>
      <c r="H213" s="1"/>
      <c r="I213" s="1"/>
      <c r="J213" s="1"/>
      <c r="K213" s="1"/>
      <c r="L213" s="1"/>
      <c r="M213" s="1"/>
      <c r="N213" s="1"/>
      <c r="O213" s="1"/>
      <c r="P213" s="1"/>
      <c r="Q213" s="1"/>
      <c r="R213" s="1"/>
      <c r="S213" s="1"/>
    </row>
    <row r="214" spans="1:19" ht="33.75" customHeight="1">
      <c r="A214" s="1" t="s">
        <v>764</v>
      </c>
      <c r="B214" s="1" t="s">
        <v>680</v>
      </c>
      <c r="C214" s="1">
        <v>7</v>
      </c>
      <c r="D214" s="4">
        <v>39848.857638888891</v>
      </c>
      <c r="E214" s="1" t="s">
        <v>54</v>
      </c>
      <c r="F214" s="1"/>
      <c r="G214" s="1"/>
      <c r="H214" s="1"/>
      <c r="I214" s="1"/>
      <c r="J214" s="1"/>
      <c r="K214" s="1"/>
      <c r="L214" s="1"/>
      <c r="M214" s="1"/>
      <c r="N214" s="1"/>
      <c r="O214" s="1"/>
      <c r="P214" s="1"/>
      <c r="Q214" s="1"/>
      <c r="R214" s="1"/>
      <c r="S214" s="1"/>
    </row>
    <row r="215" spans="1:19" ht="33.75" customHeight="1">
      <c r="A215" s="1" t="s">
        <v>766</v>
      </c>
      <c r="B215" s="1" t="s">
        <v>160</v>
      </c>
      <c r="C215" s="1">
        <v>4</v>
      </c>
      <c r="D215" s="4">
        <v>39848.87777777778</v>
      </c>
      <c r="E215" s="1" t="s">
        <v>54</v>
      </c>
      <c r="F215" s="1"/>
      <c r="G215" s="1"/>
      <c r="H215" s="1"/>
      <c r="I215" s="1"/>
      <c r="J215" s="1"/>
      <c r="K215" s="1"/>
      <c r="L215" s="1"/>
      <c r="M215" s="1"/>
      <c r="N215" s="1"/>
      <c r="O215" s="1"/>
      <c r="P215" s="1"/>
      <c r="Q215" s="1"/>
      <c r="R215" s="1"/>
      <c r="S215" s="1"/>
    </row>
    <row r="216" spans="1:19" ht="33.75" customHeight="1">
      <c r="A216" s="1" t="s">
        <v>771</v>
      </c>
      <c r="B216" s="1" t="s">
        <v>680</v>
      </c>
      <c r="C216" s="1">
        <v>7</v>
      </c>
      <c r="D216" s="4">
        <v>39848.911111111112</v>
      </c>
      <c r="E216" s="1" t="s">
        <v>772</v>
      </c>
      <c r="F216" s="1"/>
      <c r="G216" s="1"/>
      <c r="H216" s="1"/>
      <c r="I216" s="1"/>
      <c r="J216" s="1"/>
      <c r="K216" s="1"/>
      <c r="L216" s="1"/>
      <c r="M216" s="1"/>
      <c r="N216" s="1"/>
      <c r="O216" s="1"/>
      <c r="P216" s="1"/>
      <c r="Q216" s="1"/>
      <c r="R216" s="1"/>
      <c r="S216" s="1"/>
    </row>
    <row r="217" spans="1:19" ht="33.75" customHeight="1">
      <c r="A217" s="1" t="s">
        <v>774</v>
      </c>
      <c r="B217" s="1" t="s">
        <v>680</v>
      </c>
      <c r="C217" s="1">
        <v>7</v>
      </c>
      <c r="D217" s="4">
        <v>39848.953472222223</v>
      </c>
      <c r="E217" s="1" t="s">
        <v>101</v>
      </c>
      <c r="F217" s="1"/>
      <c r="G217" s="1"/>
      <c r="H217" s="1"/>
      <c r="I217" s="1"/>
      <c r="J217" s="1"/>
      <c r="K217" s="1"/>
      <c r="L217" s="1"/>
      <c r="M217" s="1"/>
      <c r="N217" s="1"/>
      <c r="O217" s="1"/>
      <c r="P217" s="1"/>
      <c r="Q217" s="1"/>
      <c r="R217" s="1"/>
      <c r="S217" s="1"/>
    </row>
    <row r="218" spans="1:19" ht="33.75" customHeight="1">
      <c r="A218" s="1" t="s">
        <v>776</v>
      </c>
      <c r="B218" s="1" t="s">
        <v>160</v>
      </c>
      <c r="C218" s="1">
        <v>4</v>
      </c>
      <c r="D218" s="4">
        <v>39848.954861111109</v>
      </c>
      <c r="E218" s="1" t="s">
        <v>14</v>
      </c>
      <c r="F218" s="1"/>
      <c r="G218" s="1"/>
      <c r="H218" s="1"/>
      <c r="I218" s="1"/>
      <c r="J218" s="1"/>
      <c r="K218" s="1"/>
      <c r="L218" s="1"/>
      <c r="M218" s="1"/>
      <c r="N218" s="1"/>
      <c r="O218" s="1"/>
      <c r="P218" s="1"/>
      <c r="Q218" s="1"/>
      <c r="R218" s="1"/>
      <c r="S218" s="1"/>
    </row>
    <row r="219" spans="1:19" ht="33.75" customHeight="1">
      <c r="A219" s="1" t="s">
        <v>779</v>
      </c>
      <c r="B219" s="1" t="s">
        <v>160</v>
      </c>
      <c r="C219" s="1">
        <v>4</v>
      </c>
      <c r="D219" s="4">
        <v>39848.959027777775</v>
      </c>
      <c r="E219" s="1" t="s">
        <v>14</v>
      </c>
      <c r="F219" s="1"/>
      <c r="G219" s="1"/>
      <c r="H219" s="1"/>
      <c r="I219" s="1"/>
      <c r="J219" s="1"/>
      <c r="K219" s="1"/>
      <c r="L219" s="1"/>
      <c r="M219" s="1"/>
      <c r="N219" s="1"/>
      <c r="O219" s="1"/>
      <c r="P219" s="1"/>
      <c r="Q219" s="1"/>
      <c r="R219" s="1"/>
      <c r="S219" s="1"/>
    </row>
    <row r="220" spans="1:19" ht="33.75" customHeight="1">
      <c r="A220" s="1" t="s">
        <v>782</v>
      </c>
      <c r="B220" s="1" t="s">
        <v>680</v>
      </c>
      <c r="C220" s="1">
        <v>7</v>
      </c>
      <c r="D220" s="4">
        <v>39848.963888888888</v>
      </c>
      <c r="E220" s="1" t="s">
        <v>14</v>
      </c>
      <c r="F220" s="1"/>
      <c r="G220" s="1"/>
      <c r="H220" s="1"/>
      <c r="I220" s="1"/>
      <c r="J220" s="1"/>
      <c r="K220" s="1"/>
      <c r="L220" s="1"/>
      <c r="M220" s="1"/>
      <c r="N220" s="1"/>
      <c r="O220" s="1"/>
      <c r="P220" s="1"/>
      <c r="Q220" s="1"/>
      <c r="R220" s="1"/>
      <c r="S220" s="1"/>
    </row>
    <row r="221" spans="1:19" ht="33.75" customHeight="1">
      <c r="A221" s="1" t="s">
        <v>785</v>
      </c>
      <c r="B221" s="1" t="s">
        <v>156</v>
      </c>
      <c r="C221" s="1">
        <v>3</v>
      </c>
      <c r="D221" s="4">
        <v>39848.970138888886</v>
      </c>
      <c r="E221" s="1" t="s">
        <v>14</v>
      </c>
      <c r="F221" s="1"/>
      <c r="G221" s="1"/>
      <c r="H221" s="1"/>
      <c r="I221" s="1"/>
      <c r="J221" s="1"/>
      <c r="K221" s="1"/>
      <c r="L221" s="1"/>
      <c r="M221" s="1"/>
      <c r="N221" s="1"/>
      <c r="O221" s="1"/>
      <c r="P221" s="1"/>
      <c r="Q221" s="1"/>
      <c r="R221" s="1"/>
      <c r="S221" s="1"/>
    </row>
    <row r="222" spans="1:19" ht="33.75" customHeight="1">
      <c r="A222" s="1" t="s">
        <v>788</v>
      </c>
      <c r="B222" s="1" t="s">
        <v>680</v>
      </c>
      <c r="C222" s="1">
        <v>7</v>
      </c>
      <c r="D222" s="4">
        <v>39849.026388888888</v>
      </c>
      <c r="E222" s="1" t="s">
        <v>54</v>
      </c>
      <c r="F222" s="1"/>
      <c r="G222" s="1"/>
      <c r="H222" s="1"/>
      <c r="I222" s="1"/>
      <c r="J222" s="1"/>
      <c r="K222" s="1"/>
      <c r="L222" s="1"/>
      <c r="M222" s="1"/>
      <c r="N222" s="1"/>
      <c r="O222" s="1"/>
      <c r="P222" s="1"/>
      <c r="Q222" s="1"/>
      <c r="R222" s="1"/>
      <c r="S222" s="1"/>
    </row>
    <row r="223" spans="1:19" ht="33.75" customHeight="1">
      <c r="A223" s="1" t="s">
        <v>791</v>
      </c>
      <c r="B223" s="1" t="s">
        <v>160</v>
      </c>
      <c r="C223" s="1">
        <v>4</v>
      </c>
      <c r="D223" s="4">
        <v>39849.171527777777</v>
      </c>
      <c r="E223" s="1" t="s">
        <v>54</v>
      </c>
      <c r="F223" s="1"/>
      <c r="G223" s="1"/>
      <c r="H223" s="1"/>
      <c r="I223" s="1"/>
      <c r="J223" s="1"/>
      <c r="K223" s="1"/>
      <c r="L223" s="1"/>
      <c r="M223" s="1"/>
      <c r="N223" s="1"/>
      <c r="O223" s="1"/>
      <c r="P223" s="1"/>
      <c r="Q223" s="1"/>
      <c r="R223" s="1"/>
      <c r="S223" s="1"/>
    </row>
    <row r="224" spans="1:19" ht="33.75" customHeight="1">
      <c r="A224" s="1" t="s">
        <v>796</v>
      </c>
      <c r="B224" s="1" t="s">
        <v>160</v>
      </c>
      <c r="C224" s="1">
        <v>4</v>
      </c>
      <c r="D224" s="4">
        <v>39849.175000000003</v>
      </c>
      <c r="E224" s="1" t="s">
        <v>54</v>
      </c>
      <c r="F224" s="1"/>
      <c r="G224" s="1"/>
      <c r="H224" s="1"/>
      <c r="I224" s="1"/>
      <c r="J224" s="1"/>
      <c r="K224" s="1"/>
      <c r="L224" s="1"/>
      <c r="M224" s="1"/>
      <c r="N224" s="1"/>
      <c r="O224" s="1"/>
      <c r="P224" s="1"/>
      <c r="Q224" s="1"/>
      <c r="R224" s="1"/>
      <c r="S224" s="1"/>
    </row>
    <row r="225" spans="1:19" ht="33.75" customHeight="1">
      <c r="A225" s="1" t="s">
        <v>798</v>
      </c>
      <c r="B225" s="1" t="s">
        <v>160</v>
      </c>
      <c r="C225" s="1">
        <v>4</v>
      </c>
      <c r="D225" s="4">
        <v>39849.226388888892</v>
      </c>
      <c r="E225" s="1" t="s">
        <v>320</v>
      </c>
      <c r="F225" s="1"/>
      <c r="G225" s="1"/>
      <c r="H225" s="1"/>
      <c r="I225" s="1"/>
      <c r="J225" s="1"/>
      <c r="K225" s="1"/>
      <c r="L225" s="1"/>
      <c r="M225" s="1"/>
      <c r="N225" s="1"/>
      <c r="O225" s="1"/>
      <c r="P225" s="1"/>
      <c r="Q225" s="1"/>
      <c r="R225" s="1"/>
      <c r="S225" s="1"/>
    </row>
    <row r="226" spans="1:19" ht="33.75" customHeight="1">
      <c r="A226" s="1" t="s">
        <v>803</v>
      </c>
      <c r="B226" s="1" t="s">
        <v>160</v>
      </c>
      <c r="C226" s="1">
        <v>4</v>
      </c>
      <c r="D226" s="4">
        <v>39849.240277777775</v>
      </c>
      <c r="E226" s="1" t="s">
        <v>393</v>
      </c>
      <c r="F226" s="1"/>
      <c r="G226" s="1"/>
      <c r="H226" s="1"/>
      <c r="I226" s="1"/>
      <c r="J226" s="1"/>
      <c r="K226" s="1"/>
      <c r="L226" s="1"/>
      <c r="M226" s="1"/>
      <c r="N226" s="1"/>
      <c r="O226" s="1"/>
      <c r="P226" s="1"/>
      <c r="Q226" s="1"/>
      <c r="R226" s="1"/>
      <c r="S226" s="1"/>
    </row>
    <row r="227" spans="1:19" ht="33.75" customHeight="1">
      <c r="A227" s="1" t="s">
        <v>805</v>
      </c>
      <c r="B227" s="1" t="s">
        <v>160</v>
      </c>
      <c r="C227" s="1">
        <v>4</v>
      </c>
      <c r="D227" s="4">
        <v>39849.249305555553</v>
      </c>
      <c r="E227" s="1" t="s">
        <v>320</v>
      </c>
      <c r="F227" s="1"/>
      <c r="G227" s="1"/>
      <c r="H227" s="1"/>
      <c r="I227" s="1"/>
      <c r="J227" s="1"/>
      <c r="K227" s="1"/>
      <c r="L227" s="1"/>
      <c r="M227" s="1"/>
      <c r="N227" s="1"/>
      <c r="O227" s="1"/>
      <c r="P227" s="1"/>
      <c r="Q227" s="1"/>
      <c r="R227" s="1"/>
      <c r="S227" s="1"/>
    </row>
    <row r="228" spans="1:19" ht="33.75" customHeight="1">
      <c r="A228" s="1" t="s">
        <v>808</v>
      </c>
      <c r="B228" s="1" t="s">
        <v>160</v>
      </c>
      <c r="C228" s="1">
        <v>4</v>
      </c>
      <c r="D228" s="4">
        <v>39849.253472222219</v>
      </c>
      <c r="E228" s="1" t="s">
        <v>320</v>
      </c>
      <c r="F228" s="1"/>
      <c r="G228" s="1"/>
      <c r="H228" s="1"/>
      <c r="I228" s="1"/>
      <c r="J228" s="1"/>
      <c r="K228" s="1"/>
      <c r="L228" s="1"/>
      <c r="M228" s="1"/>
      <c r="N228" s="1"/>
      <c r="O228" s="1"/>
      <c r="P228" s="1"/>
      <c r="Q228" s="1"/>
      <c r="R228" s="1"/>
      <c r="S228" s="1"/>
    </row>
    <row r="229" spans="1:19" ht="33.75" customHeight="1">
      <c r="A229" s="1" t="s">
        <v>811</v>
      </c>
      <c r="B229" s="1" t="s">
        <v>160</v>
      </c>
      <c r="C229" s="1">
        <v>4</v>
      </c>
      <c r="D229" s="4">
        <v>39849.3125</v>
      </c>
      <c r="E229" s="1" t="s">
        <v>196</v>
      </c>
      <c r="F229" s="1"/>
      <c r="G229" s="1"/>
      <c r="H229" s="1"/>
      <c r="I229" s="1"/>
      <c r="J229" s="1"/>
      <c r="K229" s="1"/>
      <c r="L229" s="1"/>
      <c r="M229" s="1"/>
      <c r="N229" s="1"/>
      <c r="O229" s="1"/>
      <c r="P229" s="1"/>
      <c r="Q229" s="1"/>
      <c r="R229" s="1"/>
      <c r="S229" s="1"/>
    </row>
    <row r="230" spans="1:19" ht="33.75" customHeight="1">
      <c r="A230" s="1" t="s">
        <v>814</v>
      </c>
      <c r="B230" s="1" t="s">
        <v>160</v>
      </c>
      <c r="C230" s="1">
        <v>4</v>
      </c>
      <c r="D230" s="4">
        <v>39849.322916666664</v>
      </c>
      <c r="E230" s="1" t="s">
        <v>196</v>
      </c>
      <c r="F230" s="1"/>
      <c r="G230" s="1"/>
      <c r="H230" s="1"/>
      <c r="I230" s="1"/>
      <c r="J230" s="1"/>
      <c r="K230" s="1"/>
      <c r="L230" s="1"/>
      <c r="M230" s="1"/>
      <c r="N230" s="1"/>
      <c r="O230" s="1"/>
      <c r="P230" s="1"/>
      <c r="Q230" s="1"/>
      <c r="R230" s="1"/>
      <c r="S230" s="1"/>
    </row>
    <row r="231" spans="1:19" ht="33.75" customHeight="1">
      <c r="A231" s="1" t="s">
        <v>816</v>
      </c>
      <c r="B231" s="1" t="s">
        <v>160</v>
      </c>
      <c r="C231" s="1">
        <v>4</v>
      </c>
      <c r="D231" s="4">
        <v>39849.338888888888</v>
      </c>
      <c r="E231" s="1" t="s">
        <v>196</v>
      </c>
      <c r="F231" s="1"/>
      <c r="G231" s="1"/>
      <c r="H231" s="1"/>
      <c r="I231" s="1"/>
      <c r="J231" s="1"/>
      <c r="K231" s="1"/>
      <c r="L231" s="1"/>
      <c r="M231" s="1"/>
      <c r="N231" s="1"/>
      <c r="O231" s="1"/>
      <c r="P231" s="1"/>
      <c r="Q231" s="1"/>
      <c r="R231" s="1"/>
      <c r="S231" s="1"/>
    </row>
    <row r="232" spans="1:19" ht="33.75" customHeight="1">
      <c r="A232" s="1" t="s">
        <v>818</v>
      </c>
      <c r="B232" s="1" t="s">
        <v>160</v>
      </c>
      <c r="C232" s="1">
        <v>4</v>
      </c>
      <c r="D232" s="4">
        <v>39849.356944444444</v>
      </c>
      <c r="E232" s="1" t="s">
        <v>196</v>
      </c>
      <c r="F232" s="1"/>
      <c r="G232" s="1"/>
      <c r="H232" s="1"/>
      <c r="I232" s="1"/>
      <c r="J232" s="1"/>
      <c r="K232" s="1"/>
      <c r="L232" s="1"/>
      <c r="M232" s="1"/>
      <c r="N232" s="1"/>
      <c r="O232" s="1"/>
      <c r="P232" s="1"/>
      <c r="Q232" s="1"/>
      <c r="R232" s="1"/>
      <c r="S232" s="1"/>
    </row>
    <row r="233" spans="1:19" ht="33.75" customHeight="1">
      <c r="A233" s="1" t="s">
        <v>822</v>
      </c>
      <c r="B233" s="1" t="s">
        <v>160</v>
      </c>
      <c r="C233" s="1">
        <v>4</v>
      </c>
      <c r="D233" s="4">
        <v>39849.455555555556</v>
      </c>
      <c r="E233" s="1" t="s">
        <v>14</v>
      </c>
      <c r="F233" s="1"/>
      <c r="G233" s="1"/>
      <c r="H233" s="1"/>
      <c r="I233" s="1"/>
      <c r="J233" s="1"/>
      <c r="K233" s="1"/>
      <c r="L233" s="1"/>
      <c r="M233" s="1"/>
      <c r="N233" s="1"/>
      <c r="O233" s="1"/>
      <c r="P233" s="1"/>
      <c r="Q233" s="1"/>
      <c r="R233" s="1"/>
      <c r="S233" s="1"/>
    </row>
    <row r="234" spans="1:19" ht="33.75" customHeight="1">
      <c r="A234" s="1" t="s">
        <v>825</v>
      </c>
      <c r="B234" s="1" t="s">
        <v>160</v>
      </c>
      <c r="C234" s="1">
        <v>4</v>
      </c>
      <c r="D234" s="4">
        <v>39849.480555555558</v>
      </c>
      <c r="E234" s="1" t="s">
        <v>14</v>
      </c>
      <c r="F234" s="1"/>
      <c r="G234" s="1"/>
      <c r="H234" s="1"/>
      <c r="I234" s="1"/>
      <c r="J234" s="1"/>
      <c r="K234" s="1"/>
      <c r="L234" s="1"/>
      <c r="M234" s="1"/>
      <c r="N234" s="1"/>
      <c r="O234" s="1"/>
      <c r="P234" s="1"/>
      <c r="Q234" s="1"/>
      <c r="R234" s="1"/>
      <c r="S234" s="1"/>
    </row>
    <row r="235" spans="1:19" ht="33.75" customHeight="1">
      <c r="A235" s="1" t="s">
        <v>829</v>
      </c>
      <c r="B235" s="1" t="s">
        <v>680</v>
      </c>
      <c r="C235" s="1">
        <v>7</v>
      </c>
      <c r="D235" s="4">
        <v>39849.693749999999</v>
      </c>
      <c r="E235" s="1" t="s">
        <v>830</v>
      </c>
      <c r="F235" s="1"/>
      <c r="G235" s="1"/>
      <c r="H235" s="1"/>
      <c r="I235" s="1"/>
      <c r="J235" s="1"/>
      <c r="K235" s="1"/>
      <c r="L235" s="1"/>
      <c r="M235" s="1"/>
      <c r="N235" s="1"/>
      <c r="O235" s="1"/>
      <c r="P235" s="1"/>
      <c r="Q235" s="1"/>
      <c r="R235" s="1"/>
      <c r="S235" s="1"/>
    </row>
    <row r="236" spans="1:19" ht="33.75" customHeight="1">
      <c r="A236" s="1" t="s">
        <v>833</v>
      </c>
      <c r="B236" s="1" t="s">
        <v>160</v>
      </c>
      <c r="C236" s="1">
        <v>4</v>
      </c>
      <c r="D236" s="4">
        <v>39849.715277777781</v>
      </c>
      <c r="E236" s="1" t="s">
        <v>14</v>
      </c>
      <c r="F236" s="1"/>
      <c r="G236" s="1"/>
      <c r="H236" s="1"/>
      <c r="I236" s="1"/>
      <c r="J236" s="1"/>
      <c r="K236" s="1"/>
      <c r="L236" s="1"/>
      <c r="M236" s="1"/>
      <c r="N236" s="1"/>
      <c r="O236" s="1"/>
      <c r="P236" s="1"/>
      <c r="Q236" s="1"/>
      <c r="R236" s="1"/>
      <c r="S236" s="1"/>
    </row>
    <row r="237" spans="1:19" ht="33.75" customHeight="1">
      <c r="A237" s="1" t="s">
        <v>836</v>
      </c>
      <c r="B237" s="1" t="s">
        <v>160</v>
      </c>
      <c r="C237" s="1">
        <v>4</v>
      </c>
      <c r="D237" s="4">
        <v>39849.738888888889</v>
      </c>
      <c r="E237" s="1" t="s">
        <v>14</v>
      </c>
      <c r="F237" s="1"/>
      <c r="G237" s="1"/>
      <c r="H237" s="1"/>
      <c r="I237" s="1"/>
      <c r="J237" s="1"/>
      <c r="K237" s="1"/>
      <c r="L237" s="1"/>
      <c r="M237" s="1"/>
      <c r="N237" s="1"/>
      <c r="O237" s="1"/>
      <c r="P237" s="1"/>
      <c r="Q237" s="1"/>
      <c r="R237" s="1"/>
      <c r="S237" s="1"/>
    </row>
    <row r="238" spans="1:19" ht="33.75" customHeight="1">
      <c r="A238" s="1" t="s">
        <v>839</v>
      </c>
      <c r="B238" s="1" t="s">
        <v>160</v>
      </c>
      <c r="C238" s="1">
        <v>4</v>
      </c>
      <c r="D238" s="4">
        <v>39849.747916666667</v>
      </c>
      <c r="E238" s="1" t="s">
        <v>14</v>
      </c>
      <c r="F238" s="1"/>
      <c r="G238" s="1"/>
      <c r="H238" s="1"/>
      <c r="I238" s="1"/>
      <c r="J238" s="1"/>
      <c r="K238" s="1"/>
      <c r="L238" s="1"/>
      <c r="M238" s="1"/>
      <c r="N238" s="1"/>
      <c r="O238" s="1"/>
      <c r="P238" s="1"/>
      <c r="Q238" s="1"/>
      <c r="R238" s="1"/>
      <c r="S238" s="1"/>
    </row>
    <row r="239" spans="1:19" ht="33.75" customHeight="1">
      <c r="A239" s="1" t="s">
        <v>842</v>
      </c>
      <c r="B239" s="1" t="s">
        <v>160</v>
      </c>
      <c r="C239" s="1">
        <v>4</v>
      </c>
      <c r="D239" s="4">
        <v>39849.770833333336</v>
      </c>
      <c r="E239" s="1" t="s">
        <v>54</v>
      </c>
      <c r="F239" s="1"/>
      <c r="G239" s="1"/>
      <c r="H239" s="1"/>
      <c r="I239" s="1"/>
      <c r="J239" s="1"/>
      <c r="K239" s="1"/>
      <c r="L239" s="1"/>
      <c r="M239" s="1"/>
      <c r="N239" s="1"/>
      <c r="O239" s="1"/>
      <c r="P239" s="1"/>
      <c r="Q239" s="1"/>
      <c r="R239" s="1"/>
      <c r="S239" s="1"/>
    </row>
    <row r="240" spans="1:19" ht="33.75" customHeight="1">
      <c r="A240" s="1" t="s">
        <v>845</v>
      </c>
      <c r="B240" s="1" t="s">
        <v>846</v>
      </c>
      <c r="C240" s="1">
        <v>8</v>
      </c>
      <c r="D240" s="4">
        <v>39849.779861111114</v>
      </c>
      <c r="E240" s="1" t="s">
        <v>847</v>
      </c>
      <c r="F240" s="1"/>
      <c r="G240" s="1"/>
      <c r="H240" s="1"/>
      <c r="I240" s="1"/>
      <c r="J240" s="1"/>
      <c r="K240" s="1"/>
      <c r="L240" s="1"/>
      <c r="M240" s="1"/>
      <c r="N240" s="1"/>
      <c r="O240" s="1"/>
      <c r="P240" s="1"/>
      <c r="Q240" s="1"/>
      <c r="R240" s="1"/>
      <c r="S240" s="1"/>
    </row>
    <row r="241" spans="1:19" ht="33.75" customHeight="1">
      <c r="A241" s="1" t="s">
        <v>849</v>
      </c>
      <c r="B241" s="1" t="s">
        <v>160</v>
      </c>
      <c r="C241" s="1">
        <v>4</v>
      </c>
      <c r="D241" s="4">
        <v>39849.790972222225</v>
      </c>
      <c r="E241" s="1" t="s">
        <v>196</v>
      </c>
      <c r="F241" s="1"/>
      <c r="G241" s="1"/>
      <c r="H241" s="1"/>
      <c r="I241" s="1"/>
      <c r="J241" s="1"/>
      <c r="K241" s="1"/>
      <c r="L241" s="1"/>
      <c r="M241" s="1"/>
      <c r="N241" s="1"/>
      <c r="O241" s="1"/>
      <c r="P241" s="1"/>
      <c r="Q241" s="1"/>
      <c r="R241" s="1"/>
      <c r="S241" s="1"/>
    </row>
    <row r="242" spans="1:19" ht="33.75" customHeight="1">
      <c r="A242" s="1" t="s">
        <v>851</v>
      </c>
      <c r="B242" s="1" t="s">
        <v>160</v>
      </c>
      <c r="C242" s="1">
        <v>4</v>
      </c>
      <c r="D242" s="4">
        <v>39849.793055555558</v>
      </c>
      <c r="E242" s="1" t="s">
        <v>196</v>
      </c>
      <c r="F242" s="1"/>
      <c r="G242" s="1"/>
      <c r="H242" s="1"/>
      <c r="I242" s="1"/>
      <c r="J242" s="1"/>
      <c r="K242" s="1"/>
      <c r="L242" s="1"/>
      <c r="M242" s="1"/>
      <c r="N242" s="1"/>
      <c r="O242" s="1"/>
      <c r="P242" s="1"/>
      <c r="Q242" s="1"/>
      <c r="R242" s="1"/>
      <c r="S242" s="1"/>
    </row>
    <row r="243" spans="1:19" ht="33.75" customHeight="1">
      <c r="A243" s="1" t="s">
        <v>853</v>
      </c>
      <c r="B243" s="1" t="s">
        <v>160</v>
      </c>
      <c r="C243" s="1">
        <v>4</v>
      </c>
      <c r="D243" s="4">
        <v>39849.79791666667</v>
      </c>
      <c r="E243" s="1" t="s">
        <v>854</v>
      </c>
      <c r="F243" s="1"/>
      <c r="G243" s="1"/>
      <c r="H243" s="1"/>
      <c r="I243" s="1"/>
      <c r="J243" s="1"/>
      <c r="K243" s="1"/>
      <c r="L243" s="1"/>
      <c r="M243" s="1"/>
      <c r="N243" s="1"/>
      <c r="O243" s="1"/>
      <c r="P243" s="1"/>
      <c r="Q243" s="1"/>
      <c r="R243" s="1"/>
      <c r="S243" s="1"/>
    </row>
    <row r="244" spans="1:19" ht="33.75" customHeight="1">
      <c r="A244" s="1" t="s">
        <v>856</v>
      </c>
      <c r="B244" s="1" t="s">
        <v>160</v>
      </c>
      <c r="C244" s="1">
        <v>4</v>
      </c>
      <c r="D244" s="4">
        <v>39849.806250000001</v>
      </c>
      <c r="E244" s="1" t="s">
        <v>196</v>
      </c>
      <c r="F244" s="1"/>
      <c r="G244" s="1"/>
      <c r="H244" s="1"/>
      <c r="I244" s="1"/>
      <c r="J244" s="1"/>
      <c r="K244" s="1"/>
      <c r="L244" s="1"/>
      <c r="M244" s="1"/>
      <c r="N244" s="1"/>
      <c r="O244" s="1"/>
      <c r="P244" s="1"/>
      <c r="Q244" s="1"/>
      <c r="R244" s="1"/>
      <c r="S244" s="1"/>
    </row>
    <row r="245" spans="1:19" ht="33.75" customHeight="1">
      <c r="A245" s="1" t="s">
        <v>860</v>
      </c>
      <c r="B245" s="1" t="s">
        <v>160</v>
      </c>
      <c r="C245" s="1">
        <v>4</v>
      </c>
      <c r="D245" s="4">
        <v>39849.830555555556</v>
      </c>
      <c r="E245" s="1" t="s">
        <v>14</v>
      </c>
      <c r="F245" s="1"/>
      <c r="G245" s="1"/>
      <c r="H245" s="1"/>
      <c r="I245" s="1"/>
      <c r="J245" s="1"/>
      <c r="K245" s="1"/>
      <c r="L245" s="1"/>
      <c r="M245" s="1"/>
      <c r="N245" s="1"/>
      <c r="O245" s="1"/>
      <c r="P245" s="1"/>
      <c r="Q245" s="1"/>
      <c r="R245" s="1"/>
      <c r="S245" s="1"/>
    </row>
    <row r="246" spans="1:19" ht="33.75" customHeight="1">
      <c r="A246" s="1" t="s">
        <v>864</v>
      </c>
      <c r="B246" s="1" t="s">
        <v>160</v>
      </c>
      <c r="C246" s="1">
        <v>4</v>
      </c>
      <c r="D246" s="4">
        <v>39849.85</v>
      </c>
      <c r="E246" s="1" t="s">
        <v>14</v>
      </c>
      <c r="F246" s="1"/>
      <c r="G246" s="1"/>
      <c r="H246" s="1"/>
      <c r="I246" s="1"/>
      <c r="J246" s="1"/>
      <c r="K246" s="1"/>
      <c r="L246" s="1"/>
      <c r="M246" s="1"/>
      <c r="N246" s="1"/>
      <c r="O246" s="1"/>
      <c r="P246" s="1"/>
      <c r="Q246" s="1"/>
      <c r="R246" s="1"/>
      <c r="S246" s="1"/>
    </row>
    <row r="247" spans="1:19" ht="33.75" customHeight="1">
      <c r="A247" s="1" t="s">
        <v>868</v>
      </c>
      <c r="B247" s="1" t="s">
        <v>160</v>
      </c>
      <c r="C247" s="1">
        <v>4</v>
      </c>
      <c r="D247" s="4">
        <v>39849.852777777778</v>
      </c>
      <c r="E247" s="1" t="s">
        <v>54</v>
      </c>
      <c r="F247" s="1"/>
      <c r="G247" s="1"/>
      <c r="H247" s="1"/>
      <c r="I247" s="1"/>
      <c r="J247" s="1"/>
      <c r="K247" s="1"/>
      <c r="L247" s="1"/>
      <c r="M247" s="1"/>
      <c r="N247" s="1"/>
      <c r="O247" s="1"/>
      <c r="P247" s="1"/>
      <c r="Q247" s="1"/>
      <c r="R247" s="1"/>
      <c r="S247" s="1"/>
    </row>
    <row r="248" spans="1:19" ht="33.75" customHeight="1">
      <c r="A248" s="1" t="s">
        <v>872</v>
      </c>
      <c r="B248" s="1" t="s">
        <v>160</v>
      </c>
      <c r="C248" s="1">
        <v>4</v>
      </c>
      <c r="D248" s="4">
        <v>39849.868055555555</v>
      </c>
      <c r="E248" s="1" t="s">
        <v>14</v>
      </c>
      <c r="F248" s="1"/>
      <c r="G248" s="1"/>
      <c r="H248" s="1"/>
      <c r="I248" s="1"/>
      <c r="J248" s="1"/>
      <c r="K248" s="1"/>
      <c r="L248" s="1"/>
      <c r="M248" s="1"/>
      <c r="N248" s="1"/>
      <c r="O248" s="1"/>
      <c r="P248" s="1"/>
      <c r="Q248" s="1"/>
      <c r="R248" s="1"/>
      <c r="S248" s="1"/>
    </row>
    <row r="249" spans="1:19" ht="33.75" customHeight="1">
      <c r="A249" s="1" t="s">
        <v>874</v>
      </c>
      <c r="B249" s="1" t="s">
        <v>160</v>
      </c>
      <c r="C249" s="1">
        <v>4</v>
      </c>
      <c r="D249" s="4">
        <v>39849.905555555553</v>
      </c>
      <c r="E249" s="1" t="s">
        <v>320</v>
      </c>
      <c r="F249" s="1"/>
      <c r="G249" s="1"/>
      <c r="H249" s="1"/>
      <c r="I249" s="1"/>
      <c r="J249" s="1"/>
      <c r="K249" s="1"/>
      <c r="L249" s="1"/>
      <c r="M249" s="1"/>
      <c r="N249" s="1"/>
      <c r="O249" s="1"/>
      <c r="P249" s="1"/>
      <c r="Q249" s="1"/>
      <c r="R249" s="1"/>
      <c r="S249" s="1"/>
    </row>
    <row r="250" spans="1:19" ht="33.75" customHeight="1">
      <c r="A250" s="1" t="s">
        <v>877</v>
      </c>
      <c r="B250" s="1" t="s">
        <v>160</v>
      </c>
      <c r="C250" s="1">
        <v>4</v>
      </c>
      <c r="D250" s="4">
        <v>39849.95416666667</v>
      </c>
      <c r="E250" s="1" t="s">
        <v>14</v>
      </c>
      <c r="F250" s="1"/>
      <c r="G250" s="1"/>
      <c r="H250" s="1"/>
      <c r="I250" s="1"/>
      <c r="J250" s="1"/>
      <c r="K250" s="1"/>
      <c r="L250" s="1"/>
      <c r="M250" s="1"/>
      <c r="N250" s="1"/>
      <c r="O250" s="1"/>
      <c r="P250" s="1"/>
      <c r="Q250" s="1"/>
      <c r="R250" s="1"/>
      <c r="S250" s="1"/>
    </row>
    <row r="251" spans="1:19" ht="33.75" customHeight="1">
      <c r="A251" s="1" t="s">
        <v>880</v>
      </c>
      <c r="B251" s="1" t="s">
        <v>680</v>
      </c>
      <c r="C251" s="1">
        <v>7</v>
      </c>
      <c r="D251" s="4">
        <v>39849.965277777781</v>
      </c>
      <c r="E251" s="1" t="s">
        <v>14</v>
      </c>
      <c r="F251" s="1"/>
      <c r="G251" s="1"/>
      <c r="H251" s="1"/>
      <c r="I251" s="1"/>
      <c r="J251" s="1"/>
      <c r="K251" s="1"/>
      <c r="L251" s="1"/>
      <c r="M251" s="1"/>
      <c r="N251" s="1"/>
      <c r="O251" s="1"/>
      <c r="P251" s="1"/>
      <c r="Q251" s="1"/>
      <c r="R251" s="1"/>
      <c r="S251" s="1"/>
    </row>
    <row r="252" spans="1:19" ht="33.75" customHeight="1">
      <c r="A252" s="1" t="s">
        <v>884</v>
      </c>
      <c r="B252" s="1" t="s">
        <v>160</v>
      </c>
      <c r="C252" s="1">
        <v>4</v>
      </c>
      <c r="D252" s="4">
        <v>39849.993055555555</v>
      </c>
      <c r="E252" s="1" t="s">
        <v>320</v>
      </c>
      <c r="F252" s="1"/>
      <c r="G252" s="1"/>
      <c r="H252" s="1"/>
      <c r="I252" s="1"/>
      <c r="J252" s="1"/>
      <c r="K252" s="1"/>
      <c r="L252" s="1"/>
      <c r="M252" s="1"/>
      <c r="N252" s="1"/>
      <c r="O252" s="1"/>
      <c r="P252" s="1"/>
      <c r="Q252" s="1"/>
      <c r="R252" s="1"/>
      <c r="S252" s="1"/>
    </row>
    <row r="253" spans="1:19" ht="33.75" customHeight="1">
      <c r="A253" s="1" t="s">
        <v>12</v>
      </c>
      <c r="B253" s="1" t="s">
        <v>846</v>
      </c>
      <c r="C253" s="1">
        <v>8</v>
      </c>
      <c r="D253" s="4">
        <v>39850.045520833337</v>
      </c>
      <c r="E253" s="1" t="s">
        <v>175</v>
      </c>
      <c r="F253" s="1"/>
      <c r="G253" s="1"/>
      <c r="H253" s="1"/>
      <c r="I253" s="1"/>
      <c r="J253" s="1"/>
      <c r="K253" s="1"/>
      <c r="L253" s="1"/>
      <c r="M253" s="1"/>
      <c r="N253" s="1"/>
      <c r="O253" s="1"/>
      <c r="P253" s="1"/>
      <c r="Q253" s="1"/>
      <c r="R253" s="1"/>
      <c r="S253" s="1"/>
    </row>
    <row r="254" spans="1:19" ht="33.75" customHeight="1">
      <c r="A254" s="1" t="s">
        <v>889</v>
      </c>
      <c r="B254" s="1" t="s">
        <v>160</v>
      </c>
      <c r="C254" s="1">
        <v>4</v>
      </c>
      <c r="D254" s="4">
        <v>39850.086111111108</v>
      </c>
      <c r="E254" s="1" t="s">
        <v>14</v>
      </c>
      <c r="F254" s="1"/>
      <c r="G254" s="1"/>
      <c r="H254" s="1"/>
      <c r="I254" s="1"/>
      <c r="J254" s="1"/>
      <c r="K254" s="1"/>
      <c r="L254" s="1"/>
      <c r="M254" s="1"/>
      <c r="N254" s="1"/>
      <c r="O254" s="1"/>
      <c r="P254" s="1"/>
      <c r="Q254" s="1"/>
      <c r="R254" s="1"/>
      <c r="S254" s="1"/>
    </row>
    <row r="255" spans="1:19" ht="33.75" customHeight="1">
      <c r="A255" s="1" t="s">
        <v>893</v>
      </c>
      <c r="B255" s="1" t="s">
        <v>160</v>
      </c>
      <c r="C255" s="1">
        <v>4</v>
      </c>
      <c r="D255" s="4">
        <v>39850.087500000001</v>
      </c>
      <c r="E255" s="1" t="s">
        <v>54</v>
      </c>
      <c r="F255" s="1"/>
      <c r="G255" s="1"/>
      <c r="H255" s="1"/>
      <c r="I255" s="1"/>
      <c r="J255" s="1"/>
      <c r="K255" s="1"/>
      <c r="L255" s="1"/>
      <c r="M255" s="1"/>
      <c r="N255" s="1"/>
      <c r="O255" s="1"/>
      <c r="P255" s="1"/>
      <c r="Q255" s="1"/>
      <c r="R255" s="1"/>
      <c r="S255" s="1"/>
    </row>
    <row r="256" spans="1:19" ht="33.75" customHeight="1">
      <c r="A256" s="1" t="s">
        <v>896</v>
      </c>
      <c r="B256" s="1" t="s">
        <v>160</v>
      </c>
      <c r="C256" s="1">
        <v>4</v>
      </c>
      <c r="D256" s="4">
        <v>39850.095833333333</v>
      </c>
      <c r="E256" s="1" t="s">
        <v>54</v>
      </c>
      <c r="F256" s="1"/>
      <c r="G256" s="1"/>
      <c r="H256" s="1"/>
      <c r="I256" s="1"/>
      <c r="J256" s="1"/>
      <c r="K256" s="1"/>
      <c r="L256" s="1"/>
      <c r="M256" s="1"/>
      <c r="N256" s="1"/>
      <c r="O256" s="1"/>
      <c r="P256" s="1"/>
      <c r="Q256" s="1"/>
      <c r="R256" s="1"/>
      <c r="S256" s="1"/>
    </row>
    <row r="257" spans="1:19" ht="33.75" customHeight="1">
      <c r="A257" s="1" t="s">
        <v>899</v>
      </c>
      <c r="B257" s="1" t="s">
        <v>846</v>
      </c>
      <c r="C257" s="1">
        <v>8</v>
      </c>
      <c r="D257" s="4">
        <v>39850.097222222219</v>
      </c>
      <c r="E257" s="1" t="s">
        <v>416</v>
      </c>
      <c r="F257" s="1"/>
      <c r="G257" s="1"/>
      <c r="H257" s="1"/>
      <c r="I257" s="1"/>
      <c r="J257" s="1"/>
      <c r="K257" s="1"/>
      <c r="L257" s="1"/>
      <c r="M257" s="1"/>
      <c r="N257" s="1"/>
      <c r="O257" s="1"/>
      <c r="P257" s="1"/>
      <c r="Q257" s="1"/>
      <c r="R257" s="1"/>
      <c r="S257" s="1"/>
    </row>
    <row r="258" spans="1:19" ht="33.75" customHeight="1">
      <c r="A258" s="1" t="s">
        <v>903</v>
      </c>
      <c r="B258" s="1" t="s">
        <v>846</v>
      </c>
      <c r="C258" s="1">
        <v>8</v>
      </c>
      <c r="D258" s="4">
        <v>39850.156944444447</v>
      </c>
      <c r="E258" s="1" t="s">
        <v>416</v>
      </c>
      <c r="F258" s="1"/>
      <c r="G258" s="1"/>
      <c r="H258" s="1"/>
      <c r="I258" s="1"/>
      <c r="J258" s="1"/>
      <c r="K258" s="1"/>
      <c r="L258" s="1"/>
      <c r="M258" s="1"/>
      <c r="N258" s="1"/>
      <c r="O258" s="1"/>
      <c r="P258" s="1"/>
      <c r="Q258" s="1"/>
      <c r="R258" s="1"/>
      <c r="S258" s="1"/>
    </row>
    <row r="259" spans="1:19" ht="33.75" customHeight="1">
      <c r="A259" s="1" t="s">
        <v>905</v>
      </c>
      <c r="B259" s="1" t="s">
        <v>160</v>
      </c>
      <c r="C259" s="1">
        <v>4</v>
      </c>
      <c r="D259" s="4">
        <v>39850.255555555559</v>
      </c>
      <c r="E259" s="1" t="s">
        <v>906</v>
      </c>
      <c r="F259" s="1"/>
      <c r="G259" s="1"/>
      <c r="H259" s="1"/>
      <c r="I259" s="1"/>
      <c r="J259" s="1"/>
      <c r="K259" s="1"/>
      <c r="L259" s="1"/>
      <c r="M259" s="1"/>
      <c r="N259" s="1"/>
      <c r="O259" s="1"/>
      <c r="P259" s="1"/>
      <c r="Q259" s="1"/>
      <c r="R259" s="1"/>
      <c r="S259" s="1"/>
    </row>
    <row r="260" spans="1:19" ht="33.75" customHeight="1">
      <c r="A260" s="1" t="s">
        <v>909</v>
      </c>
      <c r="B260" s="1" t="s">
        <v>160</v>
      </c>
      <c r="C260" s="1">
        <v>4</v>
      </c>
      <c r="D260" s="4">
        <v>39850.283333333333</v>
      </c>
      <c r="E260" s="1" t="s">
        <v>196</v>
      </c>
      <c r="F260" s="1"/>
      <c r="G260" s="1"/>
      <c r="H260" s="1"/>
      <c r="I260" s="1"/>
      <c r="J260" s="1"/>
      <c r="K260" s="1"/>
      <c r="L260" s="1"/>
      <c r="M260" s="1"/>
      <c r="N260" s="1"/>
      <c r="O260" s="1"/>
      <c r="P260" s="1"/>
      <c r="Q260" s="1"/>
      <c r="R260" s="1"/>
      <c r="S260" s="1"/>
    </row>
    <row r="261" spans="1:19" ht="33.75" customHeight="1">
      <c r="A261" s="1" t="s">
        <v>912</v>
      </c>
      <c r="B261" s="1" t="s">
        <v>160</v>
      </c>
      <c r="C261" s="1">
        <v>4</v>
      </c>
      <c r="D261" s="4">
        <v>39850.286805555559</v>
      </c>
      <c r="E261" s="1" t="s">
        <v>913</v>
      </c>
      <c r="F261" s="1"/>
      <c r="G261" s="1"/>
      <c r="H261" s="1"/>
      <c r="I261" s="1"/>
      <c r="J261" s="1"/>
      <c r="K261" s="1"/>
      <c r="L261" s="1"/>
      <c r="M261" s="1"/>
      <c r="N261" s="1"/>
      <c r="O261" s="1"/>
      <c r="P261" s="1"/>
      <c r="Q261" s="1"/>
      <c r="R261" s="1"/>
      <c r="S261" s="1"/>
    </row>
    <row r="262" spans="1:19" ht="33.75" customHeight="1">
      <c r="A262" s="1" t="s">
        <v>916</v>
      </c>
      <c r="B262" s="1" t="s">
        <v>160</v>
      </c>
      <c r="C262" s="1">
        <v>4</v>
      </c>
      <c r="D262" s="4">
        <v>39850.300000000003</v>
      </c>
      <c r="E262" s="1" t="s">
        <v>196</v>
      </c>
      <c r="F262" s="1"/>
      <c r="G262" s="1"/>
      <c r="H262" s="1"/>
      <c r="I262" s="1"/>
      <c r="J262" s="1"/>
      <c r="K262" s="1"/>
      <c r="L262" s="1"/>
      <c r="M262" s="1"/>
      <c r="N262" s="1"/>
      <c r="O262" s="1"/>
      <c r="P262" s="1"/>
      <c r="Q262" s="1"/>
      <c r="R262" s="1"/>
      <c r="S262" s="1"/>
    </row>
    <row r="263" spans="1:19" ht="33.75" customHeight="1">
      <c r="A263" s="1" t="s">
        <v>919</v>
      </c>
      <c r="B263" s="1" t="s">
        <v>846</v>
      </c>
      <c r="C263" s="1">
        <v>8</v>
      </c>
      <c r="D263" s="4">
        <v>39850.3125</v>
      </c>
      <c r="E263" s="1" t="s">
        <v>84</v>
      </c>
      <c r="F263" s="1"/>
      <c r="G263" s="1"/>
      <c r="H263" s="1"/>
      <c r="I263" s="1"/>
      <c r="J263" s="1"/>
      <c r="K263" s="1"/>
      <c r="L263" s="1"/>
      <c r="M263" s="1"/>
      <c r="N263" s="1"/>
      <c r="O263" s="1"/>
      <c r="P263" s="1"/>
      <c r="Q263" s="1"/>
      <c r="R263" s="1"/>
      <c r="S263" s="1"/>
    </row>
    <row r="264" spans="1:19" ht="33.75" customHeight="1">
      <c r="A264" s="1" t="s">
        <v>921</v>
      </c>
      <c r="B264" s="1" t="s">
        <v>160</v>
      </c>
      <c r="C264" s="1">
        <v>4</v>
      </c>
      <c r="D264" s="4">
        <v>39850.361111111109</v>
      </c>
      <c r="E264" s="1" t="s">
        <v>196</v>
      </c>
      <c r="F264" s="1"/>
      <c r="G264" s="1"/>
      <c r="H264" s="1"/>
      <c r="I264" s="1"/>
      <c r="J264" s="1"/>
      <c r="K264" s="1"/>
      <c r="L264" s="1"/>
      <c r="M264" s="1"/>
      <c r="N264" s="1"/>
      <c r="O264" s="1"/>
      <c r="P264" s="1"/>
      <c r="Q264" s="1"/>
      <c r="R264" s="1"/>
      <c r="S264" s="1"/>
    </row>
    <row r="265" spans="1:19" ht="33.75" customHeight="1">
      <c r="A265" s="1" t="s">
        <v>923</v>
      </c>
      <c r="B265" s="1" t="s">
        <v>160</v>
      </c>
      <c r="C265" s="1">
        <v>4</v>
      </c>
      <c r="D265" s="4">
        <v>39850.365277777775</v>
      </c>
      <c r="E265" s="1" t="s">
        <v>196</v>
      </c>
      <c r="F265" s="1"/>
      <c r="G265" s="1"/>
      <c r="H265" s="1"/>
      <c r="I265" s="1"/>
      <c r="J265" s="1"/>
      <c r="K265" s="1"/>
      <c r="L265" s="1"/>
      <c r="M265" s="1"/>
      <c r="N265" s="1"/>
      <c r="O265" s="1"/>
      <c r="P265" s="1"/>
      <c r="Q265" s="1"/>
      <c r="R265" s="1"/>
      <c r="S265" s="1"/>
    </row>
    <row r="266" spans="1:19" ht="33.75" customHeight="1">
      <c r="A266" s="1" t="s">
        <v>12</v>
      </c>
      <c r="B266" s="1" t="s">
        <v>926</v>
      </c>
      <c r="C266" s="1">
        <v>9</v>
      </c>
      <c r="D266" s="4">
        <v>39850.377500000002</v>
      </c>
      <c r="E266" s="1" t="s">
        <v>14</v>
      </c>
      <c r="F266" s="1"/>
      <c r="G266" s="1"/>
      <c r="H266" s="1"/>
      <c r="I266" s="1"/>
      <c r="J266" s="1"/>
      <c r="K266" s="1"/>
      <c r="L266" s="1"/>
      <c r="M266" s="1"/>
      <c r="N266" s="1"/>
      <c r="O266" s="1"/>
      <c r="P266" s="1"/>
      <c r="Q266" s="1"/>
      <c r="R266" s="1"/>
      <c r="S266" s="1"/>
    </row>
    <row r="267" spans="1:19" ht="33.75" customHeight="1">
      <c r="A267" s="1" t="s">
        <v>929</v>
      </c>
      <c r="B267" s="1" t="s">
        <v>160</v>
      </c>
      <c r="C267" s="1">
        <v>4</v>
      </c>
      <c r="D267" s="4">
        <v>39850.380555555559</v>
      </c>
      <c r="E267" s="1" t="s">
        <v>14</v>
      </c>
      <c r="F267" s="1"/>
      <c r="G267" s="1"/>
      <c r="H267" s="1"/>
      <c r="I267" s="1"/>
      <c r="J267" s="1"/>
      <c r="K267" s="1"/>
      <c r="L267" s="1"/>
      <c r="M267" s="1"/>
      <c r="N267" s="1"/>
      <c r="O267" s="1"/>
      <c r="P267" s="1"/>
      <c r="Q267" s="1"/>
      <c r="R267" s="1"/>
      <c r="S267" s="1"/>
    </row>
    <row r="268" spans="1:19" ht="33.75" customHeight="1">
      <c r="A268" s="1" t="s">
        <v>932</v>
      </c>
      <c r="B268" s="1" t="s">
        <v>160</v>
      </c>
      <c r="C268" s="1">
        <v>4</v>
      </c>
      <c r="D268" s="4">
        <v>39850.42083333333</v>
      </c>
      <c r="E268" s="1" t="s">
        <v>14</v>
      </c>
      <c r="F268" s="1"/>
      <c r="G268" s="1"/>
      <c r="H268" s="1"/>
      <c r="I268" s="1"/>
      <c r="J268" s="1"/>
      <c r="K268" s="1"/>
      <c r="L268" s="1"/>
      <c r="M268" s="1"/>
      <c r="N268" s="1"/>
      <c r="O268" s="1"/>
      <c r="P268" s="1"/>
      <c r="Q268" s="1"/>
      <c r="R268" s="1"/>
      <c r="S268" s="1"/>
    </row>
    <row r="269" spans="1:19" ht="33.75" customHeight="1">
      <c r="A269" s="1" t="s">
        <v>934</v>
      </c>
      <c r="B269" s="1" t="s">
        <v>926</v>
      </c>
      <c r="C269" s="1">
        <v>9</v>
      </c>
      <c r="D269" s="4">
        <v>39850.469444444447</v>
      </c>
      <c r="E269" s="1" t="s">
        <v>14</v>
      </c>
      <c r="F269" s="1"/>
      <c r="G269" s="1"/>
      <c r="H269" s="1"/>
      <c r="I269" s="1"/>
      <c r="J269" s="1"/>
      <c r="K269" s="1"/>
      <c r="L269" s="1"/>
      <c r="M269" s="1"/>
      <c r="N269" s="1"/>
      <c r="O269" s="1"/>
      <c r="P269" s="1"/>
      <c r="Q269" s="1"/>
      <c r="R269" s="1"/>
      <c r="S269" s="1"/>
    </row>
    <row r="270" spans="1:19" ht="33.75" customHeight="1">
      <c r="A270" s="1" t="s">
        <v>937</v>
      </c>
      <c r="B270" s="1" t="s">
        <v>926</v>
      </c>
      <c r="C270" s="1">
        <v>9</v>
      </c>
      <c r="D270" s="4">
        <v>39850.478472222225</v>
      </c>
      <c r="E270" s="1" t="s">
        <v>14</v>
      </c>
      <c r="F270" s="1"/>
      <c r="G270" s="1"/>
      <c r="H270" s="1"/>
      <c r="I270" s="1"/>
      <c r="J270" s="1"/>
      <c r="K270" s="1"/>
      <c r="L270" s="1"/>
      <c r="M270" s="1"/>
      <c r="N270" s="1"/>
      <c r="O270" s="1"/>
      <c r="P270" s="1"/>
      <c r="Q270" s="1"/>
      <c r="R270" s="1"/>
      <c r="S270" s="1"/>
    </row>
    <row r="271" spans="1:19" ht="33.75" customHeight="1">
      <c r="A271" s="1" t="s">
        <v>939</v>
      </c>
      <c r="B271" s="1" t="s">
        <v>926</v>
      </c>
      <c r="C271" s="1">
        <v>9</v>
      </c>
      <c r="D271" s="4">
        <v>39850.489583333336</v>
      </c>
      <c r="E271" s="1" t="s">
        <v>14</v>
      </c>
      <c r="F271" s="1"/>
      <c r="G271" s="1"/>
      <c r="H271" s="1"/>
      <c r="I271" s="1"/>
      <c r="J271" s="1"/>
      <c r="K271" s="1"/>
      <c r="L271" s="1"/>
      <c r="M271" s="1"/>
      <c r="N271" s="1"/>
      <c r="O271" s="1"/>
      <c r="P271" s="1"/>
      <c r="Q271" s="1"/>
      <c r="R271" s="1"/>
      <c r="S271" s="1"/>
    </row>
    <row r="272" spans="1:19" ht="33.75" customHeight="1">
      <c r="A272" s="1" t="s">
        <v>941</v>
      </c>
      <c r="B272" s="1" t="s">
        <v>926</v>
      </c>
      <c r="C272" s="1">
        <v>9</v>
      </c>
      <c r="D272" s="4">
        <v>39850.518055555556</v>
      </c>
      <c r="E272" s="1" t="s">
        <v>14</v>
      </c>
      <c r="F272" s="1"/>
      <c r="G272" s="1"/>
      <c r="H272" s="1"/>
      <c r="I272" s="1"/>
      <c r="J272" s="1"/>
      <c r="K272" s="1"/>
      <c r="L272" s="1"/>
      <c r="M272" s="1"/>
      <c r="N272" s="1"/>
      <c r="O272" s="1"/>
      <c r="P272" s="1"/>
      <c r="Q272" s="1"/>
      <c r="R272" s="1"/>
      <c r="S272" s="1"/>
    </row>
    <row r="273" spans="1:19" ht="33.75" customHeight="1">
      <c r="A273" s="1" t="s">
        <v>943</v>
      </c>
      <c r="B273" s="1" t="s">
        <v>926</v>
      </c>
      <c r="C273" s="1">
        <v>9</v>
      </c>
      <c r="D273" s="4">
        <v>39850.525000000001</v>
      </c>
      <c r="E273" s="1" t="s">
        <v>14</v>
      </c>
      <c r="F273" s="1"/>
      <c r="G273" s="1"/>
      <c r="H273" s="1"/>
      <c r="I273" s="1"/>
      <c r="J273" s="1"/>
      <c r="K273" s="1"/>
      <c r="L273" s="1"/>
      <c r="M273" s="1"/>
      <c r="N273" s="1"/>
      <c r="O273" s="1"/>
      <c r="P273" s="1"/>
      <c r="Q273" s="1"/>
      <c r="R273" s="1"/>
      <c r="S273" s="1"/>
    </row>
    <row r="274" spans="1:19" ht="33.75" customHeight="1">
      <c r="A274" s="1" t="s">
        <v>945</v>
      </c>
      <c r="B274" s="1" t="s">
        <v>926</v>
      </c>
      <c r="C274" s="1">
        <v>9</v>
      </c>
      <c r="D274" s="4">
        <v>39850.538888888892</v>
      </c>
      <c r="E274" s="1" t="s">
        <v>14</v>
      </c>
      <c r="F274" s="1"/>
      <c r="G274" s="1"/>
      <c r="H274" s="1"/>
      <c r="I274" s="1"/>
      <c r="J274" s="1"/>
      <c r="K274" s="1"/>
      <c r="L274" s="1"/>
      <c r="M274" s="1"/>
      <c r="N274" s="1"/>
      <c r="O274" s="1"/>
      <c r="P274" s="1"/>
      <c r="Q274" s="1"/>
      <c r="R274" s="1"/>
      <c r="S274" s="1"/>
    </row>
    <row r="275" spans="1:19" ht="33.75" customHeight="1">
      <c r="A275" s="1" t="s">
        <v>947</v>
      </c>
      <c r="B275" s="1" t="s">
        <v>926</v>
      </c>
      <c r="C275" s="1">
        <v>9</v>
      </c>
      <c r="D275" s="4">
        <v>39850.552777777775</v>
      </c>
      <c r="E275" s="1" t="s">
        <v>14</v>
      </c>
      <c r="F275" s="1"/>
      <c r="G275" s="1"/>
      <c r="H275" s="1"/>
      <c r="I275" s="1"/>
      <c r="J275" s="1"/>
      <c r="K275" s="1"/>
      <c r="L275" s="1"/>
      <c r="M275" s="1"/>
      <c r="N275" s="1"/>
      <c r="O275" s="1"/>
      <c r="P275" s="1"/>
      <c r="Q275" s="1"/>
      <c r="R275" s="1"/>
      <c r="S275" s="1"/>
    </row>
    <row r="276" spans="1:19" ht="33.75" customHeight="1">
      <c r="A276" s="1" t="s">
        <v>949</v>
      </c>
      <c r="B276" s="1" t="s">
        <v>926</v>
      </c>
      <c r="C276" s="1">
        <v>9</v>
      </c>
      <c r="D276" s="4">
        <v>39850.568055555559</v>
      </c>
      <c r="E276" s="1" t="s">
        <v>14</v>
      </c>
      <c r="F276" s="1"/>
      <c r="G276" s="1"/>
      <c r="H276" s="1"/>
      <c r="I276" s="1"/>
      <c r="J276" s="1"/>
      <c r="K276" s="1"/>
      <c r="L276" s="1"/>
      <c r="M276" s="1"/>
      <c r="N276" s="1"/>
      <c r="O276" s="1"/>
      <c r="P276" s="1"/>
      <c r="Q276" s="1"/>
      <c r="R276" s="1"/>
      <c r="S276" s="1"/>
    </row>
    <row r="277" spans="1:19" ht="33.75" customHeight="1">
      <c r="A277" s="1" t="s">
        <v>951</v>
      </c>
      <c r="B277" s="1" t="s">
        <v>926</v>
      </c>
      <c r="C277" s="1">
        <v>9</v>
      </c>
      <c r="D277" s="4">
        <v>39850.582638888889</v>
      </c>
      <c r="E277" s="1" t="s">
        <v>14</v>
      </c>
      <c r="F277" s="1"/>
      <c r="G277" s="1"/>
      <c r="H277" s="1"/>
      <c r="I277" s="1"/>
      <c r="J277" s="1"/>
      <c r="K277" s="1"/>
      <c r="L277" s="1"/>
      <c r="M277" s="1"/>
      <c r="N277" s="1"/>
      <c r="O277" s="1"/>
      <c r="P277" s="1"/>
      <c r="Q277" s="1"/>
      <c r="R277" s="1"/>
      <c r="S277" s="1"/>
    </row>
    <row r="278" spans="1:19" ht="33.75" customHeight="1">
      <c r="A278" s="1" t="s">
        <v>953</v>
      </c>
      <c r="B278" s="1" t="s">
        <v>926</v>
      </c>
      <c r="C278" s="1">
        <v>9</v>
      </c>
      <c r="D278" s="4">
        <v>39850.634722222225</v>
      </c>
      <c r="E278" s="1" t="s">
        <v>320</v>
      </c>
      <c r="F278" s="1"/>
      <c r="G278" s="1"/>
      <c r="H278" s="1"/>
      <c r="I278" s="1"/>
      <c r="J278" s="1"/>
      <c r="K278" s="1"/>
      <c r="L278" s="1"/>
      <c r="M278" s="1"/>
      <c r="N278" s="1"/>
      <c r="O278" s="1"/>
      <c r="P278" s="1"/>
      <c r="Q278" s="1"/>
      <c r="R278" s="1"/>
      <c r="S278" s="1"/>
    </row>
    <row r="279" spans="1:19" ht="33.75" customHeight="1">
      <c r="A279" s="1" t="s">
        <v>957</v>
      </c>
      <c r="B279" s="1" t="s">
        <v>846</v>
      </c>
      <c r="C279" s="1">
        <v>8</v>
      </c>
      <c r="D279" s="4">
        <v>39850.677777777775</v>
      </c>
      <c r="E279" s="1" t="s">
        <v>416</v>
      </c>
      <c r="F279" s="1"/>
      <c r="G279" s="1"/>
      <c r="H279" s="1"/>
      <c r="I279" s="1"/>
      <c r="J279" s="1"/>
      <c r="K279" s="1"/>
      <c r="L279" s="1"/>
      <c r="M279" s="1"/>
      <c r="N279" s="1"/>
      <c r="O279" s="1"/>
      <c r="P279" s="1"/>
      <c r="Q279" s="1"/>
      <c r="R279" s="1"/>
      <c r="S279" s="1"/>
    </row>
    <row r="280" spans="1:19" ht="33.75" customHeight="1">
      <c r="A280" s="1" t="s">
        <v>959</v>
      </c>
      <c r="B280" s="1" t="s">
        <v>926</v>
      </c>
      <c r="C280" s="1">
        <v>9</v>
      </c>
      <c r="D280" s="4">
        <v>39850.700694444444</v>
      </c>
      <c r="E280" s="1" t="s">
        <v>14</v>
      </c>
      <c r="F280" s="1"/>
      <c r="G280" s="1"/>
      <c r="H280" s="1"/>
      <c r="I280" s="1"/>
      <c r="J280" s="1"/>
      <c r="K280" s="1"/>
      <c r="L280" s="1"/>
      <c r="M280" s="1"/>
      <c r="N280" s="1"/>
      <c r="O280" s="1"/>
      <c r="P280" s="1"/>
      <c r="Q280" s="1"/>
      <c r="R280" s="1"/>
      <c r="S280" s="1"/>
    </row>
    <row r="281" spans="1:19" ht="33.75" customHeight="1">
      <c r="A281" s="1" t="s">
        <v>962</v>
      </c>
      <c r="B281" s="1" t="s">
        <v>926</v>
      </c>
      <c r="C281" s="1">
        <v>9</v>
      </c>
      <c r="D281" s="4">
        <v>39850.715277777781</v>
      </c>
      <c r="E281" s="1" t="s">
        <v>320</v>
      </c>
      <c r="F281" s="1"/>
      <c r="G281" s="1"/>
      <c r="H281" s="1"/>
      <c r="I281" s="1"/>
      <c r="J281" s="1"/>
      <c r="K281" s="1"/>
      <c r="L281" s="1"/>
      <c r="M281" s="1"/>
      <c r="N281" s="1"/>
      <c r="O281" s="1"/>
      <c r="P281" s="1"/>
      <c r="Q281" s="1"/>
      <c r="R281" s="1"/>
      <c r="S281" s="1"/>
    </row>
    <row r="282" spans="1:19" ht="33.75" customHeight="1">
      <c r="A282" s="1" t="s">
        <v>964</v>
      </c>
      <c r="B282" s="1" t="s">
        <v>926</v>
      </c>
      <c r="C282" s="1">
        <v>9</v>
      </c>
      <c r="D282" s="4">
        <v>39850.71597222222</v>
      </c>
      <c r="E282" s="1" t="s">
        <v>84</v>
      </c>
      <c r="F282" s="1"/>
      <c r="G282" s="1"/>
      <c r="H282" s="1"/>
      <c r="I282" s="1"/>
      <c r="J282" s="1"/>
      <c r="K282" s="1"/>
      <c r="L282" s="1"/>
      <c r="M282" s="1"/>
      <c r="N282" s="1"/>
      <c r="O282" s="1"/>
      <c r="P282" s="1"/>
      <c r="Q282" s="1"/>
      <c r="R282" s="1"/>
      <c r="S282" s="1"/>
    </row>
    <row r="283" spans="1:19" ht="33.75" customHeight="1">
      <c r="A283" s="1" t="s">
        <v>967</v>
      </c>
      <c r="B283" s="1" t="s">
        <v>926</v>
      </c>
      <c r="C283" s="1">
        <v>9</v>
      </c>
      <c r="D283" s="4">
        <v>39850.717361111114</v>
      </c>
      <c r="E283" s="1" t="s">
        <v>14</v>
      </c>
      <c r="F283" s="1"/>
      <c r="G283" s="1"/>
      <c r="H283" s="1"/>
      <c r="I283" s="1"/>
      <c r="J283" s="1"/>
      <c r="K283" s="1"/>
      <c r="L283" s="1"/>
      <c r="M283" s="1"/>
      <c r="N283" s="1"/>
      <c r="O283" s="1"/>
      <c r="P283" s="1"/>
      <c r="Q283" s="1"/>
      <c r="R283" s="1"/>
      <c r="S283" s="1"/>
    </row>
    <row r="284" spans="1:19" ht="33.75" customHeight="1">
      <c r="A284" s="1" t="s">
        <v>970</v>
      </c>
      <c r="B284" s="1" t="s">
        <v>926</v>
      </c>
      <c r="C284" s="1">
        <v>9</v>
      </c>
      <c r="D284" s="4">
        <v>39850.71875</v>
      </c>
      <c r="E284" s="1" t="s">
        <v>84</v>
      </c>
      <c r="F284" s="1"/>
      <c r="G284" s="1"/>
      <c r="H284" s="1"/>
      <c r="I284" s="1"/>
      <c r="J284" s="1"/>
      <c r="K284" s="1"/>
      <c r="L284" s="1"/>
      <c r="M284" s="1"/>
      <c r="N284" s="1"/>
      <c r="O284" s="1"/>
      <c r="P284" s="1"/>
      <c r="Q284" s="1"/>
      <c r="R284" s="1"/>
      <c r="S284" s="1"/>
    </row>
    <row r="285" spans="1:19" ht="33.75" customHeight="1">
      <c r="A285" s="1" t="s">
        <v>972</v>
      </c>
      <c r="B285" s="1" t="s">
        <v>926</v>
      </c>
      <c r="C285" s="1">
        <v>9</v>
      </c>
      <c r="D285" s="4">
        <v>39850.729861111111</v>
      </c>
      <c r="E285" s="1" t="s">
        <v>14</v>
      </c>
      <c r="F285" s="1"/>
      <c r="G285" s="1"/>
      <c r="H285" s="1"/>
      <c r="I285" s="1"/>
      <c r="J285" s="1"/>
      <c r="K285" s="1"/>
      <c r="L285" s="1"/>
      <c r="M285" s="1"/>
      <c r="N285" s="1"/>
      <c r="O285" s="1"/>
      <c r="P285" s="1"/>
      <c r="Q285" s="1"/>
      <c r="R285" s="1"/>
      <c r="S285" s="1"/>
    </row>
    <row r="286" spans="1:19" ht="33.75" customHeight="1">
      <c r="A286" s="1" t="s">
        <v>975</v>
      </c>
      <c r="B286" s="1" t="s">
        <v>926</v>
      </c>
      <c r="C286" s="1">
        <v>9</v>
      </c>
      <c r="D286" s="4">
        <v>39850.742361111108</v>
      </c>
      <c r="E286" s="1" t="s">
        <v>14</v>
      </c>
      <c r="F286" s="1"/>
      <c r="G286" s="1"/>
      <c r="H286" s="1"/>
      <c r="I286" s="1"/>
      <c r="J286" s="1"/>
      <c r="K286" s="1"/>
      <c r="L286" s="1"/>
      <c r="M286" s="1"/>
      <c r="N286" s="1"/>
      <c r="O286" s="1"/>
      <c r="P286" s="1"/>
      <c r="Q286" s="1"/>
      <c r="R286" s="1"/>
      <c r="S286" s="1"/>
    </row>
    <row r="287" spans="1:19" ht="33.75" customHeight="1">
      <c r="A287" s="1" t="s">
        <v>978</v>
      </c>
      <c r="B287" s="1" t="s">
        <v>926</v>
      </c>
      <c r="C287" s="1">
        <v>9</v>
      </c>
      <c r="D287" s="4">
        <v>39850.759722222225</v>
      </c>
      <c r="E287" s="1" t="s">
        <v>14</v>
      </c>
      <c r="F287" s="1"/>
      <c r="G287" s="1"/>
      <c r="H287" s="1"/>
      <c r="I287" s="1"/>
      <c r="J287" s="1"/>
      <c r="K287" s="1"/>
      <c r="L287" s="1"/>
      <c r="M287" s="1"/>
      <c r="N287" s="1"/>
      <c r="O287" s="1"/>
      <c r="P287" s="1"/>
      <c r="Q287" s="1"/>
      <c r="R287" s="1"/>
      <c r="S287" s="1"/>
    </row>
    <row r="288" spans="1:19" ht="33.75" customHeight="1">
      <c r="A288" s="1" t="s">
        <v>981</v>
      </c>
      <c r="B288" s="3" t="s">
        <v>13</v>
      </c>
      <c r="C288" s="3">
        <v>1</v>
      </c>
      <c r="D288" s="4">
        <v>39850.771527777775</v>
      </c>
      <c r="E288" s="1" t="s">
        <v>982</v>
      </c>
      <c r="F288" s="1"/>
      <c r="G288" s="1"/>
      <c r="H288" s="1"/>
      <c r="I288" s="1"/>
      <c r="J288" s="1"/>
      <c r="K288" s="1"/>
      <c r="L288" s="1"/>
      <c r="M288" s="1"/>
      <c r="N288" s="1"/>
      <c r="O288" s="1"/>
      <c r="P288" s="1"/>
      <c r="Q288" s="1"/>
      <c r="R288" s="1"/>
      <c r="S288" s="1"/>
    </row>
    <row r="289" spans="1:19" ht="33.75" customHeight="1">
      <c r="A289" s="1" t="s">
        <v>985</v>
      </c>
      <c r="B289" s="1" t="s">
        <v>846</v>
      </c>
      <c r="C289" s="1">
        <v>8</v>
      </c>
      <c r="D289" s="4">
        <v>39850.771527777775</v>
      </c>
      <c r="E289" s="1" t="s">
        <v>84</v>
      </c>
      <c r="F289" s="1"/>
      <c r="G289" s="1"/>
      <c r="H289" s="1"/>
      <c r="I289" s="1"/>
      <c r="J289" s="1"/>
      <c r="K289" s="1"/>
      <c r="L289" s="1"/>
      <c r="M289" s="1"/>
      <c r="N289" s="1"/>
      <c r="O289" s="1"/>
      <c r="P289" s="1"/>
      <c r="Q289" s="1"/>
      <c r="R289" s="1"/>
      <c r="S289" s="1"/>
    </row>
    <row r="290" spans="1:19" ht="33.75" customHeight="1">
      <c r="A290" s="1" t="s">
        <v>988</v>
      </c>
      <c r="B290" s="1" t="s">
        <v>926</v>
      </c>
      <c r="C290" s="1">
        <v>9</v>
      </c>
      <c r="D290" s="4">
        <v>39850.772916666669</v>
      </c>
      <c r="E290" s="1" t="s">
        <v>196</v>
      </c>
      <c r="F290" s="1"/>
      <c r="G290" s="1"/>
      <c r="H290" s="1"/>
      <c r="I290" s="1"/>
      <c r="J290" s="1"/>
      <c r="K290" s="1"/>
      <c r="L290" s="1"/>
      <c r="M290" s="1"/>
      <c r="N290" s="1"/>
      <c r="O290" s="1"/>
      <c r="P290" s="1"/>
      <c r="Q290" s="1"/>
      <c r="R290" s="1"/>
      <c r="S290" s="1"/>
    </row>
    <row r="291" spans="1:19" ht="33.75" customHeight="1">
      <c r="A291" s="1" t="s">
        <v>991</v>
      </c>
      <c r="B291" s="1" t="s">
        <v>926</v>
      </c>
      <c r="C291" s="1">
        <v>9</v>
      </c>
      <c r="D291" s="4">
        <v>39850.802083333336</v>
      </c>
      <c r="E291" s="1" t="s">
        <v>14</v>
      </c>
      <c r="F291" s="1"/>
      <c r="G291" s="1"/>
      <c r="H291" s="1"/>
      <c r="I291" s="1"/>
      <c r="J291" s="1"/>
      <c r="K291" s="1"/>
      <c r="L291" s="1"/>
      <c r="M291" s="1"/>
      <c r="N291" s="1"/>
      <c r="O291" s="1"/>
      <c r="P291" s="1"/>
      <c r="Q291" s="1"/>
      <c r="R291" s="1"/>
      <c r="S291" s="1"/>
    </row>
    <row r="292" spans="1:19" ht="33.75" customHeight="1">
      <c r="A292" s="1" t="s">
        <v>994</v>
      </c>
      <c r="B292" s="1" t="s">
        <v>846</v>
      </c>
      <c r="C292" s="1">
        <v>8</v>
      </c>
      <c r="D292" s="4">
        <v>39850.803472222222</v>
      </c>
      <c r="E292" s="1" t="s">
        <v>54</v>
      </c>
      <c r="F292" s="1"/>
      <c r="G292" s="1"/>
      <c r="H292" s="1"/>
      <c r="I292" s="1"/>
      <c r="J292" s="1"/>
      <c r="K292" s="1"/>
      <c r="L292" s="1"/>
      <c r="M292" s="1"/>
      <c r="N292" s="1"/>
      <c r="O292" s="1"/>
      <c r="P292" s="1"/>
      <c r="Q292" s="1"/>
      <c r="R292" s="1"/>
      <c r="S292" s="1"/>
    </row>
    <row r="293" spans="1:19" ht="33.75" customHeight="1">
      <c r="A293" s="1" t="s">
        <v>996</v>
      </c>
      <c r="B293" s="1" t="s">
        <v>926</v>
      </c>
      <c r="C293" s="1">
        <v>9</v>
      </c>
      <c r="D293" s="4">
        <v>39850.809027777781</v>
      </c>
      <c r="E293" s="1" t="s">
        <v>320</v>
      </c>
      <c r="F293" s="1"/>
      <c r="G293" s="1"/>
      <c r="H293" s="1"/>
      <c r="I293" s="1"/>
      <c r="J293" s="1"/>
      <c r="K293" s="1"/>
      <c r="L293" s="1"/>
      <c r="M293" s="1"/>
      <c r="N293" s="1"/>
      <c r="O293" s="1"/>
      <c r="P293" s="1"/>
      <c r="Q293" s="1"/>
      <c r="R293" s="1"/>
      <c r="S293" s="1"/>
    </row>
    <row r="294" spans="1:19" ht="33.75" customHeight="1">
      <c r="A294" s="1" t="s">
        <v>998</v>
      </c>
      <c r="B294" s="1" t="s">
        <v>926</v>
      </c>
      <c r="C294" s="1">
        <v>9</v>
      </c>
      <c r="D294" s="4">
        <v>39850.811111111114</v>
      </c>
      <c r="E294" s="1" t="s">
        <v>196</v>
      </c>
      <c r="F294" s="1"/>
      <c r="G294" s="1"/>
      <c r="H294" s="1"/>
      <c r="I294" s="1"/>
      <c r="J294" s="1"/>
      <c r="K294" s="1"/>
      <c r="L294" s="1"/>
      <c r="M294" s="1"/>
      <c r="N294" s="1"/>
      <c r="O294" s="1"/>
      <c r="P294" s="1"/>
      <c r="Q294" s="1"/>
      <c r="R294" s="1"/>
      <c r="S294" s="1"/>
    </row>
    <row r="295" spans="1:19" ht="33.75" customHeight="1">
      <c r="A295" s="1" t="s">
        <v>1001</v>
      </c>
      <c r="B295" s="1" t="s">
        <v>926</v>
      </c>
      <c r="C295" s="1">
        <v>9</v>
      </c>
      <c r="D295" s="4">
        <v>39850.81527777778</v>
      </c>
      <c r="E295" s="1" t="s">
        <v>14</v>
      </c>
      <c r="F295" s="1"/>
      <c r="G295" s="1"/>
      <c r="H295" s="1"/>
      <c r="I295" s="1"/>
      <c r="J295" s="1"/>
      <c r="K295" s="1"/>
      <c r="L295" s="1"/>
      <c r="M295" s="1"/>
      <c r="N295" s="1"/>
      <c r="O295" s="1"/>
      <c r="P295" s="1"/>
      <c r="Q295" s="1"/>
      <c r="R295" s="1"/>
      <c r="S295" s="1"/>
    </row>
    <row r="296" spans="1:19" ht="33.75" customHeight="1">
      <c r="A296" s="1" t="s">
        <v>1003</v>
      </c>
      <c r="B296" s="1" t="s">
        <v>926</v>
      </c>
      <c r="C296" s="1">
        <v>9</v>
      </c>
      <c r="D296" s="4">
        <v>39850.815972222219</v>
      </c>
      <c r="E296" s="1" t="s">
        <v>84</v>
      </c>
      <c r="F296" s="1"/>
      <c r="G296" s="1"/>
      <c r="H296" s="1"/>
      <c r="I296" s="1"/>
      <c r="J296" s="1"/>
      <c r="K296" s="1"/>
      <c r="L296" s="1"/>
      <c r="M296" s="1"/>
      <c r="N296" s="1"/>
      <c r="O296" s="1"/>
      <c r="P296" s="1"/>
      <c r="Q296" s="1"/>
      <c r="R296" s="1"/>
      <c r="S296" s="1"/>
    </row>
    <row r="297" spans="1:19" ht="33.75" customHeight="1">
      <c r="A297" s="1" t="s">
        <v>1005</v>
      </c>
      <c r="B297" s="1" t="s">
        <v>926</v>
      </c>
      <c r="C297" s="1">
        <v>9</v>
      </c>
      <c r="D297" s="4">
        <v>39850.817361111112</v>
      </c>
      <c r="E297" s="1" t="s">
        <v>14</v>
      </c>
      <c r="F297" s="1"/>
      <c r="G297" s="1"/>
      <c r="H297" s="1"/>
      <c r="I297" s="1"/>
      <c r="J297" s="1"/>
      <c r="K297" s="1"/>
      <c r="L297" s="1"/>
      <c r="M297" s="1"/>
      <c r="N297" s="1"/>
      <c r="O297" s="1"/>
      <c r="P297" s="1"/>
      <c r="Q297" s="1"/>
      <c r="R297" s="1"/>
      <c r="S297" s="1"/>
    </row>
    <row r="298" spans="1:19" ht="33.75" customHeight="1">
      <c r="A298" s="1" t="s">
        <v>1007</v>
      </c>
      <c r="B298" s="1" t="s">
        <v>926</v>
      </c>
      <c r="C298" s="1">
        <v>9</v>
      </c>
      <c r="D298" s="4">
        <v>39850.838888888888</v>
      </c>
      <c r="E298" s="1" t="s">
        <v>14</v>
      </c>
      <c r="F298" s="1"/>
      <c r="G298" s="1"/>
      <c r="H298" s="1"/>
      <c r="I298" s="1"/>
      <c r="J298" s="1"/>
      <c r="K298" s="1"/>
      <c r="L298" s="1"/>
      <c r="M298" s="1"/>
      <c r="N298" s="1"/>
      <c r="O298" s="1"/>
      <c r="P298" s="1"/>
      <c r="Q298" s="1"/>
      <c r="R298" s="1"/>
      <c r="S298" s="1"/>
    </row>
    <row r="299" spans="1:19" ht="33.75" customHeight="1">
      <c r="A299" s="1" t="s">
        <v>1009</v>
      </c>
      <c r="B299" s="1" t="s">
        <v>926</v>
      </c>
      <c r="C299" s="1">
        <v>9</v>
      </c>
      <c r="D299" s="4">
        <v>39850.854166666664</v>
      </c>
      <c r="E299" s="1" t="s">
        <v>196</v>
      </c>
      <c r="F299" s="1"/>
      <c r="G299" s="1"/>
      <c r="H299" s="1"/>
      <c r="I299" s="1"/>
      <c r="J299" s="1"/>
      <c r="K299" s="1"/>
      <c r="L299" s="1"/>
      <c r="M299" s="1"/>
      <c r="N299" s="1"/>
      <c r="O299" s="1"/>
      <c r="P299" s="1"/>
      <c r="Q299" s="1"/>
      <c r="R299" s="1"/>
      <c r="S299" s="1"/>
    </row>
    <row r="300" spans="1:19" ht="33.75" customHeight="1">
      <c r="A300" s="1" t="s">
        <v>1012</v>
      </c>
      <c r="B300" s="1" t="s">
        <v>926</v>
      </c>
      <c r="C300" s="1">
        <v>9</v>
      </c>
      <c r="D300" s="4">
        <v>39850.895138888889</v>
      </c>
      <c r="E300" s="1" t="s">
        <v>320</v>
      </c>
      <c r="F300" s="1"/>
      <c r="G300" s="1"/>
      <c r="H300" s="1"/>
      <c r="I300" s="1"/>
      <c r="J300" s="1"/>
      <c r="K300" s="1"/>
      <c r="L300" s="1"/>
      <c r="M300" s="1"/>
      <c r="N300" s="1"/>
      <c r="O300" s="1"/>
      <c r="P300" s="1"/>
      <c r="Q300" s="1"/>
      <c r="R300" s="1"/>
      <c r="S300" s="1"/>
    </row>
    <row r="301" spans="1:19" ht="33.75" customHeight="1">
      <c r="A301" s="1" t="s">
        <v>1014</v>
      </c>
      <c r="B301" s="1" t="s">
        <v>926</v>
      </c>
      <c r="C301" s="1">
        <v>9</v>
      </c>
      <c r="D301" s="4">
        <v>39850.900694444441</v>
      </c>
      <c r="E301" s="1" t="s">
        <v>14</v>
      </c>
      <c r="F301" s="1"/>
      <c r="G301" s="1"/>
      <c r="H301" s="1"/>
      <c r="I301" s="1"/>
      <c r="J301" s="1"/>
      <c r="K301" s="1"/>
      <c r="L301" s="1"/>
      <c r="M301" s="1"/>
      <c r="N301" s="1"/>
      <c r="O301" s="1"/>
      <c r="P301" s="1"/>
      <c r="Q301" s="1"/>
      <c r="R301" s="1"/>
      <c r="S301" s="1"/>
    </row>
    <row r="302" spans="1:19" ht="33.75" customHeight="1">
      <c r="A302" s="1" t="s">
        <v>1016</v>
      </c>
      <c r="B302" s="1" t="s">
        <v>926</v>
      </c>
      <c r="C302" s="1">
        <v>9</v>
      </c>
      <c r="D302" s="4">
        <v>39850.904861111114</v>
      </c>
      <c r="E302" s="1" t="s">
        <v>14</v>
      </c>
      <c r="F302" s="1"/>
      <c r="G302" s="1"/>
      <c r="H302" s="1"/>
      <c r="I302" s="1"/>
      <c r="J302" s="1"/>
      <c r="K302" s="1"/>
      <c r="L302" s="1"/>
      <c r="M302" s="1"/>
      <c r="N302" s="1"/>
      <c r="O302" s="1"/>
      <c r="P302" s="1"/>
      <c r="Q302" s="1"/>
      <c r="R302" s="1"/>
      <c r="S302" s="1"/>
    </row>
    <row r="303" spans="1:19" ht="33.75" customHeight="1">
      <c r="A303" s="1" t="s">
        <v>1020</v>
      </c>
      <c r="B303" s="1" t="s">
        <v>926</v>
      </c>
      <c r="C303" s="1">
        <v>9</v>
      </c>
      <c r="D303" s="4">
        <v>39850.911805555559</v>
      </c>
      <c r="E303" s="1" t="s">
        <v>196</v>
      </c>
      <c r="F303" s="1"/>
      <c r="G303" s="1"/>
      <c r="H303" s="1"/>
      <c r="I303" s="1"/>
      <c r="J303" s="1"/>
      <c r="K303" s="1"/>
      <c r="L303" s="1"/>
      <c r="M303" s="1"/>
      <c r="N303" s="1"/>
      <c r="O303" s="1"/>
      <c r="P303" s="1"/>
      <c r="Q303" s="1"/>
      <c r="R303" s="1"/>
      <c r="S303" s="1"/>
    </row>
    <row r="304" spans="1:19" ht="33.75" customHeight="1">
      <c r="A304" s="1" t="s">
        <v>1023</v>
      </c>
      <c r="B304" s="1" t="s">
        <v>926</v>
      </c>
      <c r="C304" s="1">
        <v>9</v>
      </c>
      <c r="D304" s="4">
        <v>39850.96597222222</v>
      </c>
      <c r="E304" s="1" t="s">
        <v>14</v>
      </c>
      <c r="F304" s="1"/>
      <c r="G304" s="1"/>
      <c r="H304" s="1"/>
      <c r="I304" s="1"/>
      <c r="J304" s="1"/>
      <c r="K304" s="1"/>
      <c r="L304" s="1"/>
      <c r="M304" s="1"/>
      <c r="N304" s="1"/>
      <c r="O304" s="1"/>
      <c r="P304" s="1"/>
      <c r="Q304" s="1"/>
      <c r="R304" s="1"/>
      <c r="S304" s="1"/>
    </row>
    <row r="305" spans="1:19" ht="33.75" customHeight="1">
      <c r="A305" s="1" t="s">
        <v>1026</v>
      </c>
      <c r="B305" s="1" t="s">
        <v>926</v>
      </c>
      <c r="C305" s="1">
        <v>9</v>
      </c>
      <c r="D305" s="4">
        <v>39850.994444444441</v>
      </c>
      <c r="E305" s="1" t="s">
        <v>14</v>
      </c>
      <c r="F305" s="1"/>
      <c r="G305" s="1"/>
      <c r="H305" s="1"/>
      <c r="I305" s="1"/>
      <c r="J305" s="1"/>
      <c r="K305" s="1"/>
      <c r="L305" s="1"/>
      <c r="M305" s="1"/>
      <c r="N305" s="1"/>
      <c r="O305" s="1"/>
      <c r="P305" s="1"/>
      <c r="Q305" s="1"/>
      <c r="R305" s="1"/>
      <c r="S305" s="1"/>
    </row>
    <row r="306" spans="1:19" ht="33.75" customHeight="1">
      <c r="A306" s="1" t="s">
        <v>1029</v>
      </c>
      <c r="B306" s="1" t="s">
        <v>846</v>
      </c>
      <c r="C306" s="1">
        <v>8</v>
      </c>
      <c r="D306" s="4">
        <v>39851.022916666669</v>
      </c>
      <c r="E306" s="1" t="s">
        <v>474</v>
      </c>
      <c r="F306" s="1"/>
      <c r="G306" s="1"/>
      <c r="H306" s="1"/>
      <c r="I306" s="1"/>
      <c r="J306" s="1"/>
      <c r="K306" s="1"/>
      <c r="L306" s="1"/>
      <c r="M306" s="1"/>
      <c r="N306" s="1"/>
      <c r="O306" s="1"/>
      <c r="P306" s="1"/>
      <c r="Q306" s="1"/>
      <c r="R306" s="1"/>
      <c r="S306" s="1"/>
    </row>
    <row r="307" spans="1:19" ht="33.75" customHeight="1">
      <c r="A307" s="1" t="s">
        <v>1031</v>
      </c>
      <c r="B307" s="1" t="s">
        <v>846</v>
      </c>
      <c r="C307" s="1">
        <v>8</v>
      </c>
      <c r="D307" s="4">
        <v>39851.027777777781</v>
      </c>
      <c r="E307" s="1" t="s">
        <v>1032</v>
      </c>
      <c r="F307" s="1"/>
      <c r="G307" s="1"/>
      <c r="H307" s="1"/>
      <c r="I307" s="1"/>
      <c r="J307" s="1"/>
      <c r="K307" s="1"/>
      <c r="L307" s="1"/>
      <c r="M307" s="1"/>
      <c r="N307" s="1"/>
      <c r="O307" s="1"/>
      <c r="P307" s="1"/>
      <c r="Q307" s="1"/>
      <c r="R307" s="1"/>
      <c r="S307" s="1"/>
    </row>
    <row r="308" spans="1:19" ht="33.75" customHeight="1">
      <c r="A308" s="1" t="s">
        <v>1035</v>
      </c>
      <c r="B308" s="1" t="s">
        <v>926</v>
      </c>
      <c r="C308" s="1">
        <v>9</v>
      </c>
      <c r="D308" s="4">
        <v>39851.074999999997</v>
      </c>
      <c r="E308" s="1" t="s">
        <v>14</v>
      </c>
      <c r="F308" s="1"/>
      <c r="G308" s="1"/>
      <c r="H308" s="1"/>
      <c r="I308" s="1"/>
      <c r="J308" s="1"/>
      <c r="K308" s="1"/>
      <c r="L308" s="1"/>
      <c r="M308" s="1"/>
      <c r="N308" s="1"/>
      <c r="O308" s="1"/>
      <c r="P308" s="1"/>
      <c r="Q308" s="1"/>
      <c r="R308" s="1"/>
      <c r="S308" s="1"/>
    </row>
    <row r="309" spans="1:19" ht="33.75" customHeight="1">
      <c r="A309" s="1" t="s">
        <v>1037</v>
      </c>
      <c r="B309" s="1" t="s">
        <v>846</v>
      </c>
      <c r="C309" s="1">
        <v>8</v>
      </c>
      <c r="D309" s="4">
        <v>39851.171527777777</v>
      </c>
      <c r="E309" s="1" t="s">
        <v>474</v>
      </c>
      <c r="F309" s="1"/>
      <c r="G309" s="1"/>
      <c r="H309" s="1"/>
      <c r="I309" s="1"/>
      <c r="J309" s="1"/>
      <c r="K309" s="1"/>
      <c r="L309" s="1"/>
      <c r="M309" s="1"/>
      <c r="N309" s="1"/>
      <c r="O309" s="1"/>
      <c r="P309" s="1"/>
      <c r="Q309" s="1"/>
      <c r="R309" s="1"/>
      <c r="S309" s="1"/>
    </row>
    <row r="310" spans="1:19" ht="33.75" customHeight="1">
      <c r="A310" s="1" t="s">
        <v>1039</v>
      </c>
      <c r="B310" s="1" t="s">
        <v>846</v>
      </c>
      <c r="C310" s="1">
        <v>8</v>
      </c>
      <c r="D310" s="4">
        <v>39851.199305555558</v>
      </c>
      <c r="E310" s="1" t="s">
        <v>474</v>
      </c>
      <c r="F310" s="1"/>
      <c r="G310" s="1"/>
      <c r="H310" s="1"/>
      <c r="I310" s="1"/>
      <c r="J310" s="1"/>
      <c r="K310" s="1"/>
      <c r="L310" s="1"/>
      <c r="M310" s="1"/>
      <c r="N310" s="1"/>
      <c r="O310" s="1"/>
      <c r="P310" s="1"/>
      <c r="Q310" s="1"/>
      <c r="R310" s="1"/>
      <c r="S310" s="1"/>
    </row>
    <row r="311" spans="1:19" ht="33.75" customHeight="1">
      <c r="A311" s="1" t="s">
        <v>1041</v>
      </c>
      <c r="B311" s="1" t="s">
        <v>926</v>
      </c>
      <c r="C311" s="1">
        <v>9</v>
      </c>
      <c r="D311" s="4">
        <v>39851.28402777778</v>
      </c>
      <c r="E311" s="1" t="s">
        <v>196</v>
      </c>
      <c r="F311" s="1"/>
      <c r="G311" s="1"/>
      <c r="H311" s="1"/>
      <c r="I311" s="1"/>
      <c r="J311" s="1"/>
      <c r="K311" s="1"/>
      <c r="L311" s="1"/>
      <c r="M311" s="1"/>
      <c r="N311" s="1"/>
      <c r="O311" s="1"/>
      <c r="P311" s="1"/>
      <c r="Q311" s="1"/>
      <c r="R311" s="1"/>
      <c r="S311" s="1"/>
    </row>
    <row r="312" spans="1:19" ht="33.75" customHeight="1">
      <c r="A312" s="1" t="s">
        <v>1044</v>
      </c>
      <c r="B312" s="1" t="s">
        <v>926</v>
      </c>
      <c r="C312" s="1">
        <v>9</v>
      </c>
      <c r="D312" s="4">
        <v>39851.292361111111</v>
      </c>
      <c r="E312" s="1" t="s">
        <v>196</v>
      </c>
      <c r="F312" s="1"/>
      <c r="G312" s="1"/>
      <c r="H312" s="1"/>
      <c r="I312" s="1"/>
      <c r="J312" s="1"/>
      <c r="K312" s="1"/>
      <c r="L312" s="1"/>
      <c r="M312" s="1"/>
      <c r="N312" s="1"/>
      <c r="O312" s="1"/>
      <c r="P312" s="1"/>
      <c r="Q312" s="1"/>
      <c r="R312" s="1"/>
      <c r="S312" s="1"/>
    </row>
    <row r="313" spans="1:19" ht="33.75" customHeight="1">
      <c r="A313" s="1" t="s">
        <v>1046</v>
      </c>
      <c r="B313" s="1" t="s">
        <v>846</v>
      </c>
      <c r="C313" s="1">
        <v>8</v>
      </c>
      <c r="D313" s="4">
        <v>39851.302777777775</v>
      </c>
      <c r="E313" s="1" t="s">
        <v>84</v>
      </c>
      <c r="F313" s="1"/>
      <c r="G313" s="1"/>
      <c r="H313" s="1"/>
      <c r="I313" s="1"/>
      <c r="J313" s="1"/>
      <c r="K313" s="1"/>
      <c r="L313" s="1"/>
      <c r="M313" s="1"/>
      <c r="N313" s="1"/>
      <c r="O313" s="1"/>
      <c r="P313" s="1"/>
      <c r="Q313" s="1"/>
      <c r="R313" s="1"/>
      <c r="S313" s="1"/>
    </row>
    <row r="314" spans="1:19" ht="33.75" customHeight="1">
      <c r="A314" s="1" t="s">
        <v>1048</v>
      </c>
      <c r="B314" s="1" t="s">
        <v>846</v>
      </c>
      <c r="C314" s="1">
        <v>8</v>
      </c>
      <c r="D314" s="4">
        <v>39851.34097222222</v>
      </c>
      <c r="E314" s="1" t="s">
        <v>84</v>
      </c>
      <c r="F314" s="1"/>
      <c r="G314" s="1"/>
      <c r="H314" s="1"/>
      <c r="I314" s="1"/>
      <c r="J314" s="1"/>
      <c r="K314" s="1"/>
      <c r="L314" s="1"/>
      <c r="M314" s="1"/>
      <c r="N314" s="1"/>
      <c r="O314" s="1"/>
      <c r="P314" s="1"/>
      <c r="Q314" s="1"/>
      <c r="R314" s="1"/>
      <c r="S314" s="1"/>
    </row>
    <row r="315" spans="1:19" ht="33.75" customHeight="1">
      <c r="A315" s="1" t="s">
        <v>1052</v>
      </c>
      <c r="B315" s="1" t="s">
        <v>846</v>
      </c>
      <c r="C315" s="1">
        <v>8</v>
      </c>
      <c r="D315" s="4">
        <v>39851.37222222222</v>
      </c>
      <c r="E315" s="1" t="s">
        <v>54</v>
      </c>
      <c r="F315" s="1"/>
      <c r="G315" s="1"/>
      <c r="H315" s="1"/>
      <c r="I315" s="1"/>
      <c r="J315" s="1"/>
      <c r="K315" s="1"/>
      <c r="L315" s="1"/>
      <c r="M315" s="1"/>
      <c r="N315" s="1"/>
      <c r="O315" s="1"/>
      <c r="P315" s="1"/>
      <c r="Q315" s="1"/>
      <c r="R315" s="1"/>
      <c r="S315" s="1"/>
    </row>
    <row r="316" spans="1:19" ht="33.75" customHeight="1">
      <c r="A316" s="1" t="s">
        <v>1055</v>
      </c>
      <c r="B316" s="1" t="s">
        <v>846</v>
      </c>
      <c r="C316" s="1">
        <v>8</v>
      </c>
      <c r="D316" s="4">
        <v>39851.38958333333</v>
      </c>
      <c r="E316" s="1" t="s">
        <v>84</v>
      </c>
      <c r="F316" s="1"/>
      <c r="G316" s="1"/>
      <c r="H316" s="1"/>
      <c r="I316" s="1"/>
      <c r="J316" s="1"/>
      <c r="K316" s="1"/>
      <c r="L316" s="1"/>
      <c r="M316" s="1"/>
      <c r="N316" s="1"/>
      <c r="O316" s="1"/>
      <c r="P316" s="1"/>
      <c r="Q316" s="1"/>
      <c r="R316" s="1"/>
      <c r="S316" s="1"/>
    </row>
    <row r="317" spans="1:19" ht="33.75" customHeight="1">
      <c r="A317" s="1" t="s">
        <v>1057</v>
      </c>
      <c r="B317" s="1" t="s">
        <v>846</v>
      </c>
      <c r="C317" s="1">
        <v>8</v>
      </c>
      <c r="D317" s="4">
        <v>39851.394444444442</v>
      </c>
      <c r="E317" s="1" t="s">
        <v>474</v>
      </c>
      <c r="F317" s="1"/>
      <c r="G317" s="1"/>
      <c r="H317" s="1"/>
      <c r="I317" s="1"/>
      <c r="J317" s="1"/>
      <c r="K317" s="1"/>
      <c r="L317" s="1"/>
      <c r="M317" s="1"/>
      <c r="N317" s="1"/>
      <c r="O317" s="1"/>
      <c r="P317" s="1"/>
      <c r="Q317" s="1"/>
      <c r="R317" s="1"/>
      <c r="S317" s="1"/>
    </row>
    <row r="318" spans="1:19" ht="33.75" customHeight="1">
      <c r="A318" s="1" t="s">
        <v>1059</v>
      </c>
      <c r="B318" s="1" t="s">
        <v>846</v>
      </c>
      <c r="C318" s="1">
        <v>8</v>
      </c>
      <c r="D318" s="4">
        <v>39851.40625</v>
      </c>
      <c r="E318" s="1" t="s">
        <v>54</v>
      </c>
      <c r="F318" s="1"/>
      <c r="G318" s="1"/>
      <c r="H318" s="1"/>
      <c r="I318" s="1"/>
      <c r="J318" s="1"/>
      <c r="K318" s="1"/>
      <c r="L318" s="1"/>
      <c r="M318" s="1"/>
      <c r="N318" s="1"/>
      <c r="O318" s="1"/>
      <c r="P318" s="1"/>
      <c r="Q318" s="1"/>
      <c r="R318" s="1"/>
      <c r="S318" s="1"/>
    </row>
    <row r="319" spans="1:19" ht="33.75" customHeight="1">
      <c r="A319" s="1" t="s">
        <v>1061</v>
      </c>
      <c r="B319" s="1" t="s">
        <v>846</v>
      </c>
      <c r="C319" s="1">
        <v>8</v>
      </c>
      <c r="D319" s="4">
        <v>39851.425694444442</v>
      </c>
      <c r="E319" s="1" t="s">
        <v>474</v>
      </c>
      <c r="F319" s="1"/>
      <c r="G319" s="1"/>
      <c r="H319" s="1"/>
      <c r="I319" s="1"/>
      <c r="J319" s="1"/>
      <c r="K319" s="1"/>
      <c r="L319" s="1"/>
      <c r="M319" s="1"/>
      <c r="N319" s="1"/>
      <c r="O319" s="1"/>
      <c r="P319" s="1"/>
      <c r="Q319" s="1"/>
      <c r="R319" s="1"/>
      <c r="S319" s="1"/>
    </row>
    <row r="320" spans="1:19" ht="33.75" customHeight="1">
      <c r="A320" s="1" t="s">
        <v>1066</v>
      </c>
      <c r="B320" s="1" t="s">
        <v>926</v>
      </c>
      <c r="C320" s="1">
        <v>9</v>
      </c>
      <c r="D320" s="4">
        <v>39851.431944444441</v>
      </c>
      <c r="E320" s="1" t="s">
        <v>14</v>
      </c>
      <c r="F320" s="1"/>
      <c r="G320" s="1"/>
      <c r="H320" s="1"/>
      <c r="I320" s="1"/>
      <c r="J320" s="1"/>
      <c r="K320" s="1"/>
      <c r="L320" s="1"/>
      <c r="M320" s="1"/>
      <c r="N320" s="1"/>
      <c r="O320" s="1"/>
      <c r="P320" s="1"/>
      <c r="Q320" s="1"/>
      <c r="R320" s="1"/>
      <c r="S320" s="1"/>
    </row>
    <row r="321" spans="1:19" ht="33.75" customHeight="1">
      <c r="A321" s="1" t="s">
        <v>1070</v>
      </c>
      <c r="B321" s="1" t="s">
        <v>846</v>
      </c>
      <c r="C321" s="1">
        <v>8</v>
      </c>
      <c r="D321" s="4">
        <v>39851.444444444445</v>
      </c>
      <c r="E321" s="1" t="s">
        <v>474</v>
      </c>
      <c r="F321" s="1"/>
      <c r="G321" s="1"/>
      <c r="H321" s="1"/>
      <c r="I321" s="1"/>
      <c r="J321" s="1"/>
      <c r="K321" s="1"/>
      <c r="L321" s="1"/>
      <c r="M321" s="1"/>
      <c r="N321" s="1"/>
      <c r="O321" s="1"/>
      <c r="P321" s="1"/>
      <c r="Q321" s="1"/>
      <c r="R321" s="1"/>
      <c r="S321" s="1"/>
    </row>
    <row r="322" spans="1:19" ht="33.75" customHeight="1">
      <c r="A322" s="1" t="s">
        <v>1072</v>
      </c>
      <c r="B322" s="3" t="s">
        <v>13</v>
      </c>
      <c r="C322" s="3">
        <v>1</v>
      </c>
      <c r="D322" s="4">
        <v>39851.510416666664</v>
      </c>
      <c r="E322" s="1" t="s">
        <v>1073</v>
      </c>
      <c r="F322" s="1"/>
      <c r="G322" s="1"/>
      <c r="H322" s="1"/>
      <c r="I322" s="1"/>
      <c r="J322" s="1"/>
      <c r="K322" s="1"/>
      <c r="L322" s="1"/>
      <c r="M322" s="1"/>
      <c r="N322" s="1"/>
      <c r="O322" s="1"/>
      <c r="P322" s="1"/>
      <c r="Q322" s="1"/>
      <c r="R322" s="1"/>
      <c r="S322" s="1"/>
    </row>
    <row r="323" spans="1:19" ht="33.75" customHeight="1">
      <c r="A323" s="1" t="s">
        <v>1075</v>
      </c>
      <c r="B323" s="3" t="s">
        <v>13</v>
      </c>
      <c r="C323" s="3">
        <v>1</v>
      </c>
      <c r="D323" s="4">
        <v>39851.540277777778</v>
      </c>
      <c r="E323" s="1" t="s">
        <v>1073</v>
      </c>
      <c r="F323" s="1"/>
      <c r="G323" s="1"/>
      <c r="H323" s="1"/>
      <c r="I323" s="1"/>
      <c r="J323" s="1"/>
      <c r="K323" s="1"/>
      <c r="L323" s="1"/>
      <c r="M323" s="1"/>
      <c r="N323" s="1"/>
      <c r="O323" s="1"/>
      <c r="P323" s="1"/>
      <c r="Q323" s="1"/>
      <c r="R323" s="1"/>
      <c r="S323" s="1"/>
    </row>
    <row r="324" spans="1:19" ht="33.75" customHeight="1">
      <c r="A324" s="1" t="s">
        <v>1077</v>
      </c>
      <c r="B324" s="3" t="s">
        <v>13</v>
      </c>
      <c r="C324" s="3">
        <v>1</v>
      </c>
      <c r="D324" s="4">
        <v>39851.542361111111</v>
      </c>
      <c r="E324" s="1" t="s">
        <v>1078</v>
      </c>
      <c r="F324" s="1"/>
      <c r="G324" s="1"/>
      <c r="H324" s="1"/>
      <c r="I324" s="1"/>
      <c r="J324" s="1"/>
      <c r="K324" s="1"/>
      <c r="L324" s="1"/>
      <c r="M324" s="1"/>
      <c r="N324" s="1"/>
      <c r="O324" s="1"/>
      <c r="P324" s="1"/>
      <c r="Q324" s="1"/>
      <c r="R324" s="1"/>
      <c r="S324" s="1"/>
    </row>
    <row r="325" spans="1:19" ht="33.75" customHeight="1">
      <c r="A325" s="1" t="s">
        <v>1081</v>
      </c>
      <c r="B325" s="3" t="s">
        <v>13</v>
      </c>
      <c r="C325" s="3">
        <v>1</v>
      </c>
      <c r="D325" s="4">
        <v>39851.561111111114</v>
      </c>
      <c r="E325" s="1" t="s">
        <v>1073</v>
      </c>
      <c r="F325" s="1"/>
      <c r="G325" s="1"/>
      <c r="H325" s="1"/>
      <c r="I325" s="1"/>
      <c r="J325" s="1"/>
      <c r="K325" s="1"/>
      <c r="L325" s="1"/>
      <c r="M325" s="1"/>
      <c r="N325" s="1"/>
      <c r="O325" s="1"/>
      <c r="P325" s="1"/>
      <c r="Q325" s="1"/>
      <c r="R325" s="1"/>
      <c r="S325" s="1"/>
    </row>
    <row r="326" spans="1:19" ht="33.75" customHeight="1">
      <c r="A326" s="1" t="s">
        <v>1085</v>
      </c>
      <c r="B326" s="3" t="s">
        <v>13</v>
      </c>
      <c r="C326" s="3">
        <v>1</v>
      </c>
      <c r="D326" s="4">
        <v>39851.574305555558</v>
      </c>
      <c r="E326" s="1" t="s">
        <v>1073</v>
      </c>
      <c r="F326" s="1"/>
      <c r="G326" s="1"/>
      <c r="H326" s="1"/>
      <c r="I326" s="1"/>
      <c r="J326" s="1"/>
      <c r="K326" s="1"/>
      <c r="L326" s="1"/>
      <c r="M326" s="1"/>
      <c r="N326" s="1"/>
      <c r="O326" s="1"/>
      <c r="P326" s="1"/>
      <c r="Q326" s="1"/>
      <c r="R326" s="1"/>
      <c r="S326" s="1"/>
    </row>
    <row r="327" spans="1:19" ht="33.75" customHeight="1">
      <c r="A327" s="1" t="s">
        <v>1088</v>
      </c>
      <c r="B327" s="1" t="s">
        <v>846</v>
      </c>
      <c r="C327" s="1">
        <v>8</v>
      </c>
      <c r="D327" s="4">
        <v>39851.57916666667</v>
      </c>
      <c r="E327" s="1" t="s">
        <v>1089</v>
      </c>
      <c r="F327" s="1"/>
      <c r="G327" s="1"/>
      <c r="H327" s="1"/>
      <c r="I327" s="1"/>
      <c r="J327" s="1"/>
      <c r="K327" s="1"/>
      <c r="L327" s="1"/>
      <c r="M327" s="1"/>
      <c r="N327" s="1"/>
      <c r="O327" s="1"/>
      <c r="P327" s="1"/>
      <c r="Q327" s="1"/>
      <c r="R327" s="1"/>
      <c r="S327" s="1"/>
    </row>
    <row r="328" spans="1:19" ht="33.75" customHeight="1">
      <c r="A328" s="1" t="s">
        <v>1091</v>
      </c>
      <c r="B328" s="3" t="s">
        <v>13</v>
      </c>
      <c r="C328" s="3">
        <v>1</v>
      </c>
      <c r="D328" s="4">
        <v>39851.590277777781</v>
      </c>
      <c r="E328" s="1" t="s">
        <v>688</v>
      </c>
      <c r="F328" s="1"/>
      <c r="G328" s="1"/>
      <c r="H328" s="1"/>
      <c r="I328" s="1"/>
      <c r="J328" s="1"/>
      <c r="K328" s="1"/>
      <c r="L328" s="1"/>
      <c r="M328" s="1"/>
      <c r="N328" s="1"/>
      <c r="O328" s="1"/>
      <c r="P328" s="1"/>
      <c r="Q328" s="1"/>
      <c r="R328" s="1"/>
      <c r="S328" s="1"/>
    </row>
    <row r="329" spans="1:19" ht="33.75" customHeight="1">
      <c r="A329" s="1" t="s">
        <v>1093</v>
      </c>
      <c r="B329" s="1" t="s">
        <v>926</v>
      </c>
      <c r="C329" s="1">
        <v>9</v>
      </c>
      <c r="D329" s="4">
        <v>39851.605555555558</v>
      </c>
      <c r="E329" s="1" t="s">
        <v>14</v>
      </c>
      <c r="F329" s="1"/>
      <c r="G329" s="1"/>
      <c r="H329" s="1"/>
      <c r="I329" s="1"/>
      <c r="J329" s="1"/>
      <c r="K329" s="1"/>
      <c r="L329" s="1"/>
      <c r="M329" s="1"/>
      <c r="N329" s="1"/>
      <c r="O329" s="1"/>
      <c r="P329" s="1"/>
      <c r="Q329" s="1"/>
      <c r="R329" s="1"/>
      <c r="S329" s="1"/>
    </row>
    <row r="330" spans="1:19" ht="33.75" customHeight="1">
      <c r="A330" s="1" t="s">
        <v>1098</v>
      </c>
      <c r="B330" s="1" t="s">
        <v>926</v>
      </c>
      <c r="C330" s="1">
        <v>9</v>
      </c>
      <c r="D330" s="4">
        <v>39851.670138888891</v>
      </c>
      <c r="E330" s="1" t="s">
        <v>14</v>
      </c>
      <c r="F330" s="1"/>
      <c r="G330" s="1"/>
      <c r="H330" s="1"/>
      <c r="I330" s="1"/>
      <c r="J330" s="1"/>
      <c r="K330" s="1"/>
      <c r="L330" s="1"/>
      <c r="M330" s="1"/>
      <c r="N330" s="1"/>
      <c r="O330" s="1"/>
      <c r="P330" s="1"/>
      <c r="Q330" s="1"/>
      <c r="R330" s="1"/>
      <c r="S330" s="1"/>
    </row>
    <row r="331" spans="1:19" ht="33.75" customHeight="1">
      <c r="A331" s="1" t="s">
        <v>1100</v>
      </c>
      <c r="B331" s="1" t="s">
        <v>926</v>
      </c>
      <c r="C331" s="1">
        <v>9</v>
      </c>
      <c r="D331" s="4">
        <v>39851.675694444442</v>
      </c>
      <c r="E331" s="1" t="s">
        <v>14</v>
      </c>
      <c r="F331" s="1"/>
      <c r="G331" s="1"/>
      <c r="H331" s="1"/>
      <c r="I331" s="1"/>
      <c r="J331" s="1"/>
      <c r="K331" s="1"/>
      <c r="L331" s="1"/>
      <c r="M331" s="1"/>
      <c r="N331" s="1"/>
      <c r="O331" s="1"/>
      <c r="P331" s="1"/>
      <c r="Q331" s="1"/>
      <c r="R331" s="1"/>
      <c r="S331" s="1"/>
    </row>
    <row r="332" spans="1:19" ht="33.75" customHeight="1">
      <c r="A332" s="1" t="s">
        <v>1103</v>
      </c>
      <c r="B332" s="1" t="s">
        <v>926</v>
      </c>
      <c r="C332" s="1">
        <v>9</v>
      </c>
      <c r="D332" s="4">
        <v>39851.706944444442</v>
      </c>
      <c r="E332" s="1" t="s">
        <v>14</v>
      </c>
      <c r="F332" s="1"/>
      <c r="G332" s="1"/>
      <c r="H332" s="1"/>
      <c r="I332" s="1"/>
      <c r="J332" s="1"/>
      <c r="K332" s="1"/>
      <c r="L332" s="1"/>
      <c r="M332" s="1"/>
      <c r="N332" s="1"/>
      <c r="O332" s="1"/>
      <c r="P332" s="1"/>
      <c r="Q332" s="1"/>
      <c r="R332" s="1"/>
      <c r="S332" s="1"/>
    </row>
    <row r="333" spans="1:19" ht="33.75" customHeight="1">
      <c r="A333" s="1" t="s">
        <v>1106</v>
      </c>
      <c r="B333" s="1" t="s">
        <v>926</v>
      </c>
      <c r="C333" s="1">
        <v>9</v>
      </c>
      <c r="D333" s="4">
        <v>39851.79791666667</v>
      </c>
      <c r="E333" s="1" t="s">
        <v>474</v>
      </c>
      <c r="F333" s="1"/>
      <c r="G333" s="1"/>
      <c r="H333" s="1"/>
      <c r="I333" s="1"/>
      <c r="J333" s="1"/>
      <c r="K333" s="1"/>
      <c r="L333" s="1"/>
      <c r="M333" s="1"/>
      <c r="N333" s="1"/>
      <c r="O333" s="1"/>
      <c r="P333" s="1"/>
      <c r="Q333" s="1"/>
      <c r="R333" s="1"/>
      <c r="S333" s="1"/>
    </row>
    <row r="334" spans="1:19" ht="33.75" customHeight="1">
      <c r="A334" s="1" t="s">
        <v>1110</v>
      </c>
      <c r="B334" s="1" t="s">
        <v>846</v>
      </c>
      <c r="C334" s="1">
        <v>8</v>
      </c>
      <c r="D334" s="4">
        <v>39851.893055555556</v>
      </c>
      <c r="E334" s="1" t="s">
        <v>1089</v>
      </c>
      <c r="F334" s="1"/>
      <c r="G334" s="1"/>
      <c r="H334" s="1"/>
      <c r="I334" s="1"/>
      <c r="J334" s="1"/>
      <c r="K334" s="1"/>
      <c r="L334" s="1"/>
      <c r="M334" s="1"/>
      <c r="N334" s="1"/>
      <c r="O334" s="1"/>
      <c r="P334" s="1"/>
      <c r="Q334" s="1"/>
      <c r="R334" s="1"/>
      <c r="S334" s="1"/>
    </row>
    <row r="335" spans="1:19" ht="33.75" customHeight="1">
      <c r="A335" s="1" t="s">
        <v>1112</v>
      </c>
      <c r="B335" s="1" t="s">
        <v>926</v>
      </c>
      <c r="C335" s="1">
        <v>9</v>
      </c>
      <c r="D335" s="4">
        <v>39851.913888888892</v>
      </c>
      <c r="E335" s="1" t="s">
        <v>196</v>
      </c>
      <c r="F335" s="1"/>
      <c r="G335" s="1"/>
      <c r="H335" s="1"/>
      <c r="I335" s="1"/>
      <c r="J335" s="1"/>
      <c r="K335" s="1"/>
      <c r="L335" s="1"/>
      <c r="M335" s="1"/>
      <c r="N335" s="1"/>
      <c r="O335" s="1"/>
      <c r="P335" s="1"/>
      <c r="Q335" s="1"/>
      <c r="R335" s="1"/>
      <c r="S335" s="1"/>
    </row>
    <row r="336" spans="1:19" ht="33.75" customHeight="1">
      <c r="A336" s="1" t="s">
        <v>1114</v>
      </c>
      <c r="B336" s="1" t="s">
        <v>846</v>
      </c>
      <c r="C336" s="1">
        <v>8</v>
      </c>
      <c r="D336" s="4">
        <v>39851.920138888891</v>
      </c>
      <c r="E336" s="1" t="s">
        <v>54</v>
      </c>
      <c r="F336" s="1"/>
      <c r="G336" s="1"/>
      <c r="H336" s="1"/>
      <c r="I336" s="1"/>
      <c r="J336" s="1"/>
      <c r="K336" s="1"/>
      <c r="L336" s="1"/>
      <c r="M336" s="1"/>
      <c r="N336" s="1"/>
      <c r="O336" s="1"/>
      <c r="P336" s="1"/>
      <c r="Q336" s="1"/>
      <c r="R336" s="1"/>
      <c r="S336" s="1"/>
    </row>
    <row r="337" spans="1:19" ht="33.75" customHeight="1">
      <c r="A337" s="1" t="s">
        <v>1117</v>
      </c>
      <c r="B337" s="1" t="s">
        <v>926</v>
      </c>
      <c r="C337" s="1">
        <v>9</v>
      </c>
      <c r="D337" s="4">
        <v>39851.945833333331</v>
      </c>
      <c r="E337" s="1" t="s">
        <v>14</v>
      </c>
      <c r="F337" s="1"/>
      <c r="G337" s="1"/>
      <c r="H337" s="1"/>
      <c r="I337" s="1"/>
      <c r="J337" s="1"/>
      <c r="K337" s="1"/>
      <c r="L337" s="1"/>
      <c r="M337" s="1"/>
      <c r="N337" s="1"/>
      <c r="O337" s="1"/>
      <c r="P337" s="1"/>
      <c r="Q337" s="1"/>
      <c r="R337" s="1"/>
      <c r="S337" s="1"/>
    </row>
    <row r="338" spans="1:19" ht="33.75" customHeight="1">
      <c r="A338" s="1" t="s">
        <v>1120</v>
      </c>
      <c r="B338" s="1" t="s">
        <v>926</v>
      </c>
      <c r="C338" s="1">
        <v>9</v>
      </c>
      <c r="D338" s="4">
        <v>39851.984027777777</v>
      </c>
      <c r="E338" s="1" t="s">
        <v>393</v>
      </c>
      <c r="F338" s="1"/>
      <c r="G338" s="1"/>
      <c r="H338" s="1"/>
      <c r="I338" s="1"/>
      <c r="J338" s="1"/>
      <c r="K338" s="1"/>
      <c r="L338" s="1"/>
      <c r="M338" s="1"/>
      <c r="N338" s="1"/>
      <c r="O338" s="1"/>
      <c r="P338" s="1"/>
      <c r="Q338" s="1"/>
      <c r="R338" s="1"/>
      <c r="S338" s="1"/>
    </row>
    <row r="339" spans="1:19" ht="33.75" customHeight="1">
      <c r="A339" s="1" t="s">
        <v>1122</v>
      </c>
      <c r="B339" s="1" t="s">
        <v>926</v>
      </c>
      <c r="C339" s="1">
        <v>9</v>
      </c>
      <c r="D339" s="4">
        <v>39852.001388888886</v>
      </c>
      <c r="E339" s="1" t="s">
        <v>14</v>
      </c>
      <c r="F339" s="1"/>
      <c r="G339" s="1"/>
      <c r="H339" s="1"/>
      <c r="I339" s="1"/>
      <c r="J339" s="1"/>
      <c r="K339" s="1"/>
      <c r="L339" s="1"/>
      <c r="M339" s="1"/>
      <c r="N339" s="1"/>
      <c r="O339" s="1"/>
      <c r="P339" s="1"/>
      <c r="Q339" s="1"/>
      <c r="R339" s="1"/>
      <c r="S339" s="1"/>
    </row>
    <row r="340" spans="1:19" ht="33.75" customHeight="1">
      <c r="A340" s="1" t="s">
        <v>1125</v>
      </c>
      <c r="B340" s="1" t="s">
        <v>926</v>
      </c>
      <c r="C340" s="1">
        <v>9</v>
      </c>
      <c r="D340" s="4">
        <v>39852.002083333333</v>
      </c>
      <c r="E340" s="1" t="s">
        <v>196</v>
      </c>
      <c r="F340" s="1"/>
      <c r="G340" s="1"/>
      <c r="H340" s="1"/>
      <c r="I340" s="1"/>
      <c r="J340" s="1"/>
      <c r="K340" s="1"/>
      <c r="L340" s="1"/>
      <c r="M340" s="1"/>
      <c r="N340" s="1"/>
      <c r="O340" s="1"/>
      <c r="P340" s="1"/>
      <c r="Q340" s="1"/>
      <c r="R340" s="1"/>
      <c r="S340" s="1"/>
    </row>
    <row r="341" spans="1:19" ht="33.75" customHeight="1">
      <c r="A341" s="1" t="s">
        <v>1129</v>
      </c>
      <c r="B341" s="1" t="s">
        <v>846</v>
      </c>
      <c r="C341" s="1">
        <v>8</v>
      </c>
      <c r="D341" s="4">
        <v>39852.009027777778</v>
      </c>
      <c r="E341" s="1" t="s">
        <v>1089</v>
      </c>
      <c r="F341" s="1"/>
      <c r="G341" s="1"/>
      <c r="H341" s="1"/>
      <c r="I341" s="1"/>
      <c r="J341" s="1"/>
      <c r="K341" s="1"/>
      <c r="L341" s="1"/>
      <c r="M341" s="1"/>
      <c r="N341" s="1"/>
      <c r="O341" s="1"/>
      <c r="P341" s="1"/>
      <c r="Q341" s="1"/>
      <c r="R341" s="1"/>
      <c r="S341" s="1"/>
    </row>
    <row r="342" spans="1:19" ht="33.75" customHeight="1">
      <c r="A342" s="1" t="s">
        <v>1131</v>
      </c>
      <c r="B342" s="1" t="s">
        <v>926</v>
      </c>
      <c r="C342" s="1">
        <v>9</v>
      </c>
      <c r="D342" s="4">
        <v>39852.011805555558</v>
      </c>
      <c r="E342" s="1" t="s">
        <v>393</v>
      </c>
      <c r="F342" s="1"/>
      <c r="G342" s="1"/>
      <c r="H342" s="1"/>
      <c r="I342" s="1"/>
      <c r="J342" s="1"/>
      <c r="K342" s="1"/>
      <c r="L342" s="1"/>
      <c r="M342" s="1"/>
      <c r="N342" s="1"/>
      <c r="O342" s="1"/>
      <c r="P342" s="1"/>
      <c r="Q342" s="1"/>
      <c r="R342" s="1"/>
      <c r="S342" s="1"/>
    </row>
    <row r="343" spans="1:19" ht="33.75" customHeight="1">
      <c r="A343" s="1" t="s">
        <v>1134</v>
      </c>
      <c r="B343" s="1" t="s">
        <v>926</v>
      </c>
      <c r="C343" s="1">
        <v>9</v>
      </c>
      <c r="D343" s="4">
        <v>39852.022916666669</v>
      </c>
      <c r="E343" s="1" t="s">
        <v>14</v>
      </c>
      <c r="F343" s="1"/>
      <c r="G343" s="1"/>
      <c r="H343" s="1"/>
      <c r="I343" s="1"/>
      <c r="J343" s="1"/>
      <c r="K343" s="1"/>
      <c r="L343" s="1"/>
      <c r="M343" s="1"/>
      <c r="N343" s="1"/>
      <c r="O343" s="1"/>
      <c r="P343" s="1"/>
      <c r="Q343" s="1"/>
      <c r="R343" s="1"/>
      <c r="S343" s="1"/>
    </row>
    <row r="344" spans="1:19" ht="33.75" customHeight="1">
      <c r="A344" s="1" t="s">
        <v>1136</v>
      </c>
      <c r="B344" s="1" t="s">
        <v>926</v>
      </c>
      <c r="C344" s="1">
        <v>9</v>
      </c>
      <c r="D344" s="4">
        <v>39852.056944444441</v>
      </c>
      <c r="E344" s="1" t="s">
        <v>196</v>
      </c>
      <c r="F344" s="1"/>
      <c r="G344" s="1"/>
      <c r="H344" s="1"/>
      <c r="I344" s="1"/>
      <c r="J344" s="1"/>
      <c r="K344" s="1"/>
      <c r="L344" s="1"/>
      <c r="M344" s="1"/>
      <c r="N344" s="1"/>
      <c r="O344" s="1"/>
      <c r="P344" s="1"/>
      <c r="Q344" s="1"/>
      <c r="R344" s="1"/>
      <c r="S344" s="1"/>
    </row>
    <row r="345" spans="1:19" ht="33.75" customHeight="1">
      <c r="A345" s="1" t="s">
        <v>1139</v>
      </c>
      <c r="B345" s="1" t="s">
        <v>926</v>
      </c>
      <c r="C345" s="1">
        <v>9</v>
      </c>
      <c r="D345" s="4">
        <v>39852.067361111112</v>
      </c>
      <c r="E345" s="1" t="s">
        <v>196</v>
      </c>
      <c r="F345" s="1"/>
      <c r="G345" s="1"/>
      <c r="H345" s="1"/>
      <c r="I345" s="1"/>
      <c r="J345" s="1"/>
      <c r="K345" s="1"/>
      <c r="L345" s="1"/>
      <c r="M345" s="1"/>
      <c r="N345" s="1"/>
      <c r="O345" s="1"/>
      <c r="P345" s="1"/>
      <c r="Q345" s="1"/>
      <c r="R345" s="1"/>
      <c r="S345" s="1"/>
    </row>
    <row r="346" spans="1:19" ht="33.75" customHeight="1">
      <c r="A346" s="1" t="s">
        <v>1142</v>
      </c>
      <c r="B346" s="1" t="s">
        <v>926</v>
      </c>
      <c r="C346" s="1">
        <v>9</v>
      </c>
      <c r="D346" s="4">
        <v>39852.085416666669</v>
      </c>
      <c r="E346" s="1" t="s">
        <v>196</v>
      </c>
      <c r="F346" s="1"/>
      <c r="G346" s="1"/>
      <c r="H346" s="1"/>
      <c r="I346" s="1"/>
      <c r="J346" s="1"/>
      <c r="K346" s="1"/>
      <c r="L346" s="1"/>
      <c r="M346" s="1"/>
      <c r="N346" s="1"/>
      <c r="O346" s="1"/>
      <c r="P346" s="1"/>
      <c r="Q346" s="1"/>
      <c r="R346" s="1"/>
      <c r="S346" s="1"/>
    </row>
    <row r="347" spans="1:19" ht="33.75" customHeight="1">
      <c r="A347" s="1" t="s">
        <v>1145</v>
      </c>
      <c r="B347" s="1" t="s">
        <v>926</v>
      </c>
      <c r="C347" s="1">
        <v>9</v>
      </c>
      <c r="D347" s="4">
        <v>39852.093055555553</v>
      </c>
      <c r="E347" s="1" t="s">
        <v>196</v>
      </c>
      <c r="F347" s="1"/>
      <c r="G347" s="1"/>
      <c r="H347" s="1"/>
      <c r="I347" s="1"/>
      <c r="J347" s="1"/>
      <c r="K347" s="1"/>
      <c r="L347" s="1"/>
      <c r="M347" s="1"/>
      <c r="N347" s="1"/>
      <c r="O347" s="1"/>
      <c r="P347" s="1"/>
      <c r="Q347" s="1"/>
      <c r="R347" s="1"/>
      <c r="S347" s="1"/>
    </row>
    <row r="348" spans="1:19" ht="33.75" customHeight="1">
      <c r="A348" s="1" t="s">
        <v>1149</v>
      </c>
      <c r="B348" s="1" t="s">
        <v>846</v>
      </c>
      <c r="C348" s="1">
        <v>8</v>
      </c>
      <c r="D348" s="4">
        <v>39852.103472222225</v>
      </c>
      <c r="E348" s="1" t="s">
        <v>1089</v>
      </c>
      <c r="F348" s="1"/>
      <c r="G348" s="1"/>
      <c r="H348" s="1"/>
      <c r="I348" s="1"/>
      <c r="J348" s="1"/>
      <c r="K348" s="1"/>
      <c r="L348" s="1"/>
      <c r="M348" s="1"/>
      <c r="N348" s="1"/>
      <c r="O348" s="1"/>
      <c r="P348" s="1"/>
      <c r="Q348" s="1"/>
      <c r="R348" s="1"/>
      <c r="S348" s="1"/>
    </row>
    <row r="349" spans="1:19" ht="33.75" customHeight="1">
      <c r="A349" s="1" t="s">
        <v>1152</v>
      </c>
      <c r="B349" s="1" t="s">
        <v>926</v>
      </c>
      <c r="C349" s="1">
        <v>9</v>
      </c>
      <c r="D349" s="4">
        <v>39852.104166666664</v>
      </c>
      <c r="E349" s="1" t="s">
        <v>14</v>
      </c>
      <c r="F349" s="1"/>
      <c r="G349" s="1"/>
      <c r="H349" s="1"/>
      <c r="I349" s="1"/>
      <c r="J349" s="1"/>
      <c r="K349" s="1"/>
      <c r="L349" s="1"/>
      <c r="M349" s="1"/>
      <c r="N349" s="1"/>
      <c r="O349" s="1"/>
      <c r="P349" s="1"/>
      <c r="Q349" s="1"/>
      <c r="R349" s="1"/>
      <c r="S349" s="1"/>
    </row>
    <row r="350" spans="1:19" ht="33.75" customHeight="1">
      <c r="A350" s="1" t="s">
        <v>1155</v>
      </c>
      <c r="B350" s="1" t="s">
        <v>926</v>
      </c>
      <c r="C350" s="1">
        <v>9</v>
      </c>
      <c r="D350" s="4">
        <v>39852.105555555558</v>
      </c>
      <c r="E350" s="1" t="s">
        <v>14</v>
      </c>
      <c r="F350" s="1"/>
      <c r="G350" s="1"/>
      <c r="H350" s="1"/>
      <c r="I350" s="1"/>
      <c r="J350" s="1"/>
      <c r="K350" s="1"/>
      <c r="L350" s="1"/>
      <c r="M350" s="1"/>
      <c r="N350" s="1"/>
      <c r="O350" s="1"/>
      <c r="P350" s="1"/>
      <c r="Q350" s="1"/>
      <c r="R350" s="1"/>
      <c r="S350" s="1"/>
    </row>
    <row r="351" spans="1:19" ht="33.75" customHeight="1">
      <c r="A351" s="1" t="s">
        <v>1157</v>
      </c>
      <c r="B351" s="1" t="s">
        <v>846</v>
      </c>
      <c r="C351" s="1">
        <v>8</v>
      </c>
      <c r="D351" s="4">
        <v>39852.14166666667</v>
      </c>
      <c r="E351" s="1" t="s">
        <v>474</v>
      </c>
      <c r="F351" s="1"/>
      <c r="G351" s="1"/>
      <c r="H351" s="1"/>
      <c r="I351" s="1"/>
      <c r="J351" s="1"/>
      <c r="K351" s="1"/>
      <c r="L351" s="1"/>
      <c r="M351" s="1"/>
      <c r="N351" s="1"/>
      <c r="O351" s="1"/>
      <c r="P351" s="1"/>
      <c r="Q351" s="1"/>
      <c r="R351" s="1"/>
      <c r="S351" s="1"/>
    </row>
    <row r="352" spans="1:19" ht="33.75" customHeight="1">
      <c r="A352" s="1" t="s">
        <v>1160</v>
      </c>
      <c r="B352" s="1" t="s">
        <v>846</v>
      </c>
      <c r="C352" s="1">
        <v>8</v>
      </c>
      <c r="D352" s="4">
        <v>39852.202777777777</v>
      </c>
      <c r="E352" s="1" t="s">
        <v>474</v>
      </c>
      <c r="F352" s="1"/>
      <c r="G352" s="1"/>
      <c r="H352" s="1"/>
      <c r="I352" s="1"/>
      <c r="J352" s="1"/>
      <c r="K352" s="1"/>
      <c r="L352" s="1"/>
      <c r="M352" s="1"/>
      <c r="N352" s="1"/>
      <c r="O352" s="1"/>
      <c r="P352" s="1"/>
      <c r="Q352" s="1"/>
      <c r="R352" s="1"/>
      <c r="S352" s="1"/>
    </row>
    <row r="353" spans="1:19" ht="33.75" customHeight="1">
      <c r="A353" s="1" t="s">
        <v>1163</v>
      </c>
      <c r="B353" s="1" t="s">
        <v>846</v>
      </c>
      <c r="C353" s="1">
        <v>8</v>
      </c>
      <c r="D353" s="4">
        <v>39852.238194444442</v>
      </c>
      <c r="E353" s="1" t="s">
        <v>1089</v>
      </c>
      <c r="F353" s="1"/>
      <c r="G353" s="1"/>
      <c r="H353" s="1"/>
      <c r="I353" s="1"/>
      <c r="J353" s="1"/>
      <c r="K353" s="1"/>
      <c r="L353" s="1"/>
      <c r="M353" s="1"/>
      <c r="N353" s="1"/>
      <c r="O353" s="1"/>
      <c r="P353" s="1"/>
      <c r="Q353" s="1"/>
      <c r="R353" s="1"/>
      <c r="S353" s="1"/>
    </row>
    <row r="354" spans="1:19" ht="33.75" customHeight="1">
      <c r="A354" s="1" t="s">
        <v>1165</v>
      </c>
      <c r="B354" s="1" t="s">
        <v>846</v>
      </c>
      <c r="C354" s="1">
        <v>8</v>
      </c>
      <c r="D354" s="4">
        <v>39852.316666666666</v>
      </c>
      <c r="E354" s="1" t="s">
        <v>54</v>
      </c>
      <c r="F354" s="1"/>
      <c r="G354" s="1"/>
      <c r="H354" s="1"/>
      <c r="I354" s="1"/>
      <c r="J354" s="1"/>
      <c r="K354" s="1"/>
      <c r="L354" s="1"/>
      <c r="M354" s="1"/>
      <c r="N354" s="1"/>
      <c r="O354" s="1"/>
      <c r="P354" s="1"/>
      <c r="Q354" s="1"/>
      <c r="R354" s="1"/>
      <c r="S354" s="1"/>
    </row>
    <row r="355" spans="1:19" ht="33.75" customHeight="1">
      <c r="A355" s="1" t="s">
        <v>1169</v>
      </c>
      <c r="B355" s="1" t="s">
        <v>846</v>
      </c>
      <c r="C355" s="1">
        <v>8</v>
      </c>
      <c r="D355" s="4">
        <v>39852.339583333334</v>
      </c>
      <c r="E355" s="1" t="s">
        <v>54</v>
      </c>
      <c r="F355" s="1"/>
      <c r="G355" s="1"/>
      <c r="H355" s="1"/>
      <c r="I355" s="1"/>
      <c r="J355" s="1"/>
      <c r="K355" s="1"/>
      <c r="L355" s="1"/>
      <c r="M355" s="1"/>
      <c r="N355" s="1"/>
      <c r="O355" s="1"/>
      <c r="P355" s="1"/>
      <c r="Q355" s="1"/>
      <c r="R355" s="1"/>
      <c r="S355" s="1"/>
    </row>
    <row r="356" spans="1:19" ht="33.75" customHeight="1">
      <c r="A356" s="1" t="s">
        <v>1172</v>
      </c>
      <c r="B356" s="1" t="s">
        <v>926</v>
      </c>
      <c r="C356" s="1">
        <v>9</v>
      </c>
      <c r="D356" s="4">
        <v>39852.35833333333</v>
      </c>
      <c r="E356" s="1" t="s">
        <v>196</v>
      </c>
      <c r="F356" s="1"/>
      <c r="G356" s="1"/>
      <c r="H356" s="1"/>
      <c r="I356" s="1"/>
      <c r="J356" s="1"/>
      <c r="K356" s="1"/>
      <c r="L356" s="1"/>
      <c r="M356" s="1"/>
      <c r="N356" s="1"/>
      <c r="O356" s="1"/>
      <c r="P356" s="1"/>
      <c r="Q356" s="1"/>
      <c r="R356" s="1"/>
      <c r="S356" s="1"/>
    </row>
    <row r="357" spans="1:19" ht="33.75" customHeight="1">
      <c r="A357" s="1" t="s">
        <v>1175</v>
      </c>
      <c r="B357" s="1" t="s">
        <v>926</v>
      </c>
      <c r="C357" s="1">
        <v>9</v>
      </c>
      <c r="D357" s="4">
        <v>39852.364583333336</v>
      </c>
      <c r="E357" s="1" t="s">
        <v>196</v>
      </c>
      <c r="F357" s="1"/>
      <c r="G357" s="1"/>
      <c r="H357" s="1"/>
      <c r="I357" s="1"/>
      <c r="J357" s="1"/>
      <c r="K357" s="1"/>
      <c r="L357" s="1"/>
      <c r="M357" s="1"/>
      <c r="N357" s="1"/>
      <c r="O357" s="1"/>
      <c r="P357" s="1"/>
      <c r="Q357" s="1"/>
      <c r="R357" s="1"/>
      <c r="S357" s="1"/>
    </row>
    <row r="358" spans="1:19" ht="33.75" customHeight="1">
      <c r="A358" s="1" t="s">
        <v>1177</v>
      </c>
      <c r="B358" s="3" t="s">
        <v>13</v>
      </c>
      <c r="C358" s="3">
        <v>1</v>
      </c>
      <c r="D358" s="4">
        <v>39852.477083333331</v>
      </c>
      <c r="E358" s="1" t="s">
        <v>1073</v>
      </c>
      <c r="F358" s="1"/>
      <c r="G358" s="1"/>
      <c r="H358" s="1"/>
      <c r="I358" s="1"/>
      <c r="J358" s="1"/>
      <c r="K358" s="1"/>
      <c r="L358" s="1"/>
      <c r="M358" s="1"/>
      <c r="N358" s="1"/>
      <c r="O358" s="1"/>
      <c r="P358" s="1"/>
      <c r="Q358" s="1"/>
      <c r="R358" s="1"/>
      <c r="S358" s="1"/>
    </row>
    <row r="359" spans="1:19" ht="33.75" customHeight="1">
      <c r="A359" s="1" t="s">
        <v>1180</v>
      </c>
      <c r="B359" s="3" t="s">
        <v>13</v>
      </c>
      <c r="C359" s="3">
        <v>1</v>
      </c>
      <c r="D359" s="4">
        <v>39852.484722222223</v>
      </c>
      <c r="E359" s="1" t="s">
        <v>101</v>
      </c>
      <c r="F359" s="1"/>
      <c r="G359" s="1"/>
      <c r="H359" s="1"/>
      <c r="I359" s="1"/>
      <c r="J359" s="1"/>
      <c r="K359" s="1"/>
      <c r="L359" s="1"/>
      <c r="M359" s="1"/>
      <c r="N359" s="1"/>
      <c r="O359" s="1"/>
      <c r="P359" s="1"/>
      <c r="Q359" s="1"/>
      <c r="R359" s="1"/>
      <c r="S359" s="1"/>
    </row>
    <row r="360" spans="1:19" ht="33.75" customHeight="1">
      <c r="A360" s="1" t="s">
        <v>1183</v>
      </c>
      <c r="B360" s="1" t="s">
        <v>926</v>
      </c>
      <c r="C360" s="1">
        <v>9</v>
      </c>
      <c r="D360" s="4">
        <v>39852.493750000001</v>
      </c>
      <c r="E360" s="1" t="s">
        <v>14</v>
      </c>
      <c r="F360" s="1"/>
      <c r="G360" s="1"/>
      <c r="H360" s="1"/>
      <c r="I360" s="1"/>
      <c r="J360" s="1"/>
      <c r="K360" s="1"/>
      <c r="L360" s="1"/>
      <c r="M360" s="1"/>
      <c r="N360" s="1"/>
      <c r="O360" s="1"/>
      <c r="P360" s="1"/>
      <c r="Q360" s="1"/>
      <c r="R360" s="1"/>
      <c r="S360" s="1"/>
    </row>
    <row r="361" spans="1:19" ht="33.75" customHeight="1">
      <c r="A361" s="1" t="s">
        <v>1185</v>
      </c>
      <c r="B361" s="3" t="s">
        <v>13</v>
      </c>
      <c r="C361" s="3">
        <v>1</v>
      </c>
      <c r="D361" s="4">
        <v>39852.497916666667</v>
      </c>
      <c r="E361" s="1" t="s">
        <v>101</v>
      </c>
      <c r="F361" s="1"/>
      <c r="G361" s="1"/>
      <c r="H361" s="1"/>
      <c r="I361" s="1"/>
      <c r="J361" s="1"/>
      <c r="K361" s="1"/>
      <c r="L361" s="1"/>
      <c r="M361" s="1"/>
      <c r="N361" s="1"/>
      <c r="O361" s="1"/>
      <c r="P361" s="1"/>
      <c r="Q361" s="1"/>
      <c r="R361" s="1"/>
      <c r="S361" s="1"/>
    </row>
    <row r="362" spans="1:19" ht="33.75" customHeight="1">
      <c r="A362" s="1" t="s">
        <v>1187</v>
      </c>
      <c r="B362" s="3" t="s">
        <v>13</v>
      </c>
      <c r="C362" s="3">
        <v>1</v>
      </c>
      <c r="D362" s="4">
        <v>39852.504166666666</v>
      </c>
      <c r="E362" s="1" t="s">
        <v>14</v>
      </c>
      <c r="F362" s="1"/>
      <c r="G362" s="1"/>
      <c r="H362" s="1"/>
      <c r="I362" s="1"/>
      <c r="J362" s="1"/>
      <c r="K362" s="1"/>
      <c r="L362" s="1"/>
      <c r="M362" s="1"/>
      <c r="N362" s="1"/>
      <c r="O362" s="1"/>
      <c r="P362" s="1"/>
      <c r="Q362" s="1"/>
      <c r="R362" s="1"/>
      <c r="S362" s="1"/>
    </row>
    <row r="363" spans="1:19" ht="33.75" customHeight="1">
      <c r="A363" s="1" t="s">
        <v>1190</v>
      </c>
      <c r="B363" s="3" t="s">
        <v>13</v>
      </c>
      <c r="C363" s="3">
        <v>1</v>
      </c>
      <c r="D363" s="4">
        <v>39852.557638888888</v>
      </c>
      <c r="E363" s="1" t="s">
        <v>101</v>
      </c>
      <c r="F363" s="1"/>
      <c r="G363" s="1"/>
      <c r="H363" s="1"/>
      <c r="I363" s="1"/>
      <c r="J363" s="1"/>
      <c r="K363" s="1"/>
      <c r="L363" s="1"/>
      <c r="M363" s="1"/>
      <c r="N363" s="1"/>
      <c r="O363" s="1"/>
      <c r="P363" s="1"/>
      <c r="Q363" s="1"/>
      <c r="R363" s="1"/>
      <c r="S363" s="1"/>
    </row>
    <row r="364" spans="1:19" ht="33.75" customHeight="1">
      <c r="A364" s="1" t="s">
        <v>1194</v>
      </c>
      <c r="B364" s="1" t="s">
        <v>846</v>
      </c>
      <c r="C364" s="1">
        <v>8</v>
      </c>
      <c r="D364" s="4">
        <v>39852.574305555558</v>
      </c>
      <c r="E364" s="1" t="s">
        <v>84</v>
      </c>
      <c r="F364" s="1"/>
      <c r="G364" s="1"/>
      <c r="H364" s="1"/>
      <c r="I364" s="1"/>
      <c r="J364" s="1"/>
      <c r="K364" s="1"/>
      <c r="L364" s="1"/>
      <c r="M364" s="1"/>
      <c r="N364" s="1"/>
      <c r="O364" s="1"/>
      <c r="P364" s="1"/>
      <c r="Q364" s="1"/>
      <c r="R364" s="1"/>
      <c r="S364" s="1"/>
    </row>
    <row r="365" spans="1:19" ht="33.75" customHeight="1">
      <c r="A365" s="1" t="s">
        <v>12</v>
      </c>
      <c r="B365" s="1" t="s">
        <v>1196</v>
      </c>
      <c r="C365" s="1">
        <v>10</v>
      </c>
      <c r="D365" s="4">
        <v>39852.662118055552</v>
      </c>
      <c r="E365" s="1" t="s">
        <v>14</v>
      </c>
      <c r="F365" s="1"/>
      <c r="G365" s="1"/>
      <c r="H365" s="1"/>
      <c r="I365" s="1"/>
      <c r="J365" s="1"/>
      <c r="K365" s="1"/>
      <c r="L365" s="1"/>
      <c r="M365" s="1"/>
      <c r="N365" s="1"/>
      <c r="O365" s="1"/>
      <c r="P365" s="1"/>
      <c r="Q365" s="1"/>
      <c r="R365" s="1"/>
      <c r="S365" s="1"/>
    </row>
    <row r="366" spans="1:19" ht="33.75" customHeight="1">
      <c r="A366" s="1" t="s">
        <v>1198</v>
      </c>
      <c r="B366" s="3" t="s">
        <v>13</v>
      </c>
      <c r="C366" s="3">
        <v>1</v>
      </c>
      <c r="D366" s="4">
        <v>39852.727777777778</v>
      </c>
      <c r="E366" s="1" t="s">
        <v>913</v>
      </c>
      <c r="F366" s="1"/>
      <c r="G366" s="1"/>
      <c r="H366" s="1"/>
      <c r="I366" s="1"/>
      <c r="J366" s="1"/>
      <c r="K366" s="1"/>
      <c r="L366" s="1"/>
      <c r="M366" s="1"/>
      <c r="N366" s="1"/>
      <c r="O366" s="1"/>
      <c r="P366" s="1"/>
      <c r="Q366" s="1"/>
      <c r="R366" s="1"/>
      <c r="S366" s="1"/>
    </row>
    <row r="367" spans="1:19" ht="33.75" customHeight="1">
      <c r="A367" s="1" t="s">
        <v>1200</v>
      </c>
      <c r="B367" s="3" t="s">
        <v>13</v>
      </c>
      <c r="C367" s="3">
        <v>1</v>
      </c>
      <c r="D367" s="4">
        <v>39852.736111111109</v>
      </c>
      <c r="E367" s="1" t="s">
        <v>913</v>
      </c>
      <c r="F367" s="1"/>
      <c r="G367" s="1"/>
      <c r="H367" s="1"/>
      <c r="I367" s="1"/>
      <c r="J367" s="1"/>
      <c r="K367" s="1"/>
      <c r="L367" s="1"/>
      <c r="M367" s="1"/>
      <c r="N367" s="1"/>
      <c r="O367" s="1"/>
      <c r="P367" s="1"/>
      <c r="Q367" s="1"/>
      <c r="R367" s="1"/>
      <c r="S367" s="1"/>
    </row>
    <row r="368" spans="1:19" ht="33.75" customHeight="1">
      <c r="A368" s="1" t="s">
        <v>1203</v>
      </c>
      <c r="B368" s="1" t="s">
        <v>1196</v>
      </c>
      <c r="C368" s="1">
        <v>10</v>
      </c>
      <c r="D368" s="4">
        <v>39852.755555555559</v>
      </c>
      <c r="E368" s="1" t="s">
        <v>14</v>
      </c>
      <c r="F368" s="1"/>
      <c r="G368" s="1"/>
      <c r="H368" s="1"/>
      <c r="I368" s="1"/>
      <c r="J368" s="1"/>
      <c r="K368" s="1"/>
      <c r="L368" s="1"/>
      <c r="M368" s="1"/>
      <c r="N368" s="1"/>
      <c r="O368" s="1"/>
      <c r="P368" s="1"/>
      <c r="Q368" s="1"/>
      <c r="R368" s="1"/>
      <c r="S368" s="1"/>
    </row>
    <row r="369" spans="1:19" ht="33.75" customHeight="1">
      <c r="A369" s="1" t="s">
        <v>1206</v>
      </c>
      <c r="B369" s="1" t="s">
        <v>846</v>
      </c>
      <c r="C369" s="1">
        <v>8</v>
      </c>
      <c r="D369" s="4">
        <v>39852.763194444444</v>
      </c>
      <c r="E369" s="1" t="s">
        <v>110</v>
      </c>
      <c r="F369" s="1"/>
      <c r="G369" s="1"/>
      <c r="H369" s="1"/>
      <c r="I369" s="1"/>
      <c r="J369" s="1"/>
      <c r="K369" s="1"/>
      <c r="L369" s="1"/>
      <c r="M369" s="1"/>
      <c r="N369" s="1"/>
      <c r="O369" s="1"/>
      <c r="P369" s="1"/>
      <c r="Q369" s="1"/>
      <c r="R369" s="1"/>
      <c r="S369" s="1"/>
    </row>
    <row r="370" spans="1:19" ht="33.75" customHeight="1">
      <c r="A370" s="1" t="s">
        <v>1208</v>
      </c>
      <c r="B370" s="1" t="s">
        <v>926</v>
      </c>
      <c r="C370" s="1">
        <v>9</v>
      </c>
      <c r="D370" s="4">
        <v>39852.765277777777</v>
      </c>
      <c r="E370" s="1" t="s">
        <v>196</v>
      </c>
      <c r="F370" s="1"/>
      <c r="G370" s="1"/>
      <c r="H370" s="1"/>
      <c r="I370" s="1"/>
      <c r="J370" s="1"/>
      <c r="K370" s="1"/>
      <c r="L370" s="1"/>
      <c r="M370" s="1"/>
      <c r="N370" s="1"/>
      <c r="O370" s="1"/>
      <c r="P370" s="1"/>
      <c r="Q370" s="1"/>
      <c r="R370" s="1"/>
      <c r="S370" s="1"/>
    </row>
    <row r="371" spans="1:19" ht="33.75" customHeight="1">
      <c r="A371" s="1" t="s">
        <v>1210</v>
      </c>
      <c r="B371" s="1" t="s">
        <v>1196</v>
      </c>
      <c r="C371" s="1">
        <v>10</v>
      </c>
      <c r="D371" s="4">
        <v>39852.771527777775</v>
      </c>
      <c r="E371" s="1" t="s">
        <v>14</v>
      </c>
      <c r="F371" s="1"/>
      <c r="G371" s="1"/>
      <c r="H371" s="1"/>
      <c r="I371" s="1"/>
      <c r="J371" s="1"/>
      <c r="K371" s="1"/>
      <c r="L371" s="1"/>
      <c r="M371" s="1"/>
      <c r="N371" s="1"/>
      <c r="O371" s="1"/>
      <c r="P371" s="1"/>
      <c r="Q371" s="1"/>
      <c r="R371" s="1"/>
      <c r="S371" s="1"/>
    </row>
    <row r="372" spans="1:19" ht="33.75" customHeight="1">
      <c r="A372" s="1" t="s">
        <v>1212</v>
      </c>
      <c r="B372" s="1" t="s">
        <v>926</v>
      </c>
      <c r="C372" s="1">
        <v>9</v>
      </c>
      <c r="D372" s="4">
        <v>39852.775694444441</v>
      </c>
      <c r="E372" s="1" t="s">
        <v>14</v>
      </c>
      <c r="F372" s="1"/>
      <c r="G372" s="1"/>
      <c r="H372" s="1"/>
      <c r="I372" s="1"/>
      <c r="J372" s="1"/>
      <c r="K372" s="1"/>
      <c r="L372" s="1"/>
      <c r="M372" s="1"/>
      <c r="N372" s="1"/>
      <c r="O372" s="1"/>
      <c r="P372" s="1"/>
      <c r="Q372" s="1"/>
      <c r="R372" s="1"/>
      <c r="S372" s="1"/>
    </row>
    <row r="373" spans="1:19" ht="33.75" customHeight="1">
      <c r="A373" s="1" t="s">
        <v>1215</v>
      </c>
      <c r="B373" s="1" t="s">
        <v>1196</v>
      </c>
      <c r="C373" s="1">
        <v>10</v>
      </c>
      <c r="D373" s="4">
        <v>39852.77847222222</v>
      </c>
      <c r="E373" s="1" t="s">
        <v>54</v>
      </c>
      <c r="F373" s="1"/>
      <c r="G373" s="1"/>
      <c r="H373" s="1"/>
      <c r="I373" s="1"/>
      <c r="J373" s="1"/>
      <c r="K373" s="1"/>
      <c r="L373" s="1"/>
      <c r="M373" s="1"/>
      <c r="N373" s="1"/>
      <c r="O373" s="1"/>
      <c r="P373" s="1"/>
      <c r="Q373" s="1"/>
      <c r="R373" s="1"/>
      <c r="S373" s="1"/>
    </row>
    <row r="374" spans="1:19" ht="33.75" customHeight="1">
      <c r="A374" s="1" t="s">
        <v>1218</v>
      </c>
      <c r="B374" s="1" t="s">
        <v>1196</v>
      </c>
      <c r="C374" s="1">
        <v>10</v>
      </c>
      <c r="D374" s="4">
        <v>39852.787499999999</v>
      </c>
      <c r="E374" s="1" t="s">
        <v>14</v>
      </c>
      <c r="F374" s="1"/>
      <c r="G374" s="1"/>
      <c r="H374" s="1"/>
      <c r="I374" s="1"/>
      <c r="J374" s="1"/>
      <c r="K374" s="1"/>
      <c r="L374" s="1"/>
      <c r="M374" s="1"/>
      <c r="N374" s="1"/>
      <c r="O374" s="1"/>
      <c r="P374" s="1"/>
      <c r="Q374" s="1"/>
      <c r="R374" s="1"/>
      <c r="S374" s="1"/>
    </row>
    <row r="375" spans="1:19" ht="33.75" customHeight="1">
      <c r="A375" s="1" t="s">
        <v>1221</v>
      </c>
      <c r="B375" s="1" t="s">
        <v>846</v>
      </c>
      <c r="C375" s="1">
        <v>8</v>
      </c>
      <c r="D375" s="4">
        <v>39852.795138888891</v>
      </c>
      <c r="E375" s="1" t="s">
        <v>1089</v>
      </c>
      <c r="F375" s="1"/>
      <c r="G375" s="1"/>
      <c r="H375" s="1"/>
      <c r="I375" s="1"/>
      <c r="J375" s="1"/>
      <c r="K375" s="1"/>
      <c r="L375" s="1"/>
      <c r="M375" s="1"/>
      <c r="N375" s="1"/>
      <c r="O375" s="1"/>
      <c r="P375" s="1"/>
      <c r="Q375" s="1"/>
      <c r="R375" s="1"/>
      <c r="S375" s="1"/>
    </row>
    <row r="376" spans="1:19" ht="33.75" customHeight="1">
      <c r="A376" s="1" t="s">
        <v>1223</v>
      </c>
      <c r="B376" s="1" t="s">
        <v>846</v>
      </c>
      <c r="C376" s="1">
        <v>8</v>
      </c>
      <c r="D376" s="4">
        <v>39852.795138888891</v>
      </c>
      <c r="E376" s="1" t="s">
        <v>1224</v>
      </c>
      <c r="F376" s="1"/>
      <c r="G376" s="1"/>
      <c r="H376" s="1"/>
      <c r="I376" s="1"/>
      <c r="J376" s="1"/>
      <c r="K376" s="1"/>
      <c r="L376" s="1"/>
      <c r="M376" s="1"/>
      <c r="N376" s="1"/>
      <c r="O376" s="1"/>
      <c r="P376" s="1"/>
      <c r="Q376" s="1"/>
      <c r="R376" s="1"/>
      <c r="S376" s="1"/>
    </row>
    <row r="377" spans="1:19" ht="33.75" customHeight="1">
      <c r="A377" s="1" t="s">
        <v>1227</v>
      </c>
      <c r="B377" s="1" t="s">
        <v>926</v>
      </c>
      <c r="C377" s="1">
        <v>9</v>
      </c>
      <c r="D377" s="4">
        <v>39852.809027777781</v>
      </c>
      <c r="E377" s="1" t="s">
        <v>393</v>
      </c>
      <c r="F377" s="1"/>
      <c r="G377" s="1"/>
      <c r="H377" s="1"/>
      <c r="I377" s="1"/>
      <c r="J377" s="1"/>
      <c r="K377" s="1"/>
      <c r="L377" s="1"/>
      <c r="M377" s="1"/>
      <c r="N377" s="1"/>
      <c r="O377" s="1"/>
      <c r="P377" s="1"/>
      <c r="Q377" s="1"/>
      <c r="R377" s="1"/>
      <c r="S377" s="1"/>
    </row>
    <row r="378" spans="1:19" ht="33.75" customHeight="1">
      <c r="A378" s="1" t="s">
        <v>1229</v>
      </c>
      <c r="B378" s="1" t="s">
        <v>926</v>
      </c>
      <c r="C378" s="1">
        <v>9</v>
      </c>
      <c r="D378" s="4">
        <v>39852.8125</v>
      </c>
      <c r="E378" s="1" t="s">
        <v>393</v>
      </c>
      <c r="F378" s="1"/>
      <c r="G378" s="1"/>
      <c r="H378" s="1"/>
      <c r="I378" s="1"/>
      <c r="J378" s="1"/>
      <c r="K378" s="1"/>
      <c r="L378" s="1"/>
      <c r="M378" s="1"/>
      <c r="N378" s="1"/>
      <c r="O378" s="1"/>
      <c r="P378" s="1"/>
      <c r="Q378" s="1"/>
      <c r="R378" s="1"/>
      <c r="S378" s="1"/>
    </row>
    <row r="379" spans="1:19" ht="33.75" customHeight="1">
      <c r="A379" s="1" t="s">
        <v>1232</v>
      </c>
      <c r="B379" s="1" t="s">
        <v>1196</v>
      </c>
      <c r="C379" s="1">
        <v>10</v>
      </c>
      <c r="D379" s="4">
        <v>39852.822916666664</v>
      </c>
      <c r="E379" s="1" t="s">
        <v>14</v>
      </c>
      <c r="F379" s="1"/>
      <c r="G379" s="1"/>
      <c r="H379" s="1"/>
      <c r="I379" s="1"/>
      <c r="J379" s="1"/>
      <c r="K379" s="1"/>
      <c r="L379" s="1"/>
      <c r="M379" s="1"/>
      <c r="N379" s="1"/>
      <c r="O379" s="1"/>
      <c r="P379" s="1"/>
      <c r="Q379" s="1"/>
      <c r="R379" s="1"/>
      <c r="S379" s="1"/>
    </row>
    <row r="380" spans="1:19" ht="33.75" customHeight="1">
      <c r="A380" s="1" t="s">
        <v>1235</v>
      </c>
      <c r="B380" s="1" t="s">
        <v>1196</v>
      </c>
      <c r="C380" s="1">
        <v>10</v>
      </c>
      <c r="D380" s="4">
        <v>39852.833333333336</v>
      </c>
      <c r="E380" s="1" t="s">
        <v>255</v>
      </c>
      <c r="F380" s="1"/>
      <c r="G380" s="1"/>
      <c r="H380" s="1"/>
      <c r="I380" s="1"/>
      <c r="J380" s="1"/>
      <c r="K380" s="1"/>
      <c r="L380" s="1"/>
      <c r="M380" s="1"/>
      <c r="N380" s="1"/>
      <c r="O380" s="1"/>
      <c r="P380" s="1"/>
      <c r="Q380" s="1"/>
      <c r="R380" s="1"/>
      <c r="S380" s="1"/>
    </row>
    <row r="381" spans="1:19" ht="33.75" customHeight="1">
      <c r="A381" s="1" t="s">
        <v>1237</v>
      </c>
      <c r="B381" s="1" t="s">
        <v>926</v>
      </c>
      <c r="C381" s="1">
        <v>9</v>
      </c>
      <c r="D381" s="4">
        <v>39852.836805555555</v>
      </c>
      <c r="E381" s="1" t="s">
        <v>393</v>
      </c>
      <c r="F381" s="1"/>
      <c r="G381" s="1"/>
      <c r="H381" s="1"/>
      <c r="I381" s="1"/>
      <c r="J381" s="1"/>
      <c r="K381" s="1"/>
      <c r="L381" s="1"/>
      <c r="M381" s="1"/>
      <c r="N381" s="1"/>
      <c r="O381" s="1"/>
      <c r="P381" s="1"/>
      <c r="Q381" s="1"/>
      <c r="R381" s="1"/>
      <c r="S381" s="1"/>
    </row>
    <row r="382" spans="1:19" ht="33.75" customHeight="1">
      <c r="A382" s="1" t="s">
        <v>1240</v>
      </c>
      <c r="B382" s="1" t="s">
        <v>846</v>
      </c>
      <c r="C382" s="1">
        <v>8</v>
      </c>
      <c r="D382" s="4">
        <v>39852.838194444441</v>
      </c>
      <c r="E382" s="1" t="s">
        <v>1241</v>
      </c>
      <c r="F382" s="1"/>
      <c r="G382" s="1"/>
      <c r="H382" s="1"/>
      <c r="I382" s="1"/>
      <c r="J382" s="1"/>
      <c r="K382" s="1"/>
      <c r="L382" s="1"/>
      <c r="M382" s="1"/>
      <c r="N382" s="1"/>
      <c r="O382" s="1"/>
      <c r="P382" s="1"/>
      <c r="Q382" s="1"/>
      <c r="R382" s="1"/>
      <c r="S382" s="1"/>
    </row>
    <row r="383" spans="1:19" ht="33.75" customHeight="1">
      <c r="A383" s="1" t="s">
        <v>1243</v>
      </c>
      <c r="B383" s="1" t="s">
        <v>1196</v>
      </c>
      <c r="C383" s="1">
        <v>10</v>
      </c>
      <c r="D383" s="4">
        <v>39852.843055555553</v>
      </c>
      <c r="E383" s="1" t="s">
        <v>255</v>
      </c>
      <c r="F383" s="1"/>
      <c r="G383" s="1"/>
      <c r="H383" s="1"/>
      <c r="I383" s="1"/>
      <c r="J383" s="1"/>
      <c r="K383" s="1"/>
      <c r="L383" s="1"/>
      <c r="M383" s="1"/>
      <c r="N383" s="1"/>
      <c r="O383" s="1"/>
      <c r="P383" s="1"/>
      <c r="Q383" s="1"/>
      <c r="R383" s="1"/>
      <c r="S383" s="1"/>
    </row>
    <row r="384" spans="1:19" ht="33.75" customHeight="1">
      <c r="A384" s="1" t="s">
        <v>1246</v>
      </c>
      <c r="B384" s="1" t="s">
        <v>160</v>
      </c>
      <c r="C384" s="1">
        <v>4</v>
      </c>
      <c r="D384" s="4">
        <v>39852.849305555559</v>
      </c>
      <c r="E384" s="1" t="s">
        <v>393</v>
      </c>
      <c r="F384" s="1"/>
      <c r="G384" s="1"/>
      <c r="H384" s="1"/>
      <c r="I384" s="1"/>
      <c r="J384" s="1"/>
      <c r="K384" s="1"/>
      <c r="L384" s="1"/>
      <c r="M384" s="1"/>
      <c r="N384" s="1"/>
      <c r="O384" s="1"/>
      <c r="P384" s="1"/>
      <c r="Q384" s="1"/>
      <c r="R384" s="1"/>
      <c r="S384" s="1"/>
    </row>
    <row r="385" spans="1:19" ht="33.75" customHeight="1">
      <c r="A385" s="1" t="s">
        <v>1249</v>
      </c>
      <c r="B385" s="1" t="s">
        <v>1196</v>
      </c>
      <c r="C385" s="1">
        <v>10</v>
      </c>
      <c r="D385" s="4">
        <v>39852.856944444444</v>
      </c>
      <c r="E385" s="1" t="s">
        <v>14</v>
      </c>
      <c r="F385" s="1"/>
      <c r="G385" s="1"/>
      <c r="H385" s="1"/>
      <c r="I385" s="1"/>
      <c r="J385" s="1"/>
      <c r="K385" s="1"/>
      <c r="L385" s="1"/>
      <c r="M385" s="1"/>
      <c r="N385" s="1"/>
      <c r="O385" s="1"/>
      <c r="P385" s="1"/>
      <c r="Q385" s="1"/>
      <c r="R385" s="1"/>
      <c r="S385" s="1"/>
    </row>
    <row r="386" spans="1:19" ht="33.75" customHeight="1">
      <c r="A386" s="1" t="s">
        <v>1252</v>
      </c>
      <c r="B386" s="1" t="s">
        <v>846</v>
      </c>
      <c r="C386" s="1">
        <v>8</v>
      </c>
      <c r="D386" s="4">
        <v>39852.873611111114</v>
      </c>
      <c r="E386" s="1" t="s">
        <v>772</v>
      </c>
      <c r="F386" s="1"/>
      <c r="G386" s="1"/>
      <c r="H386" s="1"/>
      <c r="I386" s="1"/>
      <c r="J386" s="1"/>
      <c r="K386" s="1"/>
      <c r="L386" s="1"/>
      <c r="M386" s="1"/>
      <c r="N386" s="1"/>
      <c r="O386" s="1"/>
      <c r="P386" s="1"/>
      <c r="Q386" s="1"/>
      <c r="R386" s="1"/>
      <c r="S386" s="1"/>
    </row>
    <row r="387" spans="1:19" ht="33.75" customHeight="1">
      <c r="A387" s="1" t="s">
        <v>1254</v>
      </c>
      <c r="B387" s="1" t="s">
        <v>926</v>
      </c>
      <c r="C387" s="1">
        <v>9</v>
      </c>
      <c r="D387" s="4">
        <v>39852.887499999997</v>
      </c>
      <c r="E387" s="1" t="s">
        <v>196</v>
      </c>
      <c r="F387" s="1"/>
      <c r="G387" s="1"/>
      <c r="H387" s="1"/>
      <c r="I387" s="1"/>
      <c r="J387" s="1"/>
      <c r="K387" s="1"/>
      <c r="L387" s="1"/>
      <c r="M387" s="1"/>
      <c r="N387" s="1"/>
      <c r="O387" s="1"/>
      <c r="P387" s="1"/>
      <c r="Q387" s="1"/>
      <c r="R387" s="1"/>
      <c r="S387" s="1"/>
    </row>
    <row r="388" spans="1:19" ht="33.75" customHeight="1">
      <c r="A388" s="1" t="s">
        <v>1257</v>
      </c>
      <c r="B388" s="1" t="s">
        <v>846</v>
      </c>
      <c r="C388" s="1">
        <v>8</v>
      </c>
      <c r="D388" s="4">
        <v>39852.901388888888</v>
      </c>
      <c r="E388" s="1" t="s">
        <v>772</v>
      </c>
      <c r="F388" s="1"/>
      <c r="G388" s="1"/>
      <c r="H388" s="1"/>
      <c r="I388" s="1"/>
      <c r="J388" s="1"/>
      <c r="K388" s="1"/>
      <c r="L388" s="1"/>
      <c r="M388" s="1"/>
      <c r="N388" s="1"/>
      <c r="O388" s="1"/>
      <c r="P388" s="1"/>
      <c r="Q388" s="1"/>
      <c r="R388" s="1"/>
      <c r="S388" s="1"/>
    </row>
    <row r="389" spans="1:19" ht="33.75" customHeight="1">
      <c r="A389" s="1" t="s">
        <v>1259</v>
      </c>
      <c r="B389" s="1" t="s">
        <v>1196</v>
      </c>
      <c r="C389" s="1">
        <v>10</v>
      </c>
      <c r="D389" s="4">
        <v>39852.949999999997</v>
      </c>
      <c r="E389" s="1" t="s">
        <v>14</v>
      </c>
      <c r="F389" s="1"/>
      <c r="G389" s="1"/>
      <c r="H389" s="1"/>
      <c r="I389" s="1"/>
      <c r="J389" s="1"/>
      <c r="K389" s="1"/>
      <c r="L389" s="1"/>
      <c r="M389" s="1"/>
      <c r="N389" s="1"/>
      <c r="O389" s="1"/>
      <c r="P389" s="1"/>
      <c r="Q389" s="1"/>
      <c r="R389" s="1"/>
      <c r="S389" s="1"/>
    </row>
    <row r="390" spans="1:19" ht="33.75" customHeight="1">
      <c r="A390" s="1" t="s">
        <v>1261</v>
      </c>
      <c r="B390" s="3" t="s">
        <v>13</v>
      </c>
      <c r="C390" s="3">
        <v>1</v>
      </c>
      <c r="D390" s="4">
        <v>39852.968055555553</v>
      </c>
      <c r="E390" s="1" t="s">
        <v>913</v>
      </c>
      <c r="F390" s="1"/>
      <c r="G390" s="1"/>
      <c r="H390" s="1"/>
      <c r="I390" s="1"/>
      <c r="J390" s="1"/>
      <c r="K390" s="1"/>
      <c r="L390" s="1"/>
      <c r="M390" s="1"/>
      <c r="N390" s="1"/>
      <c r="O390" s="1"/>
      <c r="P390" s="1"/>
      <c r="Q390" s="1"/>
      <c r="R390" s="1"/>
      <c r="S390" s="1"/>
    </row>
    <row r="391" spans="1:19" ht="33.75" customHeight="1">
      <c r="A391" s="1" t="s">
        <v>1263</v>
      </c>
      <c r="B391" s="1" t="s">
        <v>1196</v>
      </c>
      <c r="C391" s="1">
        <v>10</v>
      </c>
      <c r="D391" s="4">
        <v>39852.978472222225</v>
      </c>
      <c r="E391" s="1" t="s">
        <v>54</v>
      </c>
      <c r="F391" s="1"/>
      <c r="G391" s="1"/>
      <c r="H391" s="1"/>
      <c r="I391" s="1"/>
      <c r="J391" s="1"/>
      <c r="K391" s="1"/>
      <c r="L391" s="1"/>
      <c r="M391" s="1"/>
      <c r="N391" s="1"/>
      <c r="O391" s="1"/>
      <c r="P391" s="1"/>
      <c r="Q391" s="1"/>
      <c r="R391" s="1"/>
      <c r="S391" s="1"/>
    </row>
    <row r="392" spans="1:19" ht="33.75" customHeight="1">
      <c r="A392" s="1" t="s">
        <v>1266</v>
      </c>
      <c r="B392" s="1" t="s">
        <v>1196</v>
      </c>
      <c r="C392" s="1">
        <v>10</v>
      </c>
      <c r="D392" s="4">
        <v>39852.979166666664</v>
      </c>
      <c r="E392" s="1" t="s">
        <v>14</v>
      </c>
      <c r="F392" s="1"/>
      <c r="G392" s="1"/>
      <c r="H392" s="1"/>
      <c r="I392" s="1"/>
      <c r="J392" s="1"/>
      <c r="K392" s="1"/>
      <c r="L392" s="1"/>
      <c r="M392" s="1"/>
      <c r="N392" s="1"/>
      <c r="O392" s="1"/>
      <c r="P392" s="1"/>
      <c r="Q392" s="1"/>
      <c r="R392" s="1"/>
      <c r="S392" s="1"/>
    </row>
    <row r="393" spans="1:19" ht="33.75" customHeight="1">
      <c r="A393" s="1" t="s">
        <v>1270</v>
      </c>
      <c r="B393" s="1" t="s">
        <v>926</v>
      </c>
      <c r="C393" s="1">
        <v>9</v>
      </c>
      <c r="D393" s="4">
        <v>39853.002083333333</v>
      </c>
      <c r="E393" s="1" t="s">
        <v>54</v>
      </c>
      <c r="F393" s="1"/>
      <c r="G393" s="1"/>
      <c r="H393" s="1"/>
      <c r="I393" s="1"/>
      <c r="J393" s="1"/>
      <c r="K393" s="1"/>
      <c r="L393" s="1"/>
      <c r="M393" s="1"/>
      <c r="N393" s="1"/>
      <c r="O393" s="1"/>
      <c r="P393" s="1"/>
      <c r="Q393" s="1"/>
      <c r="R393" s="1"/>
      <c r="S393" s="1"/>
    </row>
    <row r="394" spans="1:19" ht="33.75" customHeight="1">
      <c r="A394" s="1" t="s">
        <v>1273</v>
      </c>
      <c r="B394" s="1" t="s">
        <v>1196</v>
      </c>
      <c r="C394" s="1">
        <v>10</v>
      </c>
      <c r="D394" s="4">
        <v>39853.009027777778</v>
      </c>
      <c r="E394" s="1" t="s">
        <v>14</v>
      </c>
      <c r="F394" s="1"/>
      <c r="G394" s="1"/>
      <c r="H394" s="1"/>
      <c r="I394" s="1"/>
      <c r="J394" s="1"/>
      <c r="K394" s="1"/>
      <c r="L394" s="1"/>
      <c r="M394" s="1"/>
      <c r="N394" s="1"/>
      <c r="O394" s="1"/>
      <c r="P394" s="1"/>
      <c r="Q394" s="1"/>
      <c r="R394" s="1"/>
      <c r="S394" s="1"/>
    </row>
    <row r="395" spans="1:19" ht="33.75" customHeight="1">
      <c r="A395" s="1" t="s">
        <v>1276</v>
      </c>
      <c r="B395" s="1" t="s">
        <v>926</v>
      </c>
      <c r="C395" s="1">
        <v>9</v>
      </c>
      <c r="D395" s="4">
        <v>39853.01666666667</v>
      </c>
      <c r="E395" s="1" t="s">
        <v>14</v>
      </c>
      <c r="F395" s="1"/>
      <c r="G395" s="1"/>
      <c r="H395" s="1"/>
      <c r="I395" s="1"/>
      <c r="J395" s="1"/>
      <c r="K395" s="1"/>
      <c r="L395" s="1"/>
      <c r="M395" s="1"/>
      <c r="N395" s="1"/>
      <c r="O395" s="1"/>
      <c r="P395" s="1"/>
      <c r="Q395" s="1"/>
      <c r="R395" s="1"/>
      <c r="S395" s="1"/>
    </row>
    <row r="396" spans="1:19" ht="33.75" customHeight="1">
      <c r="A396" s="1" t="s">
        <v>1279</v>
      </c>
      <c r="B396" s="1" t="s">
        <v>846</v>
      </c>
      <c r="C396" s="1">
        <v>8</v>
      </c>
      <c r="D396" s="4">
        <v>39853.044444444444</v>
      </c>
      <c r="E396" s="1" t="s">
        <v>393</v>
      </c>
      <c r="F396" s="1"/>
      <c r="G396" s="1"/>
      <c r="H396" s="1"/>
      <c r="I396" s="1"/>
      <c r="J396" s="1"/>
      <c r="K396" s="1"/>
      <c r="L396" s="1"/>
      <c r="M396" s="1"/>
      <c r="N396" s="1"/>
      <c r="O396" s="1"/>
      <c r="P396" s="1"/>
      <c r="Q396" s="1"/>
      <c r="R396" s="1"/>
      <c r="S396" s="1"/>
    </row>
    <row r="397" spans="1:19" ht="33.75" customHeight="1">
      <c r="A397" s="1" t="s">
        <v>1281</v>
      </c>
      <c r="B397" s="3" t="s">
        <v>13</v>
      </c>
      <c r="C397" s="3">
        <v>1</v>
      </c>
      <c r="D397" s="4">
        <v>39853.053472222222</v>
      </c>
      <c r="E397" s="1" t="s">
        <v>553</v>
      </c>
      <c r="F397" s="1"/>
      <c r="G397" s="1"/>
      <c r="H397" s="1"/>
      <c r="I397" s="1"/>
      <c r="J397" s="1"/>
      <c r="K397" s="1"/>
      <c r="L397" s="1"/>
      <c r="M397" s="1"/>
      <c r="N397" s="1"/>
      <c r="O397" s="1"/>
      <c r="P397" s="1"/>
      <c r="Q397" s="1"/>
      <c r="R397" s="1"/>
      <c r="S397" s="1"/>
    </row>
    <row r="398" spans="1:19" ht="33.75" customHeight="1">
      <c r="A398" s="1" t="s">
        <v>1284</v>
      </c>
      <c r="B398" s="3" t="s">
        <v>13</v>
      </c>
      <c r="C398" s="3">
        <v>1</v>
      </c>
      <c r="D398" s="4">
        <v>39853.070833333331</v>
      </c>
      <c r="E398" s="1" t="s">
        <v>913</v>
      </c>
      <c r="F398" s="1"/>
      <c r="G398" s="1"/>
      <c r="H398" s="1"/>
      <c r="I398" s="1"/>
      <c r="J398" s="1"/>
      <c r="K398" s="1"/>
      <c r="L398" s="1"/>
      <c r="M398" s="1"/>
      <c r="N398" s="1"/>
      <c r="O398" s="1"/>
      <c r="P398" s="1"/>
      <c r="Q398" s="1"/>
      <c r="R398" s="1"/>
      <c r="S398" s="1"/>
    </row>
    <row r="399" spans="1:19" ht="33.75" customHeight="1">
      <c r="A399" s="1" t="s">
        <v>1287</v>
      </c>
      <c r="B399" s="1" t="s">
        <v>846</v>
      </c>
      <c r="C399" s="1">
        <v>8</v>
      </c>
      <c r="D399" s="4">
        <v>39853.070833333331</v>
      </c>
      <c r="E399" s="1" t="s">
        <v>1089</v>
      </c>
      <c r="F399" s="1"/>
      <c r="G399" s="1"/>
      <c r="H399" s="1"/>
      <c r="I399" s="1"/>
      <c r="J399" s="1"/>
      <c r="K399" s="1"/>
      <c r="L399" s="1"/>
      <c r="M399" s="1"/>
      <c r="N399" s="1"/>
      <c r="O399" s="1"/>
      <c r="P399" s="1"/>
      <c r="Q399" s="1"/>
      <c r="R399" s="1"/>
      <c r="S399" s="1"/>
    </row>
    <row r="400" spans="1:19" ht="33.75" customHeight="1">
      <c r="A400" s="1" t="s">
        <v>1289</v>
      </c>
      <c r="B400" s="1" t="s">
        <v>926</v>
      </c>
      <c r="C400" s="1">
        <v>9</v>
      </c>
      <c r="D400" s="4">
        <v>39853.10833333333</v>
      </c>
      <c r="E400" s="1" t="s">
        <v>54</v>
      </c>
      <c r="F400" s="1"/>
      <c r="G400" s="1"/>
      <c r="H400" s="1"/>
      <c r="I400" s="1"/>
      <c r="J400" s="1"/>
      <c r="K400" s="1"/>
      <c r="L400" s="1"/>
      <c r="M400" s="1"/>
      <c r="N400" s="1"/>
      <c r="O400" s="1"/>
      <c r="P400" s="1"/>
      <c r="Q400" s="1"/>
      <c r="R400" s="1"/>
      <c r="S400" s="1"/>
    </row>
    <row r="401" spans="1:19" ht="33.75" customHeight="1">
      <c r="A401" s="1" t="s">
        <v>1292</v>
      </c>
      <c r="B401" s="3" t="s">
        <v>13</v>
      </c>
      <c r="C401" s="3">
        <v>1</v>
      </c>
      <c r="D401" s="4">
        <v>39853.12222222222</v>
      </c>
      <c r="E401" s="1" t="s">
        <v>101</v>
      </c>
      <c r="F401" s="1"/>
      <c r="G401" s="1"/>
      <c r="H401" s="1"/>
      <c r="I401" s="1"/>
      <c r="J401" s="1"/>
      <c r="K401" s="1"/>
      <c r="L401" s="1"/>
      <c r="M401" s="1"/>
      <c r="N401" s="1"/>
      <c r="O401" s="1"/>
      <c r="P401" s="1"/>
      <c r="Q401" s="1"/>
      <c r="R401" s="1"/>
      <c r="S401" s="1"/>
    </row>
    <row r="402" spans="1:19" ht="33.75" customHeight="1">
      <c r="A402" s="1" t="s">
        <v>1294</v>
      </c>
      <c r="B402" s="1" t="s">
        <v>846</v>
      </c>
      <c r="C402" s="1">
        <v>8</v>
      </c>
      <c r="D402" s="4">
        <v>39853.151388888888</v>
      </c>
      <c r="E402" s="1" t="s">
        <v>255</v>
      </c>
      <c r="F402" s="1"/>
      <c r="G402" s="1"/>
      <c r="H402" s="1"/>
      <c r="I402" s="1"/>
      <c r="J402" s="1"/>
      <c r="K402" s="1"/>
      <c r="L402" s="1"/>
      <c r="M402" s="1"/>
      <c r="N402" s="1"/>
      <c r="O402" s="1"/>
      <c r="P402" s="1"/>
      <c r="Q402" s="1"/>
      <c r="R402" s="1"/>
      <c r="S402" s="1"/>
    </row>
    <row r="403" spans="1:19" ht="33.75" customHeight="1">
      <c r="A403" s="1" t="s">
        <v>1296</v>
      </c>
      <c r="B403" s="1" t="s">
        <v>846</v>
      </c>
      <c r="C403" s="1">
        <v>8</v>
      </c>
      <c r="D403" s="4">
        <v>39853.329861111109</v>
      </c>
      <c r="E403" s="1" t="s">
        <v>84</v>
      </c>
      <c r="F403" s="1"/>
      <c r="G403" s="1"/>
      <c r="H403" s="1"/>
      <c r="I403" s="1"/>
      <c r="J403" s="1"/>
      <c r="K403" s="1"/>
      <c r="L403" s="1"/>
      <c r="M403" s="1"/>
      <c r="N403" s="1"/>
      <c r="O403" s="1"/>
      <c r="P403" s="1"/>
      <c r="Q403" s="1"/>
      <c r="R403" s="1"/>
      <c r="S403" s="1"/>
    </row>
    <row r="404" spans="1:19" ht="33.75" customHeight="1">
      <c r="A404" s="1" t="s">
        <v>1298</v>
      </c>
      <c r="B404" s="1" t="s">
        <v>846</v>
      </c>
      <c r="C404" s="1">
        <v>8</v>
      </c>
      <c r="D404" s="4">
        <v>39853.341666666667</v>
      </c>
      <c r="E404" s="1" t="s">
        <v>84</v>
      </c>
      <c r="F404" s="1"/>
      <c r="G404" s="1"/>
      <c r="H404" s="1"/>
      <c r="I404" s="1"/>
      <c r="J404" s="1"/>
      <c r="K404" s="1"/>
      <c r="L404" s="1"/>
      <c r="M404" s="1"/>
      <c r="N404" s="1"/>
      <c r="O404" s="1"/>
      <c r="P404" s="1"/>
      <c r="Q404" s="1"/>
      <c r="R404" s="1"/>
      <c r="S404" s="1"/>
    </row>
    <row r="405" spans="1:19" ht="33.75" customHeight="1">
      <c r="A405" s="1" t="s">
        <v>1300</v>
      </c>
      <c r="B405" s="1" t="s">
        <v>1196</v>
      </c>
      <c r="C405" s="1">
        <v>10</v>
      </c>
      <c r="D405" s="4">
        <v>39853.342361111114</v>
      </c>
      <c r="E405" s="1" t="s">
        <v>393</v>
      </c>
      <c r="F405" s="1"/>
      <c r="G405" s="1"/>
      <c r="H405" s="1"/>
      <c r="I405" s="1"/>
      <c r="J405" s="1"/>
      <c r="K405" s="1"/>
      <c r="L405" s="1"/>
      <c r="M405" s="1"/>
      <c r="N405" s="1"/>
      <c r="O405" s="1"/>
      <c r="P405" s="1"/>
      <c r="Q405" s="1"/>
      <c r="R405" s="1"/>
      <c r="S405" s="1"/>
    </row>
    <row r="406" spans="1:19" ht="33.75" customHeight="1">
      <c r="A406" s="1" t="s">
        <v>1303</v>
      </c>
      <c r="B406" s="1" t="s">
        <v>846</v>
      </c>
      <c r="C406" s="1">
        <v>8</v>
      </c>
      <c r="D406" s="4">
        <v>39853.352083333331</v>
      </c>
      <c r="E406" s="1" t="s">
        <v>393</v>
      </c>
      <c r="F406" s="1"/>
      <c r="G406" s="1"/>
      <c r="H406" s="1"/>
      <c r="I406" s="1"/>
      <c r="J406" s="1"/>
      <c r="K406" s="1"/>
      <c r="L406" s="1"/>
      <c r="M406" s="1"/>
      <c r="N406" s="1"/>
      <c r="O406" s="1"/>
      <c r="P406" s="1"/>
      <c r="Q406" s="1"/>
      <c r="R406" s="1"/>
      <c r="S406" s="1"/>
    </row>
    <row r="407" spans="1:19" ht="33.75" customHeight="1">
      <c r="A407" s="1" t="s">
        <v>1307</v>
      </c>
      <c r="B407" s="1" t="s">
        <v>1196</v>
      </c>
      <c r="C407" s="1">
        <v>10</v>
      </c>
      <c r="D407" s="4">
        <v>39853.37222222222</v>
      </c>
      <c r="E407" s="1" t="s">
        <v>54</v>
      </c>
      <c r="F407" s="1"/>
      <c r="G407" s="1"/>
      <c r="H407" s="1"/>
      <c r="I407" s="1"/>
      <c r="J407" s="1"/>
      <c r="K407" s="1"/>
      <c r="L407" s="1"/>
      <c r="M407" s="1"/>
      <c r="N407" s="1"/>
      <c r="O407" s="1"/>
      <c r="P407" s="1"/>
      <c r="Q407" s="1"/>
      <c r="R407" s="1"/>
      <c r="S407" s="1"/>
    </row>
    <row r="408" spans="1:19" ht="33.75" customHeight="1">
      <c r="A408" s="1" t="s">
        <v>1311</v>
      </c>
      <c r="B408" s="1" t="s">
        <v>1196</v>
      </c>
      <c r="C408" s="1">
        <v>10</v>
      </c>
      <c r="D408" s="4">
        <v>39853.382638888892</v>
      </c>
      <c r="E408" s="1" t="s">
        <v>54</v>
      </c>
      <c r="F408" s="1"/>
      <c r="G408" s="1"/>
      <c r="H408" s="1"/>
      <c r="I408" s="1"/>
      <c r="J408" s="1"/>
      <c r="K408" s="1"/>
      <c r="L408" s="1"/>
      <c r="M408" s="1"/>
      <c r="N408" s="1"/>
      <c r="O408" s="1"/>
      <c r="P408" s="1"/>
      <c r="Q408" s="1"/>
      <c r="R408" s="1"/>
      <c r="S408" s="1"/>
    </row>
    <row r="409" spans="1:19" ht="33.75" customHeight="1">
      <c r="A409" s="1" t="s">
        <v>1314</v>
      </c>
      <c r="B409" s="1" t="s">
        <v>1196</v>
      </c>
      <c r="C409" s="1">
        <v>10</v>
      </c>
      <c r="D409" s="4">
        <v>39853.433333333334</v>
      </c>
      <c r="E409" s="1" t="s">
        <v>14</v>
      </c>
      <c r="F409" s="1"/>
      <c r="G409" s="1"/>
      <c r="H409" s="1"/>
      <c r="I409" s="1"/>
      <c r="J409" s="1"/>
      <c r="K409" s="1"/>
      <c r="L409" s="1"/>
      <c r="M409" s="1"/>
      <c r="N409" s="1"/>
      <c r="O409" s="1"/>
      <c r="P409" s="1"/>
      <c r="Q409" s="1"/>
      <c r="R409" s="1"/>
      <c r="S409" s="1"/>
    </row>
    <row r="410" spans="1:19" ht="33.75" customHeight="1">
      <c r="A410" s="1" t="s">
        <v>1317</v>
      </c>
      <c r="B410" s="1" t="s">
        <v>1196</v>
      </c>
      <c r="C410" s="1">
        <v>10</v>
      </c>
      <c r="D410" s="4">
        <v>39853.43472222222</v>
      </c>
      <c r="E410" s="1" t="s">
        <v>14</v>
      </c>
      <c r="F410" s="1"/>
      <c r="G410" s="1"/>
      <c r="H410" s="1"/>
      <c r="I410" s="1"/>
      <c r="J410" s="1"/>
      <c r="K410" s="1"/>
      <c r="L410" s="1"/>
      <c r="M410" s="1"/>
      <c r="N410" s="1"/>
      <c r="O410" s="1"/>
      <c r="P410" s="1"/>
      <c r="Q410" s="1"/>
      <c r="R410" s="1"/>
      <c r="S410" s="1"/>
    </row>
    <row r="411" spans="1:19" ht="33.75" customHeight="1">
      <c r="A411" s="1" t="s">
        <v>1320</v>
      </c>
      <c r="B411" s="3" t="s">
        <v>13</v>
      </c>
      <c r="C411" s="3">
        <v>1</v>
      </c>
      <c r="D411" s="4">
        <v>39853.443749999999</v>
      </c>
      <c r="E411" s="1" t="s">
        <v>101</v>
      </c>
      <c r="F411" s="1"/>
      <c r="G411" s="1"/>
      <c r="H411" s="1"/>
      <c r="I411" s="1"/>
      <c r="J411" s="1"/>
      <c r="K411" s="1"/>
      <c r="L411" s="1"/>
      <c r="M411" s="1"/>
      <c r="N411" s="1"/>
      <c r="O411" s="1"/>
      <c r="P411" s="1"/>
      <c r="Q411" s="1"/>
      <c r="R411" s="1"/>
      <c r="S411" s="1"/>
    </row>
    <row r="412" spans="1:19" ht="33.75" customHeight="1">
      <c r="A412" s="1" t="s">
        <v>1324</v>
      </c>
      <c r="B412" s="1" t="s">
        <v>926</v>
      </c>
      <c r="C412" s="1">
        <v>9</v>
      </c>
      <c r="D412" s="4">
        <v>39853.450694444444</v>
      </c>
      <c r="E412" s="1" t="s">
        <v>14</v>
      </c>
      <c r="F412" s="1"/>
      <c r="G412" s="1"/>
      <c r="H412" s="1"/>
      <c r="I412" s="1"/>
      <c r="J412" s="1"/>
      <c r="K412" s="1"/>
      <c r="L412" s="1"/>
      <c r="M412" s="1"/>
      <c r="N412" s="1"/>
      <c r="O412" s="1"/>
      <c r="P412" s="1"/>
      <c r="Q412" s="1"/>
      <c r="R412" s="1"/>
      <c r="S412" s="1"/>
    </row>
    <row r="413" spans="1:19" ht="33.75" customHeight="1">
      <c r="A413" s="1" t="s">
        <v>1327</v>
      </c>
      <c r="B413" s="1" t="s">
        <v>926</v>
      </c>
      <c r="C413" s="1">
        <v>9</v>
      </c>
      <c r="D413" s="4">
        <v>39853.463194444441</v>
      </c>
      <c r="E413" s="1" t="s">
        <v>14</v>
      </c>
      <c r="F413" s="1"/>
      <c r="G413" s="1"/>
      <c r="H413" s="1"/>
      <c r="I413" s="1"/>
      <c r="J413" s="1"/>
      <c r="K413" s="1"/>
      <c r="L413" s="1"/>
      <c r="M413" s="1"/>
      <c r="N413" s="1"/>
      <c r="O413" s="1"/>
      <c r="P413" s="1"/>
      <c r="Q413" s="1"/>
      <c r="R413" s="1"/>
      <c r="S413" s="1"/>
    </row>
    <row r="414" spans="1:19" ht="33.75" customHeight="1">
      <c r="A414" s="1" t="s">
        <v>1329</v>
      </c>
      <c r="B414" s="1" t="s">
        <v>1196</v>
      </c>
      <c r="C414" s="1">
        <v>10</v>
      </c>
      <c r="D414" s="4">
        <v>39853.489583333336</v>
      </c>
      <c r="E414" s="1" t="s">
        <v>255</v>
      </c>
      <c r="F414" s="1"/>
      <c r="G414" s="1"/>
      <c r="H414" s="1"/>
      <c r="I414" s="1"/>
      <c r="J414" s="1"/>
      <c r="K414" s="1"/>
      <c r="L414" s="1"/>
      <c r="M414" s="1"/>
      <c r="N414" s="1"/>
      <c r="O414" s="1"/>
      <c r="P414" s="1"/>
      <c r="Q414" s="1"/>
      <c r="R414" s="1"/>
      <c r="S414" s="1"/>
    </row>
    <row r="415" spans="1:19" ht="33.75" customHeight="1">
      <c r="A415" s="1" t="s">
        <v>1332</v>
      </c>
      <c r="B415" s="3" t="s">
        <v>13</v>
      </c>
      <c r="C415" s="3">
        <v>1</v>
      </c>
      <c r="D415" s="4">
        <v>39853.522222222222</v>
      </c>
      <c r="E415" s="1" t="s">
        <v>913</v>
      </c>
      <c r="F415" s="1"/>
      <c r="G415" s="1"/>
      <c r="H415" s="1"/>
      <c r="I415" s="1"/>
      <c r="J415" s="1"/>
      <c r="K415" s="1"/>
      <c r="L415" s="1"/>
      <c r="M415" s="1"/>
      <c r="N415" s="1"/>
      <c r="O415" s="1"/>
      <c r="P415" s="1"/>
      <c r="Q415" s="1"/>
      <c r="R415" s="1"/>
      <c r="S415" s="1"/>
    </row>
    <row r="416" spans="1:19" ht="33.75" customHeight="1">
      <c r="A416" s="1" t="s">
        <v>1334</v>
      </c>
      <c r="B416" s="1" t="s">
        <v>846</v>
      </c>
      <c r="C416" s="1">
        <v>8</v>
      </c>
      <c r="D416" s="4">
        <v>39853.572222222225</v>
      </c>
      <c r="E416" s="1" t="s">
        <v>393</v>
      </c>
      <c r="F416" s="1"/>
      <c r="G416" s="1"/>
      <c r="H416" s="1"/>
      <c r="I416" s="1"/>
      <c r="J416" s="1"/>
      <c r="K416" s="1"/>
      <c r="L416" s="1"/>
      <c r="M416" s="1"/>
      <c r="N416" s="1"/>
      <c r="O416" s="1"/>
      <c r="P416" s="1"/>
      <c r="Q416" s="1"/>
      <c r="R416" s="1"/>
      <c r="S416" s="1"/>
    </row>
    <row r="417" spans="1:19" ht="33.75" customHeight="1">
      <c r="A417" s="1" t="s">
        <v>1338</v>
      </c>
      <c r="B417" s="3" t="s">
        <v>13</v>
      </c>
      <c r="C417" s="3">
        <v>1</v>
      </c>
      <c r="D417" s="4">
        <v>39853.697222222225</v>
      </c>
      <c r="E417" s="1" t="s">
        <v>101</v>
      </c>
      <c r="F417" s="1"/>
      <c r="G417" s="1"/>
      <c r="H417" s="1"/>
      <c r="I417" s="1"/>
      <c r="J417" s="1"/>
      <c r="K417" s="1"/>
      <c r="L417" s="1"/>
      <c r="M417" s="1"/>
      <c r="N417" s="1"/>
      <c r="O417" s="1"/>
      <c r="P417" s="1"/>
      <c r="Q417" s="1"/>
      <c r="R417" s="1"/>
      <c r="S417" s="1"/>
    </row>
    <row r="418" spans="1:19" ht="33.75" customHeight="1">
      <c r="A418" s="1" t="s">
        <v>1340</v>
      </c>
      <c r="B418" s="1" t="s">
        <v>846</v>
      </c>
      <c r="C418" s="1">
        <v>8</v>
      </c>
      <c r="D418" s="4">
        <v>39853.705555555556</v>
      </c>
      <c r="E418" s="1" t="s">
        <v>54</v>
      </c>
      <c r="F418" s="1"/>
      <c r="G418" s="1"/>
      <c r="H418" s="1"/>
      <c r="I418" s="1"/>
      <c r="J418" s="1"/>
      <c r="K418" s="1"/>
      <c r="L418" s="1"/>
      <c r="M418" s="1"/>
      <c r="N418" s="1"/>
      <c r="O418" s="1"/>
      <c r="P418" s="1"/>
      <c r="Q418" s="1"/>
      <c r="R418" s="1"/>
      <c r="S418" s="1"/>
    </row>
    <row r="419" spans="1:19" ht="33.75" customHeight="1">
      <c r="A419" s="1" t="s">
        <v>1343</v>
      </c>
      <c r="B419" s="1" t="s">
        <v>1196</v>
      </c>
      <c r="C419" s="1">
        <v>10</v>
      </c>
      <c r="D419" s="4">
        <v>39853.713888888888</v>
      </c>
      <c r="E419" s="1" t="s">
        <v>393</v>
      </c>
      <c r="F419" s="1"/>
      <c r="G419" s="1"/>
      <c r="H419" s="1"/>
      <c r="I419" s="1"/>
      <c r="J419" s="1"/>
      <c r="K419" s="1"/>
      <c r="L419" s="1"/>
      <c r="M419" s="1"/>
      <c r="N419" s="1"/>
      <c r="O419" s="1"/>
      <c r="P419" s="1"/>
      <c r="Q419" s="1"/>
      <c r="R419" s="1"/>
      <c r="S419" s="1"/>
    </row>
    <row r="420" spans="1:19" ht="33.75" customHeight="1">
      <c r="A420" s="1" t="s">
        <v>1345</v>
      </c>
      <c r="B420" s="1" t="s">
        <v>680</v>
      </c>
      <c r="C420" s="1">
        <v>7</v>
      </c>
      <c r="D420" s="4">
        <v>39853.741666666669</v>
      </c>
      <c r="E420" s="1" t="s">
        <v>101</v>
      </c>
      <c r="F420" s="1"/>
      <c r="G420" s="1"/>
      <c r="H420" s="1"/>
      <c r="I420" s="1"/>
      <c r="J420" s="1"/>
      <c r="K420" s="1"/>
      <c r="L420" s="1"/>
      <c r="M420" s="1"/>
      <c r="N420" s="1"/>
      <c r="O420" s="1"/>
      <c r="P420" s="1"/>
      <c r="Q420" s="1"/>
      <c r="R420" s="1"/>
      <c r="S420" s="1"/>
    </row>
    <row r="421" spans="1:19" ht="33.75" customHeight="1">
      <c r="A421" s="1" t="s">
        <v>1349</v>
      </c>
      <c r="B421" s="1" t="s">
        <v>1196</v>
      </c>
      <c r="C421" s="1">
        <v>10</v>
      </c>
      <c r="D421" s="4">
        <v>39853.789583333331</v>
      </c>
      <c r="E421" s="1" t="s">
        <v>54</v>
      </c>
      <c r="F421" s="1"/>
      <c r="G421" s="1"/>
      <c r="H421" s="1"/>
      <c r="I421" s="1"/>
      <c r="J421" s="1"/>
      <c r="K421" s="1"/>
      <c r="L421" s="1"/>
      <c r="M421" s="1"/>
      <c r="N421" s="1"/>
      <c r="O421" s="1"/>
      <c r="P421" s="1"/>
      <c r="Q421" s="1"/>
      <c r="R421" s="1"/>
      <c r="S421" s="1"/>
    </row>
    <row r="422" spans="1:19" ht="33.75" customHeight="1">
      <c r="A422" s="1" t="s">
        <v>1352</v>
      </c>
      <c r="B422" s="1" t="s">
        <v>1196</v>
      </c>
      <c r="C422" s="1">
        <v>10</v>
      </c>
      <c r="D422" s="4">
        <v>39853.793055555558</v>
      </c>
      <c r="E422" s="1" t="s">
        <v>14</v>
      </c>
      <c r="F422" s="1"/>
      <c r="G422" s="1"/>
      <c r="H422" s="1"/>
      <c r="I422" s="1"/>
      <c r="J422" s="1"/>
      <c r="K422" s="1"/>
      <c r="L422" s="1"/>
      <c r="M422" s="1"/>
      <c r="N422" s="1"/>
      <c r="O422" s="1"/>
      <c r="P422" s="1"/>
      <c r="Q422" s="1"/>
      <c r="R422" s="1"/>
      <c r="S422" s="1"/>
    </row>
    <row r="423" spans="1:19" ht="33.75" customHeight="1">
      <c r="A423" s="1" t="s">
        <v>1354</v>
      </c>
      <c r="B423" s="3" t="s">
        <v>13</v>
      </c>
      <c r="C423" s="3">
        <v>1</v>
      </c>
      <c r="D423" s="4">
        <v>39853.819444444445</v>
      </c>
      <c r="E423" s="1" t="s">
        <v>913</v>
      </c>
      <c r="F423" s="1"/>
      <c r="G423" s="1"/>
      <c r="H423" s="1"/>
      <c r="I423" s="1"/>
      <c r="J423" s="1"/>
      <c r="K423" s="1"/>
      <c r="L423" s="1"/>
      <c r="M423" s="1"/>
      <c r="N423" s="1"/>
      <c r="O423" s="1"/>
      <c r="P423" s="1"/>
      <c r="Q423" s="1"/>
      <c r="R423" s="1"/>
      <c r="S423" s="1"/>
    </row>
    <row r="424" spans="1:19" ht="33.75" customHeight="1">
      <c r="A424" s="1" t="s">
        <v>1356</v>
      </c>
      <c r="B424" s="1" t="s">
        <v>1196</v>
      </c>
      <c r="C424" s="1">
        <v>10</v>
      </c>
      <c r="D424" s="4">
        <v>39853.829861111109</v>
      </c>
      <c r="E424" s="1" t="s">
        <v>255</v>
      </c>
      <c r="F424" s="1"/>
      <c r="G424" s="1"/>
      <c r="H424" s="1"/>
      <c r="I424" s="1"/>
      <c r="J424" s="1"/>
      <c r="K424" s="1"/>
      <c r="L424" s="1"/>
      <c r="M424" s="1"/>
      <c r="N424" s="1"/>
      <c r="O424" s="1"/>
      <c r="P424" s="1"/>
      <c r="Q424" s="1"/>
      <c r="R424" s="1"/>
      <c r="S424" s="1"/>
    </row>
    <row r="425" spans="1:19" ht="33.75" customHeight="1">
      <c r="A425" s="1" t="s">
        <v>1360</v>
      </c>
      <c r="B425" s="1" t="s">
        <v>846</v>
      </c>
      <c r="C425" s="1">
        <v>8</v>
      </c>
      <c r="D425" s="4">
        <v>39853.834027777775</v>
      </c>
      <c r="E425" s="1" t="s">
        <v>1089</v>
      </c>
      <c r="F425" s="1"/>
      <c r="G425" s="1"/>
      <c r="H425" s="1"/>
      <c r="I425" s="1"/>
      <c r="J425" s="1"/>
      <c r="K425" s="1"/>
      <c r="L425" s="1"/>
      <c r="M425" s="1"/>
      <c r="N425" s="1"/>
      <c r="O425" s="1"/>
      <c r="P425" s="1"/>
      <c r="Q425" s="1"/>
      <c r="R425" s="1"/>
      <c r="S425" s="1"/>
    </row>
    <row r="426" spans="1:19" ht="33.75" customHeight="1">
      <c r="A426" s="1" t="s">
        <v>1362</v>
      </c>
      <c r="B426" s="1" t="s">
        <v>846</v>
      </c>
      <c r="C426" s="1">
        <v>8</v>
      </c>
      <c r="D426" s="4">
        <v>39853.892361111109</v>
      </c>
      <c r="E426" s="1" t="s">
        <v>1241</v>
      </c>
      <c r="F426" s="1"/>
      <c r="G426" s="1"/>
      <c r="H426" s="1"/>
      <c r="I426" s="1"/>
      <c r="J426" s="1"/>
      <c r="K426" s="1"/>
      <c r="L426" s="1"/>
      <c r="M426" s="1"/>
      <c r="N426" s="1"/>
      <c r="O426" s="1"/>
      <c r="P426" s="1"/>
      <c r="Q426" s="1"/>
      <c r="R426" s="1"/>
      <c r="S426" s="1"/>
    </row>
    <row r="427" spans="1:19" ht="33.75" customHeight="1">
      <c r="A427" s="1" t="s">
        <v>1364</v>
      </c>
      <c r="B427" s="1" t="s">
        <v>1196</v>
      </c>
      <c r="C427" s="1">
        <v>10</v>
      </c>
      <c r="D427" s="4">
        <v>39853.916666666664</v>
      </c>
      <c r="E427" s="1" t="s">
        <v>320</v>
      </c>
      <c r="F427" s="1"/>
      <c r="G427" s="1"/>
      <c r="H427" s="1"/>
      <c r="I427" s="1"/>
      <c r="J427" s="1"/>
      <c r="K427" s="1"/>
      <c r="L427" s="1"/>
      <c r="M427" s="1"/>
      <c r="N427" s="1"/>
      <c r="O427" s="1"/>
      <c r="P427" s="1"/>
      <c r="Q427" s="1"/>
      <c r="R427" s="1"/>
      <c r="S427" s="1"/>
    </row>
    <row r="428" spans="1:19" ht="33.75" customHeight="1">
      <c r="A428" s="1" t="s">
        <v>1367</v>
      </c>
      <c r="B428" s="1" t="s">
        <v>1196</v>
      </c>
      <c r="C428" s="1">
        <v>10</v>
      </c>
      <c r="D428" s="4">
        <v>39853.938194444447</v>
      </c>
      <c r="E428" s="1" t="s">
        <v>320</v>
      </c>
      <c r="F428" s="1"/>
      <c r="G428" s="1"/>
      <c r="H428" s="1"/>
      <c r="I428" s="1"/>
      <c r="J428" s="1"/>
      <c r="K428" s="1"/>
      <c r="L428" s="1"/>
      <c r="M428" s="1"/>
      <c r="N428" s="1"/>
      <c r="O428" s="1"/>
      <c r="P428" s="1"/>
      <c r="Q428" s="1"/>
      <c r="R428" s="1"/>
      <c r="S428" s="1"/>
    </row>
    <row r="429" spans="1:19" ht="33.75" customHeight="1">
      <c r="A429" s="1" t="s">
        <v>1369</v>
      </c>
      <c r="B429" s="1" t="s">
        <v>1196</v>
      </c>
      <c r="C429" s="1">
        <v>10</v>
      </c>
      <c r="D429" s="4">
        <v>39853.954861111109</v>
      </c>
      <c r="E429" s="1" t="s">
        <v>320</v>
      </c>
      <c r="F429" s="1"/>
      <c r="G429" s="1"/>
      <c r="H429" s="1"/>
      <c r="I429" s="1"/>
      <c r="J429" s="1"/>
      <c r="K429" s="1"/>
      <c r="L429" s="1"/>
      <c r="M429" s="1"/>
      <c r="N429" s="1"/>
      <c r="O429" s="1"/>
      <c r="P429" s="1"/>
      <c r="Q429" s="1"/>
      <c r="R429" s="1"/>
      <c r="S429" s="1"/>
    </row>
    <row r="430" spans="1:19" ht="33.75" customHeight="1">
      <c r="A430" s="1" t="s">
        <v>1373</v>
      </c>
      <c r="B430" s="1" t="s">
        <v>1196</v>
      </c>
      <c r="C430" s="1">
        <v>10</v>
      </c>
      <c r="D430" s="4">
        <v>39853.958333333336</v>
      </c>
      <c r="E430" s="1" t="s">
        <v>393</v>
      </c>
      <c r="F430" s="1"/>
      <c r="G430" s="1"/>
      <c r="H430" s="1"/>
      <c r="I430" s="1"/>
      <c r="J430" s="1"/>
      <c r="K430" s="1"/>
      <c r="L430" s="1"/>
      <c r="M430" s="1"/>
      <c r="N430" s="1"/>
      <c r="O430" s="1"/>
      <c r="P430" s="1"/>
      <c r="Q430" s="1"/>
      <c r="R430" s="1"/>
      <c r="S430" s="1"/>
    </row>
    <row r="431" spans="1:19" ht="33.75" customHeight="1">
      <c r="A431" s="1" t="s">
        <v>1375</v>
      </c>
      <c r="B431" s="1" t="s">
        <v>1196</v>
      </c>
      <c r="C431" s="1">
        <v>10</v>
      </c>
      <c r="D431" s="4">
        <v>39853.960416666669</v>
      </c>
      <c r="E431" s="1" t="s">
        <v>393</v>
      </c>
      <c r="F431" s="1"/>
      <c r="G431" s="1"/>
      <c r="H431" s="1"/>
      <c r="I431" s="1"/>
      <c r="J431" s="1"/>
      <c r="K431" s="1"/>
      <c r="L431" s="1"/>
      <c r="M431" s="1"/>
      <c r="N431" s="1"/>
      <c r="O431" s="1"/>
      <c r="P431" s="1"/>
      <c r="Q431" s="1"/>
      <c r="R431" s="1"/>
      <c r="S431" s="1"/>
    </row>
    <row r="432" spans="1:19" ht="33.75" customHeight="1">
      <c r="A432" s="1" t="s">
        <v>1378</v>
      </c>
      <c r="B432" s="1" t="s">
        <v>1196</v>
      </c>
      <c r="C432" s="1">
        <v>10</v>
      </c>
      <c r="D432" s="4">
        <v>39853.961111111108</v>
      </c>
      <c r="E432" s="1" t="s">
        <v>14</v>
      </c>
      <c r="F432" s="1"/>
      <c r="G432" s="1"/>
      <c r="H432" s="1"/>
      <c r="I432" s="1"/>
      <c r="J432" s="1"/>
      <c r="K432" s="1"/>
      <c r="L432" s="1"/>
      <c r="M432" s="1"/>
      <c r="N432" s="1"/>
      <c r="O432" s="1"/>
      <c r="P432" s="1"/>
      <c r="Q432" s="1"/>
      <c r="R432" s="1"/>
      <c r="S432" s="1"/>
    </row>
    <row r="433" spans="1:19" ht="33.75" customHeight="1">
      <c r="A433" s="1" t="s">
        <v>1382</v>
      </c>
      <c r="B433" s="1" t="s">
        <v>1196</v>
      </c>
      <c r="C433" s="1">
        <v>10</v>
      </c>
      <c r="D433" s="4">
        <v>39853.963888888888</v>
      </c>
      <c r="E433" s="1" t="s">
        <v>14</v>
      </c>
      <c r="F433" s="1"/>
      <c r="G433" s="1"/>
      <c r="H433" s="1"/>
      <c r="I433" s="1"/>
      <c r="J433" s="1"/>
      <c r="K433" s="1"/>
      <c r="L433" s="1"/>
      <c r="M433" s="1"/>
      <c r="N433" s="1"/>
      <c r="O433" s="1"/>
      <c r="P433" s="1"/>
      <c r="Q433" s="1"/>
      <c r="R433" s="1"/>
      <c r="S433" s="1"/>
    </row>
    <row r="434" spans="1:19" ht="33.75" customHeight="1">
      <c r="A434" s="1" t="s">
        <v>1385</v>
      </c>
      <c r="B434" s="1" t="s">
        <v>1196</v>
      </c>
      <c r="C434" s="1">
        <v>10</v>
      </c>
      <c r="D434" s="4">
        <v>39853.977083333331</v>
      </c>
      <c r="E434" s="1" t="s">
        <v>393</v>
      </c>
      <c r="F434" s="1"/>
      <c r="G434" s="1"/>
      <c r="H434" s="1"/>
      <c r="I434" s="1"/>
      <c r="J434" s="1"/>
      <c r="K434" s="1"/>
      <c r="L434" s="1"/>
      <c r="M434" s="1"/>
      <c r="N434" s="1"/>
      <c r="O434" s="1"/>
      <c r="P434" s="1"/>
      <c r="Q434" s="1"/>
      <c r="R434" s="1"/>
      <c r="S434" s="1"/>
    </row>
    <row r="435" spans="1:19" ht="33.75" customHeight="1">
      <c r="A435" s="1" t="s">
        <v>1388</v>
      </c>
      <c r="B435" s="1" t="s">
        <v>1196</v>
      </c>
      <c r="C435" s="1">
        <v>10</v>
      </c>
      <c r="D435" s="4">
        <v>39853.979861111111</v>
      </c>
      <c r="E435" s="1" t="s">
        <v>54</v>
      </c>
      <c r="F435" s="1"/>
      <c r="G435" s="1"/>
      <c r="H435" s="1"/>
      <c r="I435" s="1"/>
      <c r="J435" s="1"/>
      <c r="K435" s="1"/>
      <c r="L435" s="1"/>
      <c r="M435" s="1"/>
      <c r="N435" s="1"/>
      <c r="O435" s="1"/>
      <c r="P435" s="1"/>
      <c r="Q435" s="1"/>
      <c r="R435" s="1"/>
      <c r="S435" s="1"/>
    </row>
    <row r="436" spans="1:19" ht="33.75" customHeight="1">
      <c r="A436" s="1" t="s">
        <v>1392</v>
      </c>
      <c r="B436" s="1" t="s">
        <v>1196</v>
      </c>
      <c r="C436" s="1">
        <v>10</v>
      </c>
      <c r="D436" s="4">
        <v>39853.990972222222</v>
      </c>
      <c r="E436" s="1" t="s">
        <v>14</v>
      </c>
      <c r="F436" s="1"/>
      <c r="G436" s="1"/>
      <c r="H436" s="1"/>
      <c r="I436" s="1"/>
      <c r="J436" s="1"/>
      <c r="K436" s="1"/>
      <c r="L436" s="1"/>
      <c r="M436" s="1"/>
      <c r="N436" s="1"/>
      <c r="O436" s="1"/>
      <c r="P436" s="1"/>
      <c r="Q436" s="1"/>
      <c r="R436" s="1"/>
      <c r="S436" s="1"/>
    </row>
    <row r="437" spans="1:19" ht="33.75" customHeight="1">
      <c r="A437" s="1" t="s">
        <v>1394</v>
      </c>
      <c r="B437" s="1" t="s">
        <v>1196</v>
      </c>
      <c r="C437" s="1">
        <v>10</v>
      </c>
      <c r="D437" s="4">
        <v>39853.994444444441</v>
      </c>
      <c r="E437" s="1" t="s">
        <v>54</v>
      </c>
      <c r="F437" s="1"/>
      <c r="G437" s="1"/>
      <c r="H437" s="1"/>
      <c r="I437" s="1"/>
      <c r="J437" s="1"/>
      <c r="K437" s="1"/>
      <c r="L437" s="1"/>
      <c r="M437" s="1"/>
      <c r="N437" s="1"/>
      <c r="O437" s="1"/>
      <c r="P437" s="1"/>
      <c r="Q437" s="1"/>
      <c r="R437" s="1"/>
      <c r="S437" s="1"/>
    </row>
    <row r="438" spans="1:19" ht="33.75" customHeight="1">
      <c r="A438" s="1" t="s">
        <v>1396</v>
      </c>
      <c r="B438" s="1" t="s">
        <v>1196</v>
      </c>
      <c r="C438" s="1">
        <v>10</v>
      </c>
      <c r="D438" s="4">
        <v>39853.995138888888</v>
      </c>
      <c r="E438" s="1" t="s">
        <v>393</v>
      </c>
      <c r="F438" s="1"/>
      <c r="G438" s="1"/>
      <c r="H438" s="1"/>
      <c r="I438" s="1"/>
      <c r="J438" s="1"/>
      <c r="K438" s="1"/>
      <c r="L438" s="1"/>
      <c r="M438" s="1"/>
      <c r="N438" s="1"/>
      <c r="O438" s="1"/>
      <c r="P438" s="1"/>
      <c r="Q438" s="1"/>
      <c r="R438" s="1"/>
      <c r="S438" s="1"/>
    </row>
    <row r="439" spans="1:19" ht="33.75" customHeight="1">
      <c r="A439" s="1" t="s">
        <v>1399</v>
      </c>
      <c r="B439" s="1" t="s">
        <v>1196</v>
      </c>
      <c r="C439" s="1">
        <v>10</v>
      </c>
      <c r="D439" s="4">
        <v>39853.99722222222</v>
      </c>
      <c r="E439" s="1" t="s">
        <v>54</v>
      </c>
      <c r="F439" s="1"/>
      <c r="G439" s="1"/>
      <c r="H439" s="1"/>
      <c r="I439" s="1"/>
      <c r="J439" s="1"/>
      <c r="K439" s="1"/>
      <c r="L439" s="1"/>
      <c r="M439" s="1"/>
      <c r="N439" s="1"/>
      <c r="O439" s="1"/>
      <c r="P439" s="1"/>
      <c r="Q439" s="1"/>
      <c r="R439" s="1"/>
      <c r="S439" s="1"/>
    </row>
    <row r="440" spans="1:19" ht="33.75" customHeight="1">
      <c r="A440" s="1" t="s">
        <v>1401</v>
      </c>
      <c r="B440" s="1" t="s">
        <v>1196</v>
      </c>
      <c r="C440" s="1">
        <v>10</v>
      </c>
      <c r="D440" s="4">
        <v>39854.010416666664</v>
      </c>
      <c r="E440" s="1" t="s">
        <v>393</v>
      </c>
      <c r="F440" s="1"/>
      <c r="G440" s="1"/>
      <c r="H440" s="1"/>
      <c r="I440" s="1"/>
      <c r="J440" s="1"/>
      <c r="K440" s="1"/>
      <c r="L440" s="1"/>
      <c r="M440" s="1"/>
      <c r="N440" s="1"/>
      <c r="O440" s="1"/>
      <c r="P440" s="1"/>
      <c r="Q440" s="1"/>
      <c r="R440" s="1"/>
      <c r="S440" s="1"/>
    </row>
    <row r="441" spans="1:19" ht="33.75" customHeight="1">
      <c r="A441" s="1" t="s">
        <v>1403</v>
      </c>
      <c r="B441" s="1" t="s">
        <v>1196</v>
      </c>
      <c r="C441" s="1">
        <v>10</v>
      </c>
      <c r="D441" s="4">
        <v>39854.020138888889</v>
      </c>
      <c r="E441" s="1" t="s">
        <v>320</v>
      </c>
      <c r="F441" s="1"/>
      <c r="G441" s="1"/>
      <c r="H441" s="1"/>
      <c r="I441" s="1"/>
      <c r="J441" s="1"/>
      <c r="K441" s="1"/>
      <c r="L441" s="1"/>
      <c r="M441" s="1"/>
      <c r="N441" s="1"/>
      <c r="O441" s="1"/>
      <c r="P441" s="1"/>
      <c r="Q441" s="1"/>
      <c r="R441" s="1"/>
      <c r="S441" s="1"/>
    </row>
    <row r="442" spans="1:19" ht="33.75" customHeight="1">
      <c r="A442" s="1" t="s">
        <v>1405</v>
      </c>
      <c r="B442" s="1" t="s">
        <v>1196</v>
      </c>
      <c r="C442" s="1">
        <v>10</v>
      </c>
      <c r="D442" s="4">
        <v>39854.146527777775</v>
      </c>
      <c r="E442" s="1" t="s">
        <v>54</v>
      </c>
      <c r="F442" s="1"/>
      <c r="G442" s="1"/>
      <c r="H442" s="1"/>
      <c r="I442" s="1"/>
      <c r="J442" s="1"/>
      <c r="K442" s="1"/>
      <c r="L442" s="1"/>
      <c r="M442" s="1"/>
      <c r="N442" s="1"/>
      <c r="O442" s="1"/>
      <c r="P442" s="1"/>
      <c r="Q442" s="1"/>
      <c r="R442" s="1"/>
      <c r="S442" s="1"/>
    </row>
    <row r="443" spans="1:19" ht="33.75" customHeight="1">
      <c r="A443" s="1" t="s">
        <v>1408</v>
      </c>
      <c r="B443" s="1" t="s">
        <v>1196</v>
      </c>
      <c r="C443" s="1">
        <v>10</v>
      </c>
      <c r="D443" s="4">
        <v>39854.150694444441</v>
      </c>
      <c r="E443" s="1" t="s">
        <v>54</v>
      </c>
      <c r="F443" s="1"/>
      <c r="G443" s="1"/>
      <c r="H443" s="1"/>
      <c r="I443" s="1"/>
      <c r="J443" s="1"/>
      <c r="K443" s="1"/>
      <c r="L443" s="1"/>
      <c r="M443" s="1"/>
      <c r="N443" s="1"/>
      <c r="O443" s="1"/>
      <c r="P443" s="1"/>
      <c r="Q443" s="1"/>
      <c r="R443" s="1"/>
      <c r="S443" s="1"/>
    </row>
    <row r="444" spans="1:19" ht="33.75" customHeight="1">
      <c r="A444" s="1" t="s">
        <v>1410</v>
      </c>
      <c r="B444" s="1" t="s">
        <v>846</v>
      </c>
      <c r="C444" s="1">
        <v>8</v>
      </c>
      <c r="D444" s="4">
        <v>39854.163888888892</v>
      </c>
      <c r="E444" s="1" t="s">
        <v>416</v>
      </c>
      <c r="F444" s="1"/>
      <c r="G444" s="1"/>
      <c r="H444" s="1"/>
      <c r="I444" s="1"/>
      <c r="J444" s="1"/>
      <c r="K444" s="1"/>
      <c r="L444" s="1"/>
      <c r="M444" s="1"/>
      <c r="N444" s="1"/>
      <c r="O444" s="1"/>
      <c r="P444" s="1"/>
      <c r="Q444" s="1"/>
      <c r="R444" s="1"/>
      <c r="S444" s="1"/>
    </row>
    <row r="445" spans="1:19" ht="33.75" customHeight="1">
      <c r="A445" s="1" t="s">
        <v>1412</v>
      </c>
      <c r="B445" s="1" t="s">
        <v>1196</v>
      </c>
      <c r="C445" s="1">
        <v>10</v>
      </c>
      <c r="D445" s="4">
        <v>39854.316666666666</v>
      </c>
      <c r="E445" s="1" t="s">
        <v>255</v>
      </c>
      <c r="F445" s="1"/>
      <c r="G445" s="1"/>
      <c r="H445" s="1"/>
      <c r="I445" s="1"/>
      <c r="J445" s="1"/>
      <c r="K445" s="1"/>
      <c r="L445" s="1"/>
      <c r="M445" s="1"/>
      <c r="N445" s="1"/>
      <c r="O445" s="1"/>
      <c r="P445" s="1"/>
      <c r="Q445" s="1"/>
      <c r="R445" s="1"/>
      <c r="S445" s="1"/>
    </row>
    <row r="446" spans="1:19" ht="33.75" customHeight="1">
      <c r="A446" s="1" t="s">
        <v>1414</v>
      </c>
      <c r="B446" s="1" t="s">
        <v>1196</v>
      </c>
      <c r="C446" s="1">
        <v>10</v>
      </c>
      <c r="D446" s="4">
        <v>39854.382638888892</v>
      </c>
      <c r="E446" s="1" t="s">
        <v>14</v>
      </c>
      <c r="F446" s="1"/>
      <c r="G446" s="1"/>
      <c r="H446" s="1"/>
      <c r="I446" s="1"/>
      <c r="J446" s="1"/>
      <c r="K446" s="1"/>
      <c r="L446" s="1"/>
      <c r="M446" s="1"/>
      <c r="N446" s="1"/>
      <c r="O446" s="1"/>
      <c r="P446" s="1"/>
      <c r="Q446" s="1"/>
      <c r="R446" s="1"/>
      <c r="S446" s="1"/>
    </row>
    <row r="447" spans="1:19" ht="33.75" customHeight="1">
      <c r="A447" s="1" t="s">
        <v>1416</v>
      </c>
      <c r="B447" s="1" t="s">
        <v>1196</v>
      </c>
      <c r="C447" s="1">
        <v>10</v>
      </c>
      <c r="D447" s="4">
        <v>39854.386805555558</v>
      </c>
      <c r="E447" s="1" t="s">
        <v>54</v>
      </c>
      <c r="F447" s="1"/>
      <c r="G447" s="1"/>
      <c r="H447" s="1"/>
      <c r="I447" s="1"/>
      <c r="J447" s="1"/>
      <c r="K447" s="1"/>
      <c r="L447" s="1"/>
      <c r="M447" s="1"/>
      <c r="N447" s="1"/>
      <c r="O447" s="1"/>
      <c r="P447" s="1"/>
      <c r="Q447" s="1"/>
      <c r="R447" s="1"/>
      <c r="S447" s="1"/>
    </row>
    <row r="448" spans="1:19" ht="33.75" customHeight="1">
      <c r="A448" s="1" t="s">
        <v>1419</v>
      </c>
      <c r="B448" s="1" t="s">
        <v>846</v>
      </c>
      <c r="C448" s="1">
        <v>8</v>
      </c>
      <c r="D448" s="4">
        <v>39854.42083333333</v>
      </c>
      <c r="E448" s="1" t="s">
        <v>1089</v>
      </c>
      <c r="F448" s="1"/>
      <c r="G448" s="1"/>
      <c r="H448" s="1"/>
      <c r="I448" s="1"/>
      <c r="J448" s="1"/>
      <c r="K448" s="1"/>
      <c r="L448" s="1"/>
      <c r="M448" s="1"/>
      <c r="N448" s="1"/>
      <c r="O448" s="1"/>
      <c r="P448" s="1"/>
      <c r="Q448" s="1"/>
      <c r="R448" s="1"/>
      <c r="S448" s="1"/>
    </row>
    <row r="449" spans="1:19" ht="33.75" customHeight="1">
      <c r="A449" s="1" t="s">
        <v>1422</v>
      </c>
      <c r="B449" s="1" t="s">
        <v>846</v>
      </c>
      <c r="C449" s="1">
        <v>8</v>
      </c>
      <c r="D449" s="4">
        <v>39854.48541666667</v>
      </c>
      <c r="E449" s="1" t="s">
        <v>54</v>
      </c>
      <c r="F449" s="1"/>
      <c r="G449" s="1"/>
      <c r="H449" s="1"/>
      <c r="I449" s="1"/>
      <c r="J449" s="1"/>
      <c r="K449" s="1"/>
      <c r="L449" s="1"/>
      <c r="M449" s="1"/>
      <c r="N449" s="1"/>
      <c r="O449" s="1"/>
      <c r="P449" s="1"/>
      <c r="Q449" s="1"/>
      <c r="R449" s="1"/>
      <c r="S449" s="1"/>
    </row>
    <row r="450" spans="1:19" ht="33.75" customHeight="1">
      <c r="A450" s="1" t="s">
        <v>1425</v>
      </c>
      <c r="B450" s="1" t="s">
        <v>1196</v>
      </c>
      <c r="C450" s="1">
        <v>10</v>
      </c>
      <c r="D450" s="4">
        <v>39854.501388888886</v>
      </c>
      <c r="E450" s="1" t="s">
        <v>1426</v>
      </c>
      <c r="F450" s="1"/>
      <c r="G450" s="1"/>
      <c r="H450" s="1"/>
      <c r="I450" s="1"/>
      <c r="J450" s="1"/>
      <c r="K450" s="1"/>
      <c r="L450" s="1"/>
      <c r="M450" s="1"/>
      <c r="N450" s="1"/>
      <c r="O450" s="1"/>
      <c r="P450" s="1"/>
      <c r="Q450" s="1"/>
      <c r="R450" s="1"/>
      <c r="S450" s="1"/>
    </row>
    <row r="451" spans="1:19" ht="33.75" customHeight="1">
      <c r="A451" s="1" t="s">
        <v>1428</v>
      </c>
      <c r="B451" s="3" t="s">
        <v>13</v>
      </c>
      <c r="C451" s="3">
        <v>1</v>
      </c>
      <c r="D451" s="4">
        <v>39854.531944444447</v>
      </c>
      <c r="E451" s="1" t="s">
        <v>1429</v>
      </c>
      <c r="F451" s="1"/>
      <c r="G451" s="1"/>
      <c r="H451" s="1"/>
      <c r="I451" s="1"/>
      <c r="J451" s="1"/>
      <c r="K451" s="1"/>
      <c r="L451" s="1"/>
      <c r="M451" s="1"/>
      <c r="N451" s="1"/>
      <c r="O451" s="1"/>
      <c r="P451" s="1"/>
      <c r="Q451" s="1"/>
      <c r="R451" s="1"/>
      <c r="S451" s="1"/>
    </row>
    <row r="452" spans="1:19" ht="33.75" customHeight="1">
      <c r="A452" s="1" t="s">
        <v>1431</v>
      </c>
      <c r="B452" s="1" t="s">
        <v>1196</v>
      </c>
      <c r="C452" s="1">
        <v>10</v>
      </c>
      <c r="D452" s="4">
        <v>39854.588888888888</v>
      </c>
      <c r="E452" s="1" t="s">
        <v>14</v>
      </c>
      <c r="F452" s="1"/>
      <c r="G452" s="1"/>
      <c r="H452" s="1"/>
      <c r="I452" s="1"/>
      <c r="J452" s="1"/>
      <c r="K452" s="1"/>
      <c r="L452" s="1"/>
      <c r="M452" s="1"/>
      <c r="N452" s="1"/>
      <c r="O452" s="1"/>
      <c r="P452" s="1"/>
      <c r="Q452" s="1"/>
      <c r="R452" s="1"/>
      <c r="S452" s="1"/>
    </row>
    <row r="453" spans="1:19" ht="33.75" customHeight="1">
      <c r="A453" s="1" t="s">
        <v>1434</v>
      </c>
      <c r="B453" s="3" t="s">
        <v>13</v>
      </c>
      <c r="C453" s="3">
        <v>1</v>
      </c>
      <c r="D453" s="4">
        <v>39854.794444444444</v>
      </c>
      <c r="E453" s="1" t="s">
        <v>1435</v>
      </c>
      <c r="F453" s="1"/>
      <c r="G453" s="1"/>
      <c r="H453" s="1"/>
      <c r="I453" s="1"/>
      <c r="J453" s="1"/>
      <c r="K453" s="1"/>
      <c r="L453" s="1"/>
      <c r="M453" s="1"/>
      <c r="N453" s="1"/>
      <c r="O453" s="1"/>
      <c r="P453" s="1"/>
      <c r="Q453" s="1"/>
      <c r="R453" s="1"/>
      <c r="S453" s="1"/>
    </row>
    <row r="454" spans="1:19" ht="33.75" customHeight="1">
      <c r="A454" s="1" t="s">
        <v>1438</v>
      </c>
      <c r="B454" s="1" t="s">
        <v>1196</v>
      </c>
      <c r="C454" s="1">
        <v>10</v>
      </c>
      <c r="D454" s="4">
        <v>39854.84097222222</v>
      </c>
      <c r="E454" s="1" t="s">
        <v>14</v>
      </c>
      <c r="F454" s="1"/>
      <c r="G454" s="1"/>
      <c r="H454" s="1"/>
      <c r="I454" s="1"/>
      <c r="J454" s="1"/>
      <c r="K454" s="1"/>
      <c r="L454" s="1"/>
      <c r="M454" s="1"/>
      <c r="N454" s="1"/>
      <c r="O454" s="1"/>
      <c r="P454" s="1"/>
      <c r="Q454" s="1"/>
      <c r="R454" s="1"/>
      <c r="S454" s="1"/>
    </row>
    <row r="455" spans="1:19" ht="33.75" customHeight="1">
      <c r="A455" s="1" t="s">
        <v>1440</v>
      </c>
      <c r="B455" s="1" t="s">
        <v>1196</v>
      </c>
      <c r="C455" s="1">
        <v>10</v>
      </c>
      <c r="D455" s="4">
        <v>39854.85</v>
      </c>
      <c r="E455" s="1" t="s">
        <v>54</v>
      </c>
      <c r="F455" s="1"/>
      <c r="G455" s="1"/>
      <c r="H455" s="1"/>
      <c r="I455" s="1"/>
      <c r="J455" s="1"/>
      <c r="K455" s="1"/>
      <c r="L455" s="1"/>
      <c r="M455" s="1"/>
      <c r="N455" s="1"/>
      <c r="O455" s="1"/>
      <c r="P455" s="1"/>
      <c r="Q455" s="1"/>
      <c r="R455" s="1"/>
      <c r="S455" s="1"/>
    </row>
    <row r="456" spans="1:19" ht="33.75" customHeight="1">
      <c r="A456" s="1" t="s">
        <v>1442</v>
      </c>
      <c r="B456" s="1" t="s">
        <v>1196</v>
      </c>
      <c r="C456" s="1">
        <v>10</v>
      </c>
      <c r="D456" s="4">
        <v>39854.888194444444</v>
      </c>
      <c r="E456" s="1" t="s">
        <v>14</v>
      </c>
      <c r="F456" s="1"/>
      <c r="G456" s="1"/>
      <c r="H456" s="1"/>
      <c r="I456" s="1"/>
      <c r="J456" s="1"/>
      <c r="K456" s="1"/>
      <c r="L456" s="1"/>
      <c r="M456" s="1"/>
      <c r="N456" s="1"/>
      <c r="O456" s="1"/>
      <c r="P456" s="1"/>
      <c r="Q456" s="1"/>
      <c r="R456" s="1"/>
      <c r="S456" s="1"/>
    </row>
    <row r="457" spans="1:19" ht="33.75" customHeight="1">
      <c r="A457" s="1" t="s">
        <v>1445</v>
      </c>
      <c r="B457" s="1" t="s">
        <v>846</v>
      </c>
      <c r="C457" s="1">
        <v>8</v>
      </c>
      <c r="D457" s="4">
        <v>39854.911805555559</v>
      </c>
      <c r="E457" s="1" t="s">
        <v>1089</v>
      </c>
      <c r="F457" s="1"/>
      <c r="G457" s="1"/>
      <c r="H457" s="1"/>
      <c r="I457" s="1"/>
      <c r="J457" s="1"/>
      <c r="K457" s="1"/>
      <c r="L457" s="1"/>
      <c r="M457" s="1"/>
      <c r="N457" s="1"/>
      <c r="O457" s="1"/>
      <c r="P457" s="1"/>
      <c r="Q457" s="1"/>
      <c r="R457" s="1"/>
      <c r="S457" s="1"/>
    </row>
    <row r="458" spans="1:19" ht="33.75" customHeight="1">
      <c r="A458" s="1" t="s">
        <v>1447</v>
      </c>
      <c r="B458" s="1" t="s">
        <v>846</v>
      </c>
      <c r="C458" s="1">
        <v>8</v>
      </c>
      <c r="D458" s="4">
        <v>39854.92291666667</v>
      </c>
      <c r="E458" s="1" t="s">
        <v>1089</v>
      </c>
      <c r="F458" s="1"/>
      <c r="G458" s="1"/>
      <c r="H458" s="1"/>
      <c r="I458" s="1"/>
      <c r="J458" s="1"/>
      <c r="K458" s="1"/>
      <c r="L458" s="1"/>
      <c r="M458" s="1"/>
      <c r="N458" s="1"/>
      <c r="O458" s="1"/>
      <c r="P458" s="1"/>
      <c r="Q458" s="1"/>
      <c r="R458" s="1"/>
      <c r="S458" s="1"/>
    </row>
    <row r="459" spans="1:19" ht="33.75" customHeight="1">
      <c r="A459" s="1" t="s">
        <v>1450</v>
      </c>
      <c r="B459" s="1" t="s">
        <v>1196</v>
      </c>
      <c r="C459" s="1">
        <v>10</v>
      </c>
      <c r="D459" s="4">
        <v>39855.015277777777</v>
      </c>
      <c r="E459" s="1" t="s">
        <v>196</v>
      </c>
      <c r="F459" s="1"/>
      <c r="G459" s="1"/>
      <c r="H459" s="1"/>
      <c r="I459" s="1"/>
      <c r="J459" s="1"/>
      <c r="K459" s="1"/>
      <c r="L459" s="1"/>
      <c r="M459" s="1"/>
      <c r="N459" s="1"/>
      <c r="O459" s="1"/>
      <c r="P459" s="1"/>
      <c r="Q459" s="1"/>
      <c r="R459" s="1"/>
      <c r="S459" s="1"/>
    </row>
    <row r="460" spans="1:19" ht="33.75" customHeight="1">
      <c r="A460" s="1" t="s">
        <v>1452</v>
      </c>
      <c r="B460" s="1" t="s">
        <v>1196</v>
      </c>
      <c r="C460" s="1">
        <v>10</v>
      </c>
      <c r="D460" s="4">
        <v>39855.015277777777</v>
      </c>
      <c r="E460" s="1" t="s">
        <v>54</v>
      </c>
      <c r="F460" s="1"/>
      <c r="G460" s="1"/>
      <c r="H460" s="1"/>
      <c r="I460" s="1"/>
      <c r="J460" s="1"/>
      <c r="K460" s="1"/>
      <c r="L460" s="1"/>
      <c r="M460" s="1"/>
      <c r="N460" s="1"/>
      <c r="O460" s="1"/>
      <c r="P460" s="1"/>
      <c r="Q460" s="1"/>
      <c r="R460" s="1"/>
      <c r="S460" s="1"/>
    </row>
    <row r="461" spans="1:19" ht="33.75" customHeight="1">
      <c r="A461" s="1" t="s">
        <v>1455</v>
      </c>
      <c r="B461" s="1" t="s">
        <v>1196</v>
      </c>
      <c r="C461" s="1">
        <v>10</v>
      </c>
      <c r="D461" s="4">
        <v>39855.020833333336</v>
      </c>
      <c r="E461" s="1" t="s">
        <v>14</v>
      </c>
      <c r="F461" s="1"/>
      <c r="G461" s="1"/>
      <c r="H461" s="1"/>
      <c r="I461" s="1"/>
      <c r="J461" s="1"/>
      <c r="K461" s="1"/>
      <c r="L461" s="1"/>
      <c r="M461" s="1"/>
      <c r="N461" s="1"/>
      <c r="O461" s="1"/>
      <c r="P461" s="1"/>
      <c r="Q461" s="1"/>
      <c r="R461" s="1"/>
      <c r="S461" s="1"/>
    </row>
    <row r="462" spans="1:19" ht="33.75" customHeight="1">
      <c r="A462" s="1" t="s">
        <v>1457</v>
      </c>
      <c r="B462" s="1" t="s">
        <v>1196</v>
      </c>
      <c r="C462" s="1">
        <v>10</v>
      </c>
      <c r="D462" s="4">
        <v>39855.030555555553</v>
      </c>
      <c r="E462" s="1" t="s">
        <v>14</v>
      </c>
      <c r="F462" s="1"/>
      <c r="G462" s="1"/>
      <c r="H462" s="1"/>
      <c r="I462" s="1"/>
      <c r="J462" s="1"/>
      <c r="K462" s="1"/>
      <c r="L462" s="1"/>
      <c r="M462" s="1"/>
      <c r="N462" s="1"/>
      <c r="O462" s="1"/>
      <c r="P462" s="1"/>
      <c r="Q462" s="1"/>
      <c r="R462" s="1"/>
      <c r="S462" s="1"/>
    </row>
    <row r="463" spans="1:19" ht="33.75" customHeight="1">
      <c r="A463" s="1" t="s">
        <v>1460</v>
      </c>
      <c r="B463" s="1" t="s">
        <v>1196</v>
      </c>
      <c r="C463" s="1">
        <v>10</v>
      </c>
      <c r="D463" s="4">
        <v>39855.184027777781</v>
      </c>
      <c r="E463" s="1" t="s">
        <v>54</v>
      </c>
      <c r="F463" s="1"/>
      <c r="G463" s="1"/>
      <c r="H463" s="1"/>
      <c r="I463" s="1"/>
      <c r="J463" s="1"/>
      <c r="K463" s="1"/>
      <c r="L463" s="1"/>
      <c r="M463" s="1"/>
      <c r="N463" s="1"/>
      <c r="O463" s="1"/>
      <c r="P463" s="1"/>
      <c r="Q463" s="1"/>
      <c r="R463" s="1"/>
      <c r="S463" s="1"/>
    </row>
    <row r="464" spans="1:19" ht="33.75" customHeight="1">
      <c r="A464" s="1" t="s">
        <v>1463</v>
      </c>
      <c r="B464" s="1" t="s">
        <v>1196</v>
      </c>
      <c r="C464" s="1">
        <v>10</v>
      </c>
      <c r="D464" s="4">
        <v>39855.213888888888</v>
      </c>
      <c r="E464" s="1" t="s">
        <v>54</v>
      </c>
      <c r="F464" s="1"/>
      <c r="G464" s="1"/>
      <c r="H464" s="1"/>
      <c r="I464" s="1"/>
      <c r="J464" s="1"/>
      <c r="K464" s="1"/>
      <c r="L464" s="1"/>
      <c r="M464" s="1"/>
      <c r="N464" s="1"/>
      <c r="O464" s="1"/>
      <c r="P464" s="1"/>
      <c r="Q464" s="1"/>
      <c r="R464" s="1"/>
      <c r="S464" s="1"/>
    </row>
    <row r="465" spans="1:19" ht="33.75" customHeight="1">
      <c r="A465" s="1" t="s">
        <v>1465</v>
      </c>
      <c r="B465" s="1" t="s">
        <v>846</v>
      </c>
      <c r="C465" s="1">
        <v>8</v>
      </c>
      <c r="D465" s="4">
        <v>39855.225694444445</v>
      </c>
      <c r="E465" s="1" t="s">
        <v>1089</v>
      </c>
      <c r="F465" s="1"/>
      <c r="G465" s="1"/>
      <c r="H465" s="1"/>
      <c r="I465" s="1"/>
      <c r="J465" s="1"/>
      <c r="K465" s="1"/>
      <c r="L465" s="1"/>
      <c r="M465" s="1"/>
      <c r="N465" s="1"/>
      <c r="O465" s="1"/>
      <c r="P465" s="1"/>
      <c r="Q465" s="1"/>
      <c r="R465" s="1"/>
      <c r="S465" s="1"/>
    </row>
    <row r="466" spans="1:19" ht="33.75" customHeight="1">
      <c r="A466" s="1" t="s">
        <v>1467</v>
      </c>
      <c r="B466" s="1" t="s">
        <v>1196</v>
      </c>
      <c r="C466" s="1">
        <v>10</v>
      </c>
      <c r="D466" s="4">
        <v>39855.229861111111</v>
      </c>
      <c r="E466" s="1" t="s">
        <v>54</v>
      </c>
      <c r="F466" s="1"/>
      <c r="G466" s="1"/>
      <c r="H466" s="1"/>
      <c r="I466" s="1"/>
      <c r="J466" s="1"/>
      <c r="K466" s="1"/>
      <c r="L466" s="1"/>
      <c r="M466" s="1"/>
      <c r="N466" s="1"/>
      <c r="O466" s="1"/>
      <c r="P466" s="1"/>
      <c r="Q466" s="1"/>
      <c r="R466" s="1"/>
      <c r="S466" s="1"/>
    </row>
    <row r="467" spans="1:19" ht="33.75" customHeight="1">
      <c r="A467" s="1" t="s">
        <v>1470</v>
      </c>
      <c r="B467" s="1" t="s">
        <v>1196</v>
      </c>
      <c r="C467" s="1">
        <v>10</v>
      </c>
      <c r="D467" s="4">
        <v>39855.245138888888</v>
      </c>
      <c r="E467" s="1" t="s">
        <v>393</v>
      </c>
      <c r="F467" s="1"/>
      <c r="G467" s="1"/>
      <c r="H467" s="1"/>
      <c r="I467" s="1"/>
      <c r="J467" s="1"/>
      <c r="K467" s="1"/>
      <c r="L467" s="1"/>
      <c r="M467" s="1"/>
      <c r="N467" s="1"/>
      <c r="O467" s="1"/>
      <c r="P467" s="1"/>
      <c r="Q467" s="1"/>
      <c r="R467" s="1"/>
      <c r="S467" s="1"/>
    </row>
    <row r="468" spans="1:19" ht="33.75" customHeight="1">
      <c r="A468" s="1" t="s">
        <v>1473</v>
      </c>
      <c r="B468" s="3" t="s">
        <v>13</v>
      </c>
      <c r="C468" s="3">
        <v>1</v>
      </c>
      <c r="D468" s="4">
        <v>39855.247916666667</v>
      </c>
      <c r="E468" s="1" t="s">
        <v>1474</v>
      </c>
      <c r="F468" s="1"/>
      <c r="G468" s="1"/>
      <c r="H468" s="1"/>
      <c r="I468" s="1"/>
      <c r="J468" s="1"/>
      <c r="K468" s="1"/>
      <c r="L468" s="1"/>
      <c r="M468" s="1"/>
      <c r="N468" s="1"/>
      <c r="O468" s="1"/>
      <c r="P468" s="1"/>
      <c r="Q468" s="1"/>
      <c r="R468" s="1"/>
      <c r="S468" s="1"/>
    </row>
    <row r="469" spans="1:19" ht="33.75" customHeight="1">
      <c r="A469" s="1" t="s">
        <v>1476</v>
      </c>
      <c r="B469" s="1" t="s">
        <v>1196</v>
      </c>
      <c r="C469" s="1">
        <v>10</v>
      </c>
      <c r="D469" s="4">
        <v>39855.257638888892</v>
      </c>
      <c r="E469" s="1" t="s">
        <v>54</v>
      </c>
      <c r="F469" s="1"/>
      <c r="G469" s="1"/>
      <c r="H469" s="1"/>
      <c r="I469" s="1"/>
      <c r="J469" s="1"/>
      <c r="K469" s="1"/>
      <c r="L469" s="1"/>
      <c r="M469" s="1"/>
      <c r="N469" s="1"/>
      <c r="O469" s="1"/>
      <c r="P469" s="1"/>
      <c r="Q469" s="1"/>
      <c r="R469" s="1"/>
      <c r="S469" s="1"/>
    </row>
    <row r="470" spans="1:19" ht="33.75" customHeight="1">
      <c r="A470" s="1" t="s">
        <v>1478</v>
      </c>
      <c r="B470" s="1" t="s">
        <v>846</v>
      </c>
      <c r="C470" s="1">
        <v>8</v>
      </c>
      <c r="D470" s="4">
        <v>39855.406944444447</v>
      </c>
      <c r="E470" s="1" t="s">
        <v>54</v>
      </c>
      <c r="F470" s="1"/>
      <c r="G470" s="1"/>
      <c r="H470" s="1"/>
      <c r="I470" s="1"/>
      <c r="J470" s="1"/>
      <c r="K470" s="1"/>
      <c r="L470" s="1"/>
      <c r="M470" s="1"/>
      <c r="N470" s="1"/>
      <c r="O470" s="1"/>
      <c r="P470" s="1"/>
      <c r="Q470" s="1"/>
      <c r="R470" s="1"/>
      <c r="S470" s="1"/>
    </row>
    <row r="471" spans="1:19" ht="33.75" customHeight="1">
      <c r="A471" s="1" t="s">
        <v>1480</v>
      </c>
      <c r="B471" s="1" t="s">
        <v>1196</v>
      </c>
      <c r="C471" s="1">
        <v>10</v>
      </c>
      <c r="D471" s="4">
        <v>39855.479166666664</v>
      </c>
      <c r="E471" s="1" t="s">
        <v>14</v>
      </c>
      <c r="F471" s="1"/>
      <c r="G471" s="1"/>
      <c r="H471" s="1"/>
      <c r="I471" s="1"/>
      <c r="J471" s="1"/>
      <c r="K471" s="1"/>
      <c r="L471" s="1"/>
      <c r="M471" s="1"/>
      <c r="N471" s="1"/>
      <c r="O471" s="1"/>
      <c r="P471" s="1"/>
      <c r="Q471" s="1"/>
      <c r="R471" s="1"/>
      <c r="S471" s="1"/>
    </row>
    <row r="472" spans="1:19" ht="33.75" customHeight="1">
      <c r="A472" s="1" t="s">
        <v>1483</v>
      </c>
      <c r="B472" s="1" t="s">
        <v>846</v>
      </c>
      <c r="C472" s="1">
        <v>8</v>
      </c>
      <c r="D472" s="4">
        <v>39855.531944444447</v>
      </c>
      <c r="E472" s="1" t="s">
        <v>772</v>
      </c>
      <c r="F472" s="1"/>
      <c r="G472" s="1"/>
      <c r="H472" s="1"/>
      <c r="I472" s="1"/>
      <c r="J472" s="1"/>
      <c r="K472" s="1"/>
      <c r="L472" s="1"/>
      <c r="M472" s="1"/>
      <c r="N472" s="1"/>
      <c r="O472" s="1"/>
      <c r="P472" s="1"/>
      <c r="Q472" s="1"/>
      <c r="R472" s="1"/>
      <c r="S472" s="1"/>
    </row>
    <row r="473" spans="1:19" ht="33.75" customHeight="1">
      <c r="A473" s="1" t="s">
        <v>1485</v>
      </c>
      <c r="B473" s="1" t="s">
        <v>846</v>
      </c>
      <c r="C473" s="1">
        <v>8</v>
      </c>
      <c r="D473" s="4">
        <v>39855.556944444441</v>
      </c>
      <c r="E473" s="1" t="s">
        <v>54</v>
      </c>
      <c r="F473" s="1"/>
      <c r="G473" s="1"/>
      <c r="H473" s="1"/>
      <c r="I473" s="1"/>
      <c r="J473" s="1"/>
      <c r="K473" s="1"/>
      <c r="L473" s="1"/>
      <c r="M473" s="1"/>
      <c r="N473" s="1"/>
      <c r="O473" s="1"/>
      <c r="P473" s="1"/>
      <c r="Q473" s="1"/>
      <c r="R473" s="1"/>
      <c r="S473" s="1"/>
    </row>
    <row r="474" spans="1:19" ht="33.75" customHeight="1">
      <c r="A474" s="1" t="s">
        <v>1488</v>
      </c>
      <c r="B474" s="1" t="s">
        <v>846</v>
      </c>
      <c r="C474" s="1">
        <v>8</v>
      </c>
      <c r="D474" s="4">
        <v>39855.570138888892</v>
      </c>
      <c r="E474" s="1" t="s">
        <v>54</v>
      </c>
      <c r="F474" s="1"/>
      <c r="G474" s="1"/>
      <c r="H474" s="1"/>
      <c r="I474" s="1"/>
      <c r="J474" s="1"/>
      <c r="K474" s="1"/>
      <c r="L474" s="1"/>
      <c r="M474" s="1"/>
      <c r="N474" s="1"/>
      <c r="O474" s="1"/>
      <c r="P474" s="1"/>
      <c r="Q474" s="1"/>
      <c r="R474" s="1"/>
      <c r="S474" s="1"/>
    </row>
    <row r="475" spans="1:19" ht="33.75" customHeight="1">
      <c r="A475" s="1" t="s">
        <v>1490</v>
      </c>
      <c r="B475" s="1" t="s">
        <v>1196</v>
      </c>
      <c r="C475" s="1">
        <v>10</v>
      </c>
      <c r="D475" s="4">
        <v>39855.612500000003</v>
      </c>
      <c r="E475" s="1" t="s">
        <v>314</v>
      </c>
      <c r="F475" s="1"/>
      <c r="G475" s="1"/>
      <c r="H475" s="1"/>
      <c r="I475" s="1"/>
      <c r="J475" s="1"/>
      <c r="K475" s="1"/>
      <c r="L475" s="1"/>
      <c r="M475" s="1"/>
      <c r="N475" s="1"/>
      <c r="O475" s="1"/>
      <c r="P475" s="1"/>
      <c r="Q475" s="1"/>
      <c r="R475" s="1"/>
      <c r="S475" s="1"/>
    </row>
    <row r="476" spans="1:19" ht="33.75" customHeight="1">
      <c r="A476" s="1" t="s">
        <v>1492</v>
      </c>
      <c r="B476" s="1" t="s">
        <v>156</v>
      </c>
      <c r="C476" s="1">
        <v>3</v>
      </c>
      <c r="D476" s="4">
        <v>39855.625694444447</v>
      </c>
      <c r="E476" s="1" t="s">
        <v>314</v>
      </c>
      <c r="F476" s="1"/>
      <c r="G476" s="1"/>
      <c r="H476" s="1"/>
      <c r="I476" s="1"/>
      <c r="J476" s="1"/>
      <c r="K476" s="1"/>
      <c r="L476" s="1"/>
      <c r="M476" s="1"/>
      <c r="N476" s="1"/>
      <c r="O476" s="1"/>
      <c r="P476" s="1"/>
      <c r="Q476" s="1"/>
      <c r="R476" s="1"/>
      <c r="S476" s="1"/>
    </row>
    <row r="477" spans="1:19" ht="33.75" customHeight="1">
      <c r="A477" s="1" t="s">
        <v>1495</v>
      </c>
      <c r="B477" s="1" t="s">
        <v>1196</v>
      </c>
      <c r="C477" s="1">
        <v>10</v>
      </c>
      <c r="D477" s="4">
        <v>39855.62777777778</v>
      </c>
      <c r="E477" s="1" t="s">
        <v>320</v>
      </c>
      <c r="F477" s="1"/>
      <c r="G477" s="1"/>
      <c r="H477" s="1"/>
      <c r="I477" s="1"/>
      <c r="J477" s="1"/>
      <c r="K477" s="1"/>
      <c r="L477" s="1"/>
      <c r="M477" s="1"/>
      <c r="N477" s="1"/>
      <c r="O477" s="1"/>
      <c r="P477" s="1"/>
      <c r="Q477" s="1"/>
      <c r="R477" s="1"/>
      <c r="S477" s="1"/>
    </row>
    <row r="478" spans="1:19" ht="33.75" customHeight="1">
      <c r="A478" s="1" t="s">
        <v>1497</v>
      </c>
      <c r="B478" s="1" t="s">
        <v>1196</v>
      </c>
      <c r="C478" s="1">
        <v>10</v>
      </c>
      <c r="D478" s="4">
        <v>39855.647222222222</v>
      </c>
      <c r="E478" s="1" t="s">
        <v>314</v>
      </c>
      <c r="F478" s="1"/>
      <c r="G478" s="1"/>
      <c r="H478" s="1"/>
      <c r="I478" s="1"/>
      <c r="J478" s="1"/>
      <c r="K478" s="1"/>
      <c r="L478" s="1"/>
      <c r="M478" s="1"/>
      <c r="N478" s="1"/>
      <c r="O478" s="1"/>
      <c r="P478" s="1"/>
      <c r="Q478" s="1"/>
      <c r="R478" s="1"/>
      <c r="S478" s="1"/>
    </row>
    <row r="479" spans="1:19" ht="33.75" customHeight="1">
      <c r="A479" s="1" t="s">
        <v>1500</v>
      </c>
      <c r="B479" s="1" t="s">
        <v>1196</v>
      </c>
      <c r="C479" s="1">
        <v>10</v>
      </c>
      <c r="D479" s="4">
        <v>39855.668749999997</v>
      </c>
      <c r="E479" s="1" t="s">
        <v>255</v>
      </c>
      <c r="F479" s="1"/>
      <c r="G479" s="1"/>
      <c r="H479" s="1"/>
      <c r="I479" s="1"/>
      <c r="J479" s="1"/>
      <c r="K479" s="1"/>
      <c r="L479" s="1"/>
      <c r="M479" s="1"/>
      <c r="N479" s="1"/>
      <c r="O479" s="1"/>
      <c r="P479" s="1"/>
      <c r="Q479" s="1"/>
      <c r="R479" s="1"/>
      <c r="S479" s="1"/>
    </row>
    <row r="480" spans="1:19" ht="33.75" customHeight="1">
      <c r="A480" s="1" t="s">
        <v>1502</v>
      </c>
      <c r="B480" s="1" t="s">
        <v>1196</v>
      </c>
      <c r="C480" s="1">
        <v>10</v>
      </c>
      <c r="D480" s="4">
        <v>39855.679166666669</v>
      </c>
      <c r="E480" s="1" t="s">
        <v>54</v>
      </c>
      <c r="F480" s="1"/>
      <c r="G480" s="1"/>
      <c r="H480" s="1"/>
      <c r="I480" s="1"/>
      <c r="J480" s="1"/>
      <c r="K480" s="1"/>
      <c r="L480" s="1"/>
      <c r="M480" s="1"/>
      <c r="N480" s="1"/>
      <c r="O480" s="1"/>
      <c r="P480" s="1"/>
      <c r="Q480" s="1"/>
      <c r="R480" s="1"/>
      <c r="S480" s="1"/>
    </row>
    <row r="481" spans="1:19" ht="33.75" customHeight="1">
      <c r="A481" s="1" t="s">
        <v>1505</v>
      </c>
      <c r="B481" s="1" t="s">
        <v>846</v>
      </c>
      <c r="C481" s="1">
        <v>8</v>
      </c>
      <c r="D481" s="4">
        <v>39855.684027777781</v>
      </c>
      <c r="E481" s="1" t="s">
        <v>416</v>
      </c>
      <c r="F481" s="1"/>
      <c r="G481" s="1"/>
      <c r="H481" s="1"/>
      <c r="I481" s="1"/>
      <c r="J481" s="1"/>
      <c r="K481" s="1"/>
      <c r="L481" s="1"/>
      <c r="M481" s="1"/>
      <c r="N481" s="1"/>
      <c r="O481" s="1"/>
      <c r="P481" s="1"/>
      <c r="Q481" s="1"/>
      <c r="R481" s="1"/>
      <c r="S481" s="1"/>
    </row>
    <row r="482" spans="1:19" ht="33.75" customHeight="1">
      <c r="A482" s="1" t="s">
        <v>1507</v>
      </c>
      <c r="B482" s="1" t="s">
        <v>846</v>
      </c>
      <c r="C482" s="1">
        <v>8</v>
      </c>
      <c r="D482" s="4">
        <v>39855.697916666664</v>
      </c>
      <c r="E482" s="1" t="s">
        <v>54</v>
      </c>
      <c r="F482" s="1"/>
      <c r="G482" s="1"/>
      <c r="H482" s="1"/>
      <c r="I482" s="1"/>
      <c r="J482" s="1"/>
      <c r="K482" s="1"/>
      <c r="L482" s="1"/>
      <c r="M482" s="1"/>
      <c r="N482" s="1"/>
      <c r="O482" s="1"/>
      <c r="P482" s="1"/>
      <c r="Q482" s="1"/>
      <c r="R482" s="1"/>
      <c r="S482" s="1"/>
    </row>
    <row r="483" spans="1:19" ht="33.75" customHeight="1">
      <c r="A483" s="1" t="s">
        <v>1509</v>
      </c>
      <c r="B483" s="1" t="s">
        <v>1196</v>
      </c>
      <c r="C483" s="1">
        <v>10</v>
      </c>
      <c r="D483" s="4">
        <v>39855.722222222219</v>
      </c>
      <c r="E483" s="1" t="s">
        <v>320</v>
      </c>
      <c r="F483" s="1"/>
      <c r="G483" s="1"/>
      <c r="H483" s="1"/>
      <c r="I483" s="1"/>
      <c r="J483" s="1"/>
      <c r="K483" s="1"/>
      <c r="L483" s="1"/>
      <c r="M483" s="1"/>
      <c r="N483" s="1"/>
      <c r="O483" s="1"/>
      <c r="P483" s="1"/>
      <c r="Q483" s="1"/>
      <c r="R483" s="1"/>
      <c r="S483" s="1"/>
    </row>
    <row r="484" spans="1:19" ht="33.75" customHeight="1">
      <c r="A484" s="1" t="s">
        <v>1511</v>
      </c>
      <c r="B484" s="1" t="s">
        <v>1196</v>
      </c>
      <c r="C484" s="1">
        <v>10</v>
      </c>
      <c r="D484" s="4">
        <v>39855.736111111109</v>
      </c>
      <c r="E484" s="1" t="s">
        <v>14</v>
      </c>
      <c r="F484" s="1"/>
      <c r="G484" s="1"/>
      <c r="H484" s="1"/>
      <c r="I484" s="1"/>
      <c r="J484" s="1"/>
      <c r="K484" s="1"/>
      <c r="L484" s="1"/>
      <c r="M484" s="1"/>
      <c r="N484" s="1"/>
      <c r="O484" s="1"/>
      <c r="P484" s="1"/>
      <c r="Q484" s="1"/>
      <c r="R484" s="1"/>
      <c r="S484" s="1"/>
    </row>
    <row r="485" spans="1:19" ht="33.75" customHeight="1">
      <c r="A485" s="1" t="s">
        <v>1513</v>
      </c>
      <c r="B485" s="1" t="s">
        <v>1196</v>
      </c>
      <c r="C485" s="1">
        <v>10</v>
      </c>
      <c r="D485" s="4">
        <v>39855.761111111111</v>
      </c>
      <c r="E485" s="1" t="s">
        <v>54</v>
      </c>
      <c r="F485" s="1"/>
      <c r="G485" s="1"/>
      <c r="H485" s="1"/>
      <c r="I485" s="1"/>
      <c r="J485" s="1"/>
      <c r="K485" s="1"/>
      <c r="L485" s="1"/>
      <c r="M485" s="1"/>
      <c r="N485" s="1"/>
      <c r="O485" s="1"/>
      <c r="P485" s="1"/>
      <c r="Q485" s="1"/>
      <c r="R485" s="1"/>
      <c r="S485" s="1"/>
    </row>
    <row r="486" spans="1:19" ht="33.75" customHeight="1">
      <c r="A486" s="1" t="s">
        <v>1515</v>
      </c>
      <c r="B486" s="1" t="s">
        <v>1196</v>
      </c>
      <c r="C486" s="1">
        <v>10</v>
      </c>
      <c r="D486" s="4">
        <v>39855.769444444442</v>
      </c>
      <c r="E486" s="1" t="s">
        <v>54</v>
      </c>
      <c r="F486" s="1"/>
      <c r="G486" s="1"/>
      <c r="H486" s="1"/>
      <c r="I486" s="1"/>
      <c r="J486" s="1"/>
      <c r="K486" s="1"/>
      <c r="L486" s="1"/>
      <c r="M486" s="1"/>
      <c r="N486" s="1"/>
      <c r="O486" s="1"/>
      <c r="P486" s="1"/>
      <c r="Q486" s="1"/>
      <c r="R486" s="1"/>
      <c r="S486" s="1"/>
    </row>
    <row r="487" spans="1:19" ht="33.75" customHeight="1">
      <c r="A487" s="1" t="s">
        <v>1518</v>
      </c>
      <c r="B487" s="1" t="s">
        <v>1519</v>
      </c>
      <c r="C487" s="1">
        <v>11</v>
      </c>
      <c r="D487" s="4">
        <v>39855.775000000001</v>
      </c>
      <c r="E487" s="1" t="s">
        <v>54</v>
      </c>
      <c r="F487" s="1"/>
      <c r="G487" s="1"/>
      <c r="H487" s="1"/>
      <c r="I487" s="1"/>
      <c r="J487" s="1"/>
      <c r="K487" s="1"/>
      <c r="L487" s="1"/>
      <c r="M487" s="1"/>
      <c r="N487" s="1"/>
      <c r="O487" s="1"/>
      <c r="P487" s="1"/>
      <c r="Q487" s="1"/>
      <c r="R487" s="1"/>
      <c r="S487" s="1"/>
    </row>
    <row r="488" spans="1:19" ht="33.75" customHeight="1">
      <c r="A488" s="1" t="s">
        <v>1522</v>
      </c>
      <c r="B488" s="1" t="s">
        <v>1196</v>
      </c>
      <c r="C488" s="1">
        <v>10</v>
      </c>
      <c r="D488" s="4">
        <v>39855.780555555553</v>
      </c>
      <c r="E488" s="1" t="s">
        <v>84</v>
      </c>
      <c r="F488" s="1"/>
      <c r="G488" s="1"/>
      <c r="H488" s="1"/>
      <c r="I488" s="1"/>
      <c r="J488" s="1"/>
      <c r="K488" s="1"/>
      <c r="L488" s="1"/>
      <c r="M488" s="1"/>
      <c r="N488" s="1"/>
      <c r="O488" s="1"/>
      <c r="P488" s="1"/>
      <c r="Q488" s="1"/>
      <c r="R488" s="1"/>
      <c r="S488" s="1"/>
    </row>
    <row r="489" spans="1:19" ht="33.75" customHeight="1">
      <c r="A489" s="1" t="s">
        <v>1525</v>
      </c>
      <c r="B489" s="1" t="s">
        <v>1196</v>
      </c>
      <c r="C489" s="1">
        <v>10</v>
      </c>
      <c r="D489" s="4">
        <v>39855.786111111112</v>
      </c>
      <c r="E489" s="1" t="s">
        <v>14</v>
      </c>
      <c r="F489" s="1"/>
      <c r="G489" s="1"/>
      <c r="H489" s="1"/>
      <c r="I489" s="1"/>
      <c r="J489" s="1"/>
      <c r="K489" s="1"/>
      <c r="L489" s="1"/>
      <c r="M489" s="1"/>
      <c r="N489" s="1"/>
      <c r="O489" s="1"/>
      <c r="P489" s="1"/>
      <c r="Q489" s="1"/>
      <c r="R489" s="1"/>
      <c r="S489" s="1"/>
    </row>
    <row r="490" spans="1:19" ht="33.75" customHeight="1">
      <c r="A490" s="1" t="s">
        <v>1527</v>
      </c>
      <c r="B490" s="1" t="s">
        <v>1196</v>
      </c>
      <c r="C490" s="1">
        <v>10</v>
      </c>
      <c r="D490" s="4">
        <v>39855.792361111111</v>
      </c>
      <c r="E490" s="1" t="s">
        <v>1528</v>
      </c>
      <c r="F490" s="1"/>
      <c r="G490" s="1"/>
      <c r="H490" s="1"/>
      <c r="I490" s="1"/>
      <c r="J490" s="1"/>
      <c r="K490" s="1"/>
      <c r="L490" s="1"/>
      <c r="M490" s="1"/>
      <c r="N490" s="1"/>
      <c r="O490" s="1"/>
      <c r="P490" s="1"/>
      <c r="Q490" s="1"/>
      <c r="R490" s="1"/>
      <c r="S490" s="1"/>
    </row>
    <row r="491" spans="1:19" ht="33.75" customHeight="1">
      <c r="A491" s="1" t="s">
        <v>1531</v>
      </c>
      <c r="B491" s="1" t="s">
        <v>846</v>
      </c>
      <c r="C491" s="1">
        <v>8</v>
      </c>
      <c r="D491" s="4">
        <v>39855.802083333336</v>
      </c>
      <c r="E491" s="1" t="s">
        <v>84</v>
      </c>
      <c r="F491" s="1"/>
      <c r="G491" s="1"/>
      <c r="H491" s="1"/>
      <c r="I491" s="1"/>
      <c r="J491" s="1"/>
      <c r="K491" s="1"/>
      <c r="L491" s="1"/>
      <c r="M491" s="1"/>
      <c r="N491" s="1"/>
      <c r="O491" s="1"/>
      <c r="P491" s="1"/>
      <c r="Q491" s="1"/>
      <c r="R491" s="1"/>
      <c r="S491" s="1"/>
    </row>
    <row r="492" spans="1:19" ht="33.75" customHeight="1">
      <c r="A492" s="1" t="s">
        <v>1533</v>
      </c>
      <c r="B492" s="1" t="s">
        <v>1196</v>
      </c>
      <c r="C492" s="1">
        <v>10</v>
      </c>
      <c r="D492" s="4">
        <v>39855.807638888888</v>
      </c>
      <c r="E492" s="1" t="s">
        <v>14</v>
      </c>
      <c r="F492" s="1"/>
      <c r="G492" s="1"/>
      <c r="H492" s="1"/>
      <c r="I492" s="1"/>
      <c r="J492" s="1"/>
      <c r="K492" s="1"/>
      <c r="L492" s="1"/>
      <c r="M492" s="1"/>
      <c r="N492" s="1"/>
      <c r="O492" s="1"/>
      <c r="P492" s="1"/>
      <c r="Q492" s="1"/>
      <c r="R492" s="1"/>
      <c r="S492" s="1"/>
    </row>
    <row r="493" spans="1:19" ht="33.75" customHeight="1">
      <c r="A493" s="1" t="s">
        <v>1535</v>
      </c>
      <c r="B493" s="1" t="s">
        <v>846</v>
      </c>
      <c r="C493" s="1">
        <v>8</v>
      </c>
      <c r="D493" s="4">
        <v>39855.824999999997</v>
      </c>
      <c r="E493" s="1" t="s">
        <v>54</v>
      </c>
      <c r="F493" s="1"/>
      <c r="G493" s="1"/>
      <c r="H493" s="1"/>
      <c r="I493" s="1"/>
      <c r="J493" s="1"/>
      <c r="K493" s="1"/>
      <c r="L493" s="1"/>
      <c r="M493" s="1"/>
      <c r="N493" s="1"/>
      <c r="O493" s="1"/>
      <c r="P493" s="1"/>
      <c r="Q493" s="1"/>
      <c r="R493" s="1"/>
      <c r="S493" s="1"/>
    </row>
    <row r="494" spans="1:19" ht="33.75" customHeight="1">
      <c r="A494" s="1" t="s">
        <v>1537</v>
      </c>
      <c r="B494" s="1" t="s">
        <v>1196</v>
      </c>
      <c r="C494" s="1">
        <v>10</v>
      </c>
      <c r="D494" s="4">
        <v>39855.830555555556</v>
      </c>
      <c r="E494" s="1" t="s">
        <v>14</v>
      </c>
      <c r="F494" s="1"/>
      <c r="G494" s="1"/>
      <c r="H494" s="1"/>
      <c r="I494" s="1"/>
      <c r="J494" s="1"/>
      <c r="K494" s="1"/>
      <c r="L494" s="1"/>
      <c r="M494" s="1"/>
      <c r="N494" s="1"/>
      <c r="O494" s="1"/>
      <c r="P494" s="1"/>
      <c r="Q494" s="1"/>
      <c r="R494" s="1"/>
      <c r="S494" s="1"/>
    </row>
    <row r="495" spans="1:19" ht="33.75" customHeight="1">
      <c r="A495" s="1" t="s">
        <v>1540</v>
      </c>
      <c r="B495" s="1" t="s">
        <v>1519</v>
      </c>
      <c r="C495" s="1">
        <v>11</v>
      </c>
      <c r="D495" s="4">
        <v>39855.834027777775</v>
      </c>
      <c r="E495" s="1" t="s">
        <v>54</v>
      </c>
      <c r="F495" s="1"/>
      <c r="G495" s="1"/>
      <c r="H495" s="1"/>
      <c r="I495" s="1"/>
      <c r="J495" s="1"/>
      <c r="K495" s="1"/>
      <c r="L495" s="1"/>
      <c r="M495" s="1"/>
      <c r="N495" s="1"/>
      <c r="O495" s="1"/>
      <c r="P495" s="1"/>
      <c r="Q495" s="1"/>
      <c r="R495" s="1"/>
      <c r="S495" s="1"/>
    </row>
    <row r="496" spans="1:19" ht="33.75" customHeight="1">
      <c r="A496" s="1" t="s">
        <v>1543</v>
      </c>
      <c r="B496" s="1" t="s">
        <v>846</v>
      </c>
      <c r="C496" s="1">
        <v>8</v>
      </c>
      <c r="D496" s="4">
        <v>39855.841666666667</v>
      </c>
      <c r="E496" s="1" t="s">
        <v>84</v>
      </c>
      <c r="F496" s="1"/>
      <c r="G496" s="1"/>
      <c r="H496" s="1"/>
      <c r="I496" s="1"/>
      <c r="J496" s="1"/>
      <c r="K496" s="1"/>
      <c r="L496" s="1"/>
      <c r="M496" s="1"/>
      <c r="N496" s="1"/>
      <c r="O496" s="1"/>
      <c r="P496" s="1"/>
      <c r="Q496" s="1"/>
      <c r="R496" s="1"/>
      <c r="S496" s="1"/>
    </row>
    <row r="497" spans="1:19" ht="33.75" customHeight="1">
      <c r="A497" s="1" t="s">
        <v>1546</v>
      </c>
      <c r="B497" s="1" t="s">
        <v>1196</v>
      </c>
      <c r="C497" s="1">
        <v>10</v>
      </c>
      <c r="D497" s="4">
        <v>39855.884027777778</v>
      </c>
      <c r="E497" s="1" t="s">
        <v>54</v>
      </c>
      <c r="F497" s="1"/>
      <c r="G497" s="1"/>
      <c r="H497" s="1"/>
      <c r="I497" s="1"/>
      <c r="J497" s="1"/>
      <c r="K497" s="1"/>
      <c r="L497" s="1"/>
      <c r="M497" s="1"/>
      <c r="N497" s="1"/>
      <c r="O497" s="1"/>
      <c r="P497" s="1"/>
      <c r="Q497" s="1"/>
      <c r="R497" s="1"/>
      <c r="S497" s="1"/>
    </row>
    <row r="498" spans="1:19" ht="33.75" customHeight="1">
      <c r="A498" s="1" t="s">
        <v>1550</v>
      </c>
      <c r="B498" s="1" t="s">
        <v>1196</v>
      </c>
      <c r="C498" s="1">
        <v>10</v>
      </c>
      <c r="D498" s="4">
        <v>39855.887499999997</v>
      </c>
      <c r="E498" s="1" t="s">
        <v>54</v>
      </c>
      <c r="F498" s="1"/>
      <c r="G498" s="1"/>
      <c r="H498" s="1"/>
      <c r="I498" s="1"/>
      <c r="J498" s="1"/>
      <c r="K498" s="1"/>
      <c r="L498" s="1"/>
      <c r="M498" s="1"/>
      <c r="N498" s="1"/>
      <c r="O498" s="1"/>
      <c r="P498" s="1"/>
      <c r="Q498" s="1"/>
      <c r="R498" s="1"/>
      <c r="S498" s="1"/>
    </row>
    <row r="499" spans="1:19" ht="33.75" customHeight="1">
      <c r="A499" s="1" t="s">
        <v>1553</v>
      </c>
      <c r="B499" s="1" t="s">
        <v>1196</v>
      </c>
      <c r="C499" s="1">
        <v>10</v>
      </c>
      <c r="D499" s="4">
        <v>39855.919444444444</v>
      </c>
      <c r="E499" s="1" t="s">
        <v>54</v>
      </c>
      <c r="F499" s="1"/>
      <c r="G499" s="1"/>
      <c r="H499" s="1"/>
      <c r="I499" s="1"/>
      <c r="J499" s="1"/>
      <c r="K499" s="1"/>
      <c r="L499" s="1"/>
      <c r="M499" s="1"/>
      <c r="N499" s="1"/>
      <c r="O499" s="1"/>
      <c r="P499" s="1"/>
      <c r="Q499" s="1"/>
      <c r="R499" s="1"/>
      <c r="S499" s="1"/>
    </row>
    <row r="500" spans="1:19" ht="33.75" customHeight="1">
      <c r="A500" s="1" t="s">
        <v>1555</v>
      </c>
      <c r="B500" s="1" t="s">
        <v>1196</v>
      </c>
      <c r="C500" s="1">
        <v>10</v>
      </c>
      <c r="D500" s="4">
        <v>39855.9375</v>
      </c>
      <c r="E500" s="1" t="s">
        <v>1528</v>
      </c>
      <c r="F500" s="1"/>
      <c r="G500" s="1"/>
      <c r="H500" s="1"/>
      <c r="I500" s="1"/>
      <c r="J500" s="1"/>
      <c r="K500" s="1"/>
      <c r="L500" s="1"/>
      <c r="M500" s="1"/>
      <c r="N500" s="1"/>
      <c r="O500" s="1"/>
      <c r="P500" s="1"/>
      <c r="Q500" s="1"/>
      <c r="R500" s="1"/>
      <c r="S500" s="1"/>
    </row>
    <row r="501" spans="1:19" ht="33.75" customHeight="1">
      <c r="A501" s="1" t="s">
        <v>1557</v>
      </c>
      <c r="B501" s="1" t="s">
        <v>1196</v>
      </c>
      <c r="C501" s="1">
        <v>10</v>
      </c>
      <c r="D501" s="4">
        <v>39855.947916666664</v>
      </c>
      <c r="E501" s="1" t="s">
        <v>54</v>
      </c>
      <c r="F501" s="1"/>
      <c r="G501" s="1"/>
      <c r="H501" s="1"/>
      <c r="I501" s="1"/>
      <c r="J501" s="1"/>
      <c r="K501" s="1"/>
      <c r="L501" s="1"/>
      <c r="M501" s="1"/>
      <c r="N501" s="1"/>
      <c r="O501" s="1"/>
      <c r="P501" s="1"/>
      <c r="Q501" s="1"/>
      <c r="R501" s="1"/>
      <c r="S501" s="1"/>
    </row>
    <row r="502" spans="1:19" ht="33.75" customHeight="1">
      <c r="A502" s="1" t="s">
        <v>1559</v>
      </c>
      <c r="B502" s="1" t="s">
        <v>1196</v>
      </c>
      <c r="C502" s="1">
        <v>10</v>
      </c>
      <c r="D502" s="4">
        <v>39855.977083333331</v>
      </c>
      <c r="E502" s="1" t="s">
        <v>54</v>
      </c>
      <c r="F502" s="1"/>
      <c r="G502" s="1"/>
      <c r="H502" s="1"/>
      <c r="I502" s="1"/>
      <c r="J502" s="1"/>
      <c r="K502" s="1"/>
      <c r="L502" s="1"/>
      <c r="M502" s="1"/>
      <c r="N502" s="1"/>
      <c r="O502" s="1"/>
      <c r="P502" s="1"/>
      <c r="Q502" s="1"/>
      <c r="R502" s="1"/>
      <c r="S502" s="1"/>
    </row>
    <row r="503" spans="1:19" ht="33.75" customHeight="1">
      <c r="A503" s="1" t="s">
        <v>1561</v>
      </c>
      <c r="B503" s="1" t="s">
        <v>1196</v>
      </c>
      <c r="C503" s="1">
        <v>10</v>
      </c>
      <c r="D503" s="4">
        <v>39855.995833333334</v>
      </c>
      <c r="E503" s="1" t="s">
        <v>320</v>
      </c>
      <c r="F503" s="1"/>
      <c r="G503" s="1"/>
      <c r="H503" s="1"/>
      <c r="I503" s="1"/>
      <c r="J503" s="1"/>
      <c r="K503" s="1"/>
      <c r="L503" s="1"/>
      <c r="M503" s="1"/>
      <c r="N503" s="1"/>
      <c r="O503" s="1"/>
      <c r="P503" s="1"/>
      <c r="Q503" s="1"/>
      <c r="R503" s="1"/>
      <c r="S503" s="1"/>
    </row>
    <row r="504" spans="1:19" ht="33.75" customHeight="1">
      <c r="A504" s="1" t="s">
        <v>1563</v>
      </c>
      <c r="B504" s="1" t="s">
        <v>1196</v>
      </c>
      <c r="C504" s="1">
        <v>10</v>
      </c>
      <c r="D504" s="4">
        <v>39856.015972222223</v>
      </c>
      <c r="E504" s="1" t="s">
        <v>54</v>
      </c>
      <c r="F504" s="1"/>
      <c r="G504" s="1"/>
      <c r="H504" s="1"/>
      <c r="I504" s="1"/>
      <c r="J504" s="1"/>
      <c r="K504" s="1"/>
      <c r="L504" s="1"/>
      <c r="M504" s="1"/>
      <c r="N504" s="1"/>
      <c r="O504" s="1"/>
      <c r="P504" s="1"/>
      <c r="Q504" s="1"/>
      <c r="R504" s="1"/>
      <c r="S504" s="1"/>
    </row>
    <row r="505" spans="1:19" ht="33.75" customHeight="1">
      <c r="A505" s="1" t="s">
        <v>1566</v>
      </c>
      <c r="B505" s="1" t="s">
        <v>1196</v>
      </c>
      <c r="C505" s="1">
        <v>10</v>
      </c>
      <c r="D505" s="4">
        <v>39856.032638888886</v>
      </c>
      <c r="E505" s="1" t="s">
        <v>14</v>
      </c>
      <c r="F505" s="1"/>
      <c r="G505" s="1"/>
      <c r="H505" s="1"/>
      <c r="I505" s="1"/>
      <c r="J505" s="1"/>
      <c r="K505" s="1"/>
      <c r="L505" s="1"/>
      <c r="M505" s="1"/>
      <c r="N505" s="1"/>
      <c r="O505" s="1"/>
      <c r="P505" s="1"/>
      <c r="Q505" s="1"/>
      <c r="R505" s="1"/>
      <c r="S505" s="1"/>
    </row>
    <row r="506" spans="1:19" ht="33.75" customHeight="1">
      <c r="A506" s="1" t="s">
        <v>1569</v>
      </c>
      <c r="B506" s="1" t="s">
        <v>846</v>
      </c>
      <c r="C506" s="1">
        <v>8</v>
      </c>
      <c r="D506" s="4">
        <v>39856.03402777778</v>
      </c>
      <c r="E506" s="1" t="s">
        <v>1089</v>
      </c>
      <c r="F506" s="1"/>
      <c r="G506" s="1"/>
      <c r="H506" s="1"/>
      <c r="I506" s="1"/>
      <c r="J506" s="1"/>
      <c r="K506" s="1"/>
      <c r="L506" s="1"/>
      <c r="M506" s="1"/>
      <c r="N506" s="1"/>
      <c r="O506" s="1"/>
      <c r="P506" s="1"/>
      <c r="Q506" s="1"/>
      <c r="R506" s="1"/>
      <c r="S506" s="1"/>
    </row>
    <row r="507" spans="1:19" ht="33.75" customHeight="1">
      <c r="A507" s="1" t="s">
        <v>1572</v>
      </c>
      <c r="B507" s="1" t="s">
        <v>1196</v>
      </c>
      <c r="C507" s="1">
        <v>10</v>
      </c>
      <c r="D507" s="4">
        <v>39856.047222222223</v>
      </c>
      <c r="E507" s="1" t="s">
        <v>14</v>
      </c>
      <c r="F507" s="1"/>
      <c r="G507" s="1"/>
      <c r="H507" s="1"/>
      <c r="I507" s="1"/>
      <c r="J507" s="1"/>
      <c r="K507" s="1"/>
      <c r="L507" s="1"/>
      <c r="M507" s="1"/>
      <c r="N507" s="1"/>
      <c r="O507" s="1"/>
      <c r="P507" s="1"/>
      <c r="Q507" s="1"/>
      <c r="R507" s="1"/>
      <c r="S507" s="1"/>
    </row>
    <row r="508" spans="1:19" ht="33.75" customHeight="1">
      <c r="A508" s="1" t="s">
        <v>1574</v>
      </c>
      <c r="B508" s="1" t="s">
        <v>1196</v>
      </c>
      <c r="C508" s="1">
        <v>10</v>
      </c>
      <c r="D508" s="4">
        <v>39856.056250000001</v>
      </c>
      <c r="E508" s="1" t="s">
        <v>54</v>
      </c>
      <c r="F508" s="1"/>
      <c r="G508" s="1"/>
      <c r="H508" s="1"/>
      <c r="I508" s="1"/>
      <c r="J508" s="1"/>
      <c r="K508" s="1"/>
      <c r="L508" s="1"/>
      <c r="M508" s="1"/>
      <c r="N508" s="1"/>
      <c r="O508" s="1"/>
      <c r="P508" s="1"/>
      <c r="Q508" s="1"/>
      <c r="R508" s="1"/>
      <c r="S508" s="1"/>
    </row>
    <row r="509" spans="1:19" ht="33.75" customHeight="1">
      <c r="A509" s="1" t="s">
        <v>1577</v>
      </c>
      <c r="B509" s="1" t="s">
        <v>1196</v>
      </c>
      <c r="C509" s="1">
        <v>10</v>
      </c>
      <c r="D509" s="4">
        <v>39856.059027777781</v>
      </c>
      <c r="E509" s="1" t="s">
        <v>14</v>
      </c>
      <c r="F509" s="1"/>
      <c r="G509" s="1"/>
      <c r="H509" s="1"/>
      <c r="I509" s="1"/>
      <c r="J509" s="1"/>
      <c r="K509" s="1"/>
      <c r="L509" s="1"/>
      <c r="M509" s="1"/>
      <c r="N509" s="1"/>
      <c r="O509" s="1"/>
      <c r="P509" s="1"/>
      <c r="Q509" s="1"/>
      <c r="R509" s="1"/>
      <c r="S509" s="1"/>
    </row>
    <row r="510" spans="1:19" ht="33.75" customHeight="1">
      <c r="A510" s="1" t="s">
        <v>1580</v>
      </c>
      <c r="B510" s="1" t="s">
        <v>1196</v>
      </c>
      <c r="C510" s="1">
        <v>10</v>
      </c>
      <c r="D510" s="4">
        <v>39856.070138888892</v>
      </c>
      <c r="E510" s="1" t="s">
        <v>14</v>
      </c>
      <c r="F510" s="1"/>
      <c r="G510" s="1"/>
      <c r="H510" s="1"/>
      <c r="I510" s="1"/>
      <c r="J510" s="1"/>
      <c r="K510" s="1"/>
      <c r="L510" s="1"/>
      <c r="M510" s="1"/>
      <c r="N510" s="1"/>
      <c r="O510" s="1"/>
      <c r="P510" s="1"/>
      <c r="Q510" s="1"/>
      <c r="R510" s="1"/>
      <c r="S510" s="1"/>
    </row>
    <row r="511" spans="1:19" ht="33.75" customHeight="1">
      <c r="A511" s="1" t="s">
        <v>1582</v>
      </c>
      <c r="B511" s="1" t="s">
        <v>1196</v>
      </c>
      <c r="C511" s="1">
        <v>10</v>
      </c>
      <c r="D511" s="4">
        <v>39856.07708333333</v>
      </c>
      <c r="E511" s="1" t="s">
        <v>320</v>
      </c>
      <c r="F511" s="1"/>
      <c r="G511" s="1"/>
      <c r="H511" s="1"/>
      <c r="I511" s="1"/>
      <c r="J511" s="1"/>
      <c r="K511" s="1"/>
      <c r="L511" s="1"/>
      <c r="M511" s="1"/>
      <c r="N511" s="1"/>
      <c r="O511" s="1"/>
      <c r="P511" s="1"/>
      <c r="Q511" s="1"/>
      <c r="R511" s="1"/>
      <c r="S511" s="1"/>
    </row>
    <row r="512" spans="1:19" ht="33.75" customHeight="1">
      <c r="A512" s="1" t="s">
        <v>1586</v>
      </c>
      <c r="B512" s="1" t="s">
        <v>1196</v>
      </c>
      <c r="C512" s="1">
        <v>10</v>
      </c>
      <c r="D512" s="4">
        <v>39856.077777777777</v>
      </c>
      <c r="E512" s="1" t="s">
        <v>320</v>
      </c>
      <c r="F512" s="1"/>
      <c r="G512" s="1"/>
      <c r="H512" s="1"/>
      <c r="I512" s="1"/>
      <c r="J512" s="1"/>
      <c r="K512" s="1"/>
      <c r="L512" s="1"/>
      <c r="M512" s="1"/>
      <c r="N512" s="1"/>
      <c r="O512" s="1"/>
      <c r="P512" s="1"/>
      <c r="Q512" s="1"/>
      <c r="R512" s="1"/>
      <c r="S512" s="1"/>
    </row>
    <row r="513" spans="1:19" ht="33.75" customHeight="1">
      <c r="A513" s="1" t="s">
        <v>1589</v>
      </c>
      <c r="B513" s="1" t="s">
        <v>1519</v>
      </c>
      <c r="C513" s="1">
        <v>11</v>
      </c>
      <c r="D513" s="4">
        <v>39856.090277777781</v>
      </c>
      <c r="E513" s="1" t="s">
        <v>14</v>
      </c>
      <c r="F513" s="1"/>
      <c r="G513" s="1"/>
      <c r="H513" s="1"/>
      <c r="I513" s="1"/>
      <c r="J513" s="1"/>
      <c r="K513" s="1"/>
      <c r="L513" s="1"/>
      <c r="M513" s="1"/>
      <c r="N513" s="1"/>
      <c r="O513" s="1"/>
      <c r="P513" s="1"/>
      <c r="Q513" s="1"/>
      <c r="R513" s="1"/>
      <c r="S513" s="1"/>
    </row>
    <row r="514" spans="1:19" ht="33.75" customHeight="1">
      <c r="A514" s="1" t="s">
        <v>12</v>
      </c>
      <c r="B514" s="1" t="s">
        <v>1519</v>
      </c>
      <c r="C514" s="1">
        <v>11</v>
      </c>
      <c r="D514" s="4">
        <v>39856.09888888889</v>
      </c>
      <c r="E514" s="1" t="s">
        <v>175</v>
      </c>
      <c r="F514" s="1"/>
      <c r="G514" s="1"/>
      <c r="H514" s="1"/>
      <c r="I514" s="1"/>
      <c r="J514" s="1"/>
      <c r="K514" s="1"/>
      <c r="L514" s="1"/>
      <c r="M514" s="1"/>
      <c r="N514" s="1"/>
      <c r="O514" s="1"/>
      <c r="P514" s="1"/>
      <c r="Q514" s="1"/>
      <c r="R514" s="1"/>
      <c r="S514" s="1"/>
    </row>
    <row r="515" spans="1:19" ht="33.75" customHeight="1">
      <c r="A515" s="1" t="s">
        <v>1594</v>
      </c>
      <c r="B515" s="1" t="s">
        <v>1196</v>
      </c>
      <c r="C515" s="1">
        <v>10</v>
      </c>
      <c r="D515" s="4">
        <v>39856.163888888892</v>
      </c>
      <c r="E515" s="1" t="s">
        <v>54</v>
      </c>
      <c r="F515" s="1"/>
      <c r="G515" s="1"/>
      <c r="H515" s="1"/>
      <c r="I515" s="1"/>
      <c r="J515" s="1"/>
      <c r="K515" s="1"/>
      <c r="L515" s="1"/>
      <c r="M515" s="1"/>
      <c r="N515" s="1"/>
      <c r="O515" s="1"/>
      <c r="P515" s="1"/>
      <c r="Q515" s="1"/>
      <c r="R515" s="1"/>
      <c r="S515" s="1"/>
    </row>
    <row r="516" spans="1:19" ht="33.75" customHeight="1">
      <c r="A516" s="1" t="s">
        <v>1596</v>
      </c>
      <c r="B516" s="1" t="s">
        <v>1519</v>
      </c>
      <c r="C516" s="1">
        <v>11</v>
      </c>
      <c r="D516" s="4">
        <v>39856.188888888886</v>
      </c>
      <c r="E516" s="1" t="s">
        <v>1597</v>
      </c>
      <c r="F516" s="1"/>
      <c r="G516" s="1"/>
      <c r="H516" s="1"/>
      <c r="I516" s="1"/>
      <c r="J516" s="1"/>
      <c r="K516" s="1"/>
      <c r="L516" s="1"/>
      <c r="M516" s="1"/>
      <c r="N516" s="1"/>
      <c r="O516" s="1"/>
      <c r="P516" s="1"/>
      <c r="Q516" s="1"/>
      <c r="R516" s="1"/>
      <c r="S516" s="1"/>
    </row>
    <row r="517" spans="1:19" ht="33.75" customHeight="1">
      <c r="A517" s="1" t="s">
        <v>1599</v>
      </c>
      <c r="B517" s="1" t="s">
        <v>1196</v>
      </c>
      <c r="C517" s="1">
        <v>10</v>
      </c>
      <c r="D517" s="4">
        <v>39856.226388888892</v>
      </c>
      <c r="E517" s="1" t="s">
        <v>320</v>
      </c>
      <c r="F517" s="1"/>
      <c r="G517" s="1"/>
      <c r="H517" s="1"/>
      <c r="I517" s="1"/>
      <c r="J517" s="1"/>
      <c r="K517" s="1"/>
      <c r="L517" s="1"/>
      <c r="M517" s="1"/>
      <c r="N517" s="1"/>
      <c r="O517" s="1"/>
      <c r="P517" s="1"/>
      <c r="Q517" s="1"/>
      <c r="R517" s="1"/>
      <c r="S517" s="1"/>
    </row>
    <row r="518" spans="1:19" ht="33.75" customHeight="1">
      <c r="A518" s="1" t="s">
        <v>1601</v>
      </c>
      <c r="B518" s="1" t="s">
        <v>1196</v>
      </c>
      <c r="C518" s="1">
        <v>10</v>
      </c>
      <c r="D518" s="4">
        <v>39856.269444444442</v>
      </c>
      <c r="E518" s="1" t="s">
        <v>54</v>
      </c>
      <c r="F518" s="1"/>
      <c r="G518" s="1"/>
      <c r="H518" s="1"/>
      <c r="I518" s="1"/>
      <c r="J518" s="1"/>
      <c r="K518" s="1"/>
      <c r="L518" s="1"/>
      <c r="M518" s="1"/>
      <c r="N518" s="1"/>
      <c r="O518" s="1"/>
      <c r="P518" s="1"/>
      <c r="Q518" s="1"/>
      <c r="R518" s="1"/>
      <c r="S518" s="1"/>
    </row>
    <row r="519" spans="1:19" ht="33.75" customHeight="1">
      <c r="A519" s="1" t="s">
        <v>1604</v>
      </c>
      <c r="B519" s="1" t="s">
        <v>1196</v>
      </c>
      <c r="C519" s="1">
        <v>10</v>
      </c>
      <c r="D519" s="4">
        <v>39856.271527777775</v>
      </c>
      <c r="E519" s="1" t="s">
        <v>54</v>
      </c>
      <c r="F519" s="1"/>
      <c r="G519" s="1"/>
      <c r="H519" s="1"/>
      <c r="I519" s="1"/>
      <c r="J519" s="1"/>
      <c r="K519" s="1"/>
      <c r="L519" s="1"/>
      <c r="M519" s="1"/>
      <c r="N519" s="1"/>
      <c r="O519" s="1"/>
      <c r="P519" s="1"/>
      <c r="Q519" s="1"/>
      <c r="R519" s="1"/>
      <c r="S519" s="1"/>
    </row>
    <row r="520" spans="1:19" ht="33.75" customHeight="1">
      <c r="A520" s="1" t="s">
        <v>1608</v>
      </c>
      <c r="B520" s="1" t="s">
        <v>1196</v>
      </c>
      <c r="C520" s="1">
        <v>10</v>
      </c>
      <c r="D520" s="4">
        <v>39856.293749999997</v>
      </c>
      <c r="E520" s="1" t="s">
        <v>1528</v>
      </c>
      <c r="F520" s="1"/>
      <c r="G520" s="1"/>
      <c r="H520" s="1"/>
      <c r="I520" s="1"/>
      <c r="J520" s="1"/>
      <c r="K520" s="1"/>
      <c r="L520" s="1"/>
      <c r="M520" s="1"/>
      <c r="N520" s="1"/>
      <c r="O520" s="1"/>
      <c r="P520" s="1"/>
      <c r="Q520" s="1"/>
      <c r="R520" s="1"/>
      <c r="S520" s="1"/>
    </row>
    <row r="521" spans="1:19" ht="33.75" customHeight="1">
      <c r="A521" s="1" t="s">
        <v>1611</v>
      </c>
      <c r="B521" s="1" t="s">
        <v>846</v>
      </c>
      <c r="C521" s="1">
        <v>8</v>
      </c>
      <c r="D521" s="4">
        <v>39856.313888888886</v>
      </c>
      <c r="E521" s="1" t="s">
        <v>84</v>
      </c>
      <c r="F521" s="1"/>
      <c r="G521" s="1"/>
      <c r="H521" s="1"/>
      <c r="I521" s="1"/>
      <c r="J521" s="1"/>
      <c r="K521" s="1"/>
      <c r="L521" s="1"/>
      <c r="M521" s="1"/>
      <c r="N521" s="1"/>
      <c r="O521" s="1"/>
      <c r="P521" s="1"/>
      <c r="Q521" s="1"/>
      <c r="R521" s="1"/>
      <c r="S521" s="1"/>
    </row>
    <row r="522" spans="1:19" ht="33.75" customHeight="1">
      <c r="A522" s="1" t="s">
        <v>1614</v>
      </c>
      <c r="B522" s="1" t="s">
        <v>846</v>
      </c>
      <c r="C522" s="1">
        <v>8</v>
      </c>
      <c r="D522" s="4">
        <v>39856.32708333333</v>
      </c>
      <c r="E522" s="1" t="s">
        <v>84</v>
      </c>
      <c r="F522" s="1"/>
      <c r="G522" s="1"/>
      <c r="H522" s="1"/>
      <c r="I522" s="1"/>
      <c r="J522" s="1"/>
      <c r="K522" s="1"/>
      <c r="L522" s="1"/>
      <c r="M522" s="1"/>
      <c r="N522" s="1"/>
      <c r="O522" s="1"/>
      <c r="P522" s="1"/>
      <c r="Q522" s="1"/>
      <c r="R522" s="1"/>
      <c r="S522" s="1"/>
    </row>
    <row r="523" spans="1:19" ht="33.75" customHeight="1">
      <c r="A523" s="1" t="s">
        <v>1617</v>
      </c>
      <c r="B523" s="1" t="s">
        <v>1519</v>
      </c>
      <c r="C523" s="1">
        <v>11</v>
      </c>
      <c r="D523" s="4">
        <v>39856.34652777778</v>
      </c>
      <c r="E523" s="1" t="s">
        <v>1618</v>
      </c>
      <c r="F523" s="1"/>
      <c r="G523" s="1"/>
      <c r="H523" s="1"/>
      <c r="I523" s="1"/>
      <c r="J523" s="1"/>
      <c r="K523" s="1"/>
      <c r="L523" s="1"/>
      <c r="M523" s="1"/>
      <c r="N523" s="1"/>
      <c r="O523" s="1"/>
      <c r="P523" s="1"/>
      <c r="Q523" s="1"/>
      <c r="R523" s="1"/>
      <c r="S523" s="1"/>
    </row>
    <row r="524" spans="1:19" ht="33.75" customHeight="1">
      <c r="A524" s="1" t="s">
        <v>1621</v>
      </c>
      <c r="B524" s="1" t="s">
        <v>1196</v>
      </c>
      <c r="C524" s="1">
        <v>10</v>
      </c>
      <c r="D524" s="4">
        <v>39856.40902777778</v>
      </c>
      <c r="E524" s="1" t="s">
        <v>255</v>
      </c>
      <c r="F524" s="1"/>
      <c r="G524" s="1"/>
      <c r="H524" s="1"/>
      <c r="I524" s="1"/>
      <c r="J524" s="1"/>
      <c r="K524" s="1"/>
      <c r="L524" s="1"/>
      <c r="M524" s="1"/>
      <c r="N524" s="1"/>
      <c r="O524" s="1"/>
      <c r="P524" s="1"/>
      <c r="Q524" s="1"/>
      <c r="R524" s="1"/>
      <c r="S524" s="1"/>
    </row>
    <row r="525" spans="1:19" ht="33.75" customHeight="1">
      <c r="A525" s="1" t="s">
        <v>1624</v>
      </c>
      <c r="B525" s="1" t="s">
        <v>1196</v>
      </c>
      <c r="C525" s="1">
        <v>10</v>
      </c>
      <c r="D525" s="4">
        <v>39856.418749999997</v>
      </c>
      <c r="E525" s="1" t="s">
        <v>54</v>
      </c>
      <c r="F525" s="1"/>
      <c r="G525" s="1"/>
      <c r="H525" s="1"/>
      <c r="I525" s="1"/>
      <c r="J525" s="1"/>
      <c r="K525" s="1"/>
      <c r="L525" s="1"/>
      <c r="M525" s="1"/>
      <c r="N525" s="1"/>
      <c r="O525" s="1"/>
      <c r="P525" s="1"/>
      <c r="Q525" s="1"/>
      <c r="R525" s="1"/>
      <c r="S525" s="1"/>
    </row>
    <row r="526" spans="1:19" ht="33.75" customHeight="1">
      <c r="A526" s="1" t="s">
        <v>1626</v>
      </c>
      <c r="B526" s="1" t="s">
        <v>1196</v>
      </c>
      <c r="C526" s="1">
        <v>10</v>
      </c>
      <c r="D526" s="4">
        <v>39856.418749999997</v>
      </c>
      <c r="E526" s="1" t="s">
        <v>255</v>
      </c>
      <c r="F526" s="1"/>
      <c r="G526" s="1"/>
      <c r="H526" s="1"/>
      <c r="I526" s="1"/>
      <c r="J526" s="1"/>
      <c r="K526" s="1"/>
      <c r="L526" s="1"/>
      <c r="M526" s="1"/>
      <c r="N526" s="1"/>
      <c r="O526" s="1"/>
      <c r="P526" s="1"/>
      <c r="Q526" s="1"/>
      <c r="R526" s="1"/>
      <c r="S526" s="1"/>
    </row>
    <row r="527" spans="1:19" ht="33.75" customHeight="1">
      <c r="A527" s="1" t="s">
        <v>1629</v>
      </c>
      <c r="B527" s="1" t="s">
        <v>1196</v>
      </c>
      <c r="C527" s="1">
        <v>10</v>
      </c>
      <c r="D527" s="4">
        <v>39856.424305555556</v>
      </c>
      <c r="E527" s="1" t="s">
        <v>255</v>
      </c>
      <c r="F527" s="1"/>
      <c r="G527" s="1"/>
      <c r="H527" s="1"/>
      <c r="I527" s="1"/>
      <c r="J527" s="1"/>
      <c r="K527" s="1"/>
      <c r="L527" s="1"/>
      <c r="M527" s="1"/>
      <c r="N527" s="1"/>
      <c r="O527" s="1"/>
      <c r="P527" s="1"/>
      <c r="Q527" s="1"/>
      <c r="R527" s="1"/>
      <c r="S527" s="1"/>
    </row>
    <row r="528" spans="1:19" ht="33.75" customHeight="1">
      <c r="A528" s="1" t="s">
        <v>1632</v>
      </c>
      <c r="B528" s="1" t="s">
        <v>846</v>
      </c>
      <c r="C528" s="1">
        <v>8</v>
      </c>
      <c r="D528" s="4">
        <v>39856.448611111111</v>
      </c>
      <c r="E528" s="1" t="s">
        <v>474</v>
      </c>
      <c r="F528" s="1"/>
      <c r="G528" s="1"/>
      <c r="H528" s="1"/>
      <c r="I528" s="1"/>
      <c r="J528" s="1"/>
      <c r="K528" s="1"/>
      <c r="L528" s="1"/>
      <c r="M528" s="1"/>
      <c r="N528" s="1"/>
      <c r="O528" s="1"/>
      <c r="P528" s="1"/>
      <c r="Q528" s="1"/>
      <c r="R528" s="1"/>
      <c r="S528" s="1"/>
    </row>
    <row r="529" spans="1:19" ht="33.75" customHeight="1">
      <c r="A529" s="1" t="s">
        <v>1634</v>
      </c>
      <c r="B529" s="1" t="s">
        <v>680</v>
      </c>
      <c r="C529" s="1">
        <v>7</v>
      </c>
      <c r="D529" s="4">
        <v>39856.454861111109</v>
      </c>
      <c r="E529" s="1" t="s">
        <v>830</v>
      </c>
      <c r="F529" s="1"/>
      <c r="G529" s="1"/>
      <c r="H529" s="1"/>
      <c r="I529" s="1"/>
      <c r="J529" s="1"/>
      <c r="K529" s="1"/>
      <c r="L529" s="1"/>
      <c r="M529" s="1"/>
      <c r="N529" s="1"/>
      <c r="O529" s="1"/>
      <c r="P529" s="1"/>
      <c r="Q529" s="1"/>
      <c r="R529" s="1"/>
      <c r="S529" s="1"/>
    </row>
    <row r="530" spans="1:19" ht="33.75" customHeight="1">
      <c r="A530" s="1" t="s">
        <v>1637</v>
      </c>
      <c r="B530" s="1" t="s">
        <v>846</v>
      </c>
      <c r="C530" s="1">
        <v>8</v>
      </c>
      <c r="D530" s="4">
        <v>39856.480555555558</v>
      </c>
      <c r="E530" s="1" t="s">
        <v>474</v>
      </c>
      <c r="F530" s="1"/>
      <c r="G530" s="1"/>
      <c r="H530" s="1"/>
      <c r="I530" s="1"/>
      <c r="J530" s="1"/>
      <c r="K530" s="1"/>
      <c r="L530" s="1"/>
      <c r="M530" s="1"/>
      <c r="N530" s="1"/>
      <c r="O530" s="1"/>
      <c r="P530" s="1"/>
      <c r="Q530" s="1"/>
      <c r="R530" s="1"/>
      <c r="S530" s="1"/>
    </row>
    <row r="531" spans="1:19" ht="33.75" customHeight="1">
      <c r="A531" s="1" t="s">
        <v>1639</v>
      </c>
      <c r="B531" s="1" t="s">
        <v>1519</v>
      </c>
      <c r="C531" s="1">
        <v>11</v>
      </c>
      <c r="D531" s="4">
        <v>39856.493750000001</v>
      </c>
      <c r="E531" s="1" t="s">
        <v>54</v>
      </c>
      <c r="F531" s="1"/>
      <c r="G531" s="1"/>
      <c r="H531" s="1"/>
      <c r="I531" s="1"/>
      <c r="J531" s="1"/>
      <c r="K531" s="1"/>
      <c r="L531" s="1"/>
      <c r="M531" s="1"/>
      <c r="N531" s="1"/>
      <c r="O531" s="1"/>
      <c r="P531" s="1"/>
      <c r="Q531" s="1"/>
      <c r="R531" s="1"/>
      <c r="S531" s="1"/>
    </row>
    <row r="532" spans="1:19" ht="33.75" customHeight="1">
      <c r="A532" s="1" t="s">
        <v>1642</v>
      </c>
      <c r="B532" s="1" t="s">
        <v>846</v>
      </c>
      <c r="C532" s="1">
        <v>8</v>
      </c>
      <c r="D532" s="4">
        <v>39856.543749999997</v>
      </c>
      <c r="E532" s="1" t="s">
        <v>381</v>
      </c>
      <c r="F532" s="1"/>
      <c r="G532" s="1"/>
      <c r="H532" s="1"/>
      <c r="I532" s="1"/>
      <c r="J532" s="1"/>
      <c r="K532" s="1"/>
      <c r="L532" s="1"/>
      <c r="M532" s="1"/>
      <c r="N532" s="1"/>
      <c r="O532" s="1"/>
      <c r="P532" s="1"/>
      <c r="Q532" s="1"/>
      <c r="R532" s="1"/>
      <c r="S532" s="1"/>
    </row>
    <row r="533" spans="1:19" ht="33.75" customHeight="1">
      <c r="A533" s="1" t="s">
        <v>1644</v>
      </c>
      <c r="B533" s="1" t="s">
        <v>1519</v>
      </c>
      <c r="C533" s="1">
        <v>11</v>
      </c>
      <c r="D533" s="4">
        <v>39856.550694444442</v>
      </c>
      <c r="E533" s="1" t="s">
        <v>54</v>
      </c>
      <c r="F533" s="1"/>
      <c r="G533" s="1"/>
      <c r="H533" s="1"/>
      <c r="I533" s="1"/>
      <c r="J533" s="1"/>
      <c r="K533" s="1"/>
      <c r="L533" s="1"/>
      <c r="M533" s="1"/>
      <c r="N533" s="1"/>
      <c r="O533" s="1"/>
      <c r="P533" s="1"/>
      <c r="Q533" s="1"/>
      <c r="R533" s="1"/>
      <c r="S533" s="1"/>
    </row>
    <row r="534" spans="1:19" ht="33.75" customHeight="1">
      <c r="A534" s="1" t="s">
        <v>1647</v>
      </c>
      <c r="B534" s="1" t="s">
        <v>1196</v>
      </c>
      <c r="C534" s="1">
        <v>10</v>
      </c>
      <c r="D534" s="4">
        <v>39856.557638888888</v>
      </c>
      <c r="E534" s="1" t="s">
        <v>14</v>
      </c>
      <c r="F534" s="1"/>
      <c r="G534" s="1"/>
      <c r="H534" s="1"/>
      <c r="I534" s="1"/>
      <c r="J534" s="1"/>
      <c r="K534" s="1"/>
      <c r="L534" s="1"/>
      <c r="M534" s="1"/>
      <c r="N534" s="1"/>
      <c r="O534" s="1"/>
      <c r="P534" s="1"/>
      <c r="Q534" s="1"/>
      <c r="R534" s="1"/>
      <c r="S534" s="1"/>
    </row>
    <row r="535" spans="1:19" ht="33.75" customHeight="1">
      <c r="A535" s="1" t="s">
        <v>1650</v>
      </c>
      <c r="B535" s="1" t="s">
        <v>846</v>
      </c>
      <c r="C535" s="1">
        <v>8</v>
      </c>
      <c r="D535" s="4">
        <v>39856.561805555553</v>
      </c>
      <c r="E535" s="1" t="s">
        <v>84</v>
      </c>
      <c r="F535" s="1"/>
      <c r="G535" s="1"/>
      <c r="H535" s="1"/>
      <c r="I535" s="1"/>
      <c r="J535" s="1"/>
      <c r="K535" s="1"/>
      <c r="L535" s="1"/>
      <c r="M535" s="1"/>
      <c r="N535" s="1"/>
      <c r="O535" s="1"/>
      <c r="P535" s="1"/>
      <c r="Q535" s="1"/>
      <c r="R535" s="1"/>
      <c r="S535" s="1"/>
    </row>
    <row r="536" spans="1:19" ht="33.75" customHeight="1">
      <c r="A536" s="1" t="s">
        <v>1653</v>
      </c>
      <c r="B536" s="1" t="s">
        <v>846</v>
      </c>
      <c r="C536" s="1">
        <v>8</v>
      </c>
      <c r="D536" s="4">
        <v>39856.5625</v>
      </c>
      <c r="E536" s="1" t="s">
        <v>54</v>
      </c>
      <c r="F536" s="1"/>
      <c r="G536" s="1"/>
      <c r="H536" s="1"/>
      <c r="I536" s="1"/>
      <c r="J536" s="1"/>
      <c r="K536" s="1"/>
      <c r="L536" s="1"/>
      <c r="M536" s="1"/>
      <c r="N536" s="1"/>
      <c r="O536" s="1"/>
      <c r="P536" s="1"/>
      <c r="Q536" s="1"/>
      <c r="R536" s="1"/>
      <c r="S536" s="1"/>
    </row>
    <row r="537" spans="1:19" ht="33.75" customHeight="1">
      <c r="A537" s="1" t="s">
        <v>1655</v>
      </c>
      <c r="B537" s="1" t="s">
        <v>1519</v>
      </c>
      <c r="C537" s="1">
        <v>11</v>
      </c>
      <c r="D537" s="4">
        <v>39856.569444444445</v>
      </c>
      <c r="E537" s="1" t="s">
        <v>772</v>
      </c>
      <c r="F537" s="1"/>
      <c r="G537" s="1"/>
      <c r="H537" s="1"/>
      <c r="I537" s="1"/>
      <c r="J537" s="1"/>
      <c r="K537" s="1"/>
      <c r="L537" s="1"/>
      <c r="M537" s="1"/>
      <c r="N537" s="1"/>
      <c r="O537" s="1"/>
      <c r="P537" s="1"/>
      <c r="Q537" s="1"/>
      <c r="R537" s="1"/>
      <c r="S537" s="1"/>
    </row>
    <row r="538" spans="1:19" ht="33.75" customHeight="1">
      <c r="A538" s="1" t="s">
        <v>1658</v>
      </c>
      <c r="B538" s="1" t="s">
        <v>1196</v>
      </c>
      <c r="C538" s="1">
        <v>10</v>
      </c>
      <c r="D538" s="4">
        <v>39856.57708333333</v>
      </c>
      <c r="E538" s="1" t="s">
        <v>14</v>
      </c>
      <c r="F538" s="1"/>
      <c r="G538" s="1"/>
      <c r="H538" s="1"/>
      <c r="I538" s="1"/>
      <c r="J538" s="1"/>
      <c r="K538" s="1"/>
      <c r="L538" s="1"/>
      <c r="M538" s="1"/>
      <c r="N538" s="1"/>
      <c r="O538" s="1"/>
      <c r="P538" s="1"/>
      <c r="Q538" s="1"/>
      <c r="R538" s="1"/>
      <c r="S538" s="1"/>
    </row>
    <row r="539" spans="1:19" ht="33.75" customHeight="1">
      <c r="A539" s="1" t="s">
        <v>1662</v>
      </c>
      <c r="B539" s="1" t="s">
        <v>1519</v>
      </c>
      <c r="C539" s="1">
        <v>11</v>
      </c>
      <c r="D539" s="4">
        <v>39856.580555555556</v>
      </c>
      <c r="E539" s="1" t="s">
        <v>54</v>
      </c>
      <c r="F539" s="1"/>
      <c r="G539" s="1"/>
      <c r="H539" s="1"/>
      <c r="I539" s="1"/>
      <c r="J539" s="1"/>
      <c r="K539" s="1"/>
      <c r="L539" s="1"/>
      <c r="M539" s="1"/>
      <c r="N539" s="1"/>
      <c r="O539" s="1"/>
      <c r="P539" s="1"/>
      <c r="Q539" s="1"/>
      <c r="R539" s="1"/>
      <c r="S539" s="1"/>
    </row>
    <row r="540" spans="1:19" ht="33.75" customHeight="1">
      <c r="A540" s="1" t="s">
        <v>1666</v>
      </c>
      <c r="B540" s="1" t="s">
        <v>846</v>
      </c>
      <c r="C540" s="1">
        <v>8</v>
      </c>
      <c r="D540" s="4">
        <v>39856.580555555556</v>
      </c>
      <c r="E540" s="1" t="s">
        <v>84</v>
      </c>
      <c r="F540" s="1"/>
      <c r="G540" s="1"/>
      <c r="H540" s="1"/>
      <c r="I540" s="1"/>
      <c r="J540" s="1"/>
      <c r="K540" s="1"/>
      <c r="L540" s="1"/>
      <c r="M540" s="1"/>
      <c r="N540" s="1"/>
      <c r="O540" s="1"/>
      <c r="P540" s="1"/>
      <c r="Q540" s="1"/>
      <c r="R540" s="1"/>
      <c r="S540" s="1"/>
    </row>
    <row r="541" spans="1:19" ht="33.75" customHeight="1">
      <c r="A541" s="1" t="s">
        <v>1669</v>
      </c>
      <c r="B541" s="1" t="s">
        <v>1519</v>
      </c>
      <c r="C541" s="1">
        <v>11</v>
      </c>
      <c r="D541" s="4">
        <v>39856.587500000001</v>
      </c>
      <c r="E541" s="1" t="s">
        <v>54</v>
      </c>
      <c r="F541" s="1"/>
      <c r="G541" s="1"/>
      <c r="H541" s="1"/>
      <c r="I541" s="1"/>
      <c r="J541" s="1"/>
      <c r="K541" s="1"/>
      <c r="L541" s="1"/>
      <c r="M541" s="1"/>
      <c r="N541" s="1"/>
      <c r="O541" s="1"/>
      <c r="P541" s="1"/>
      <c r="Q541" s="1"/>
      <c r="R541" s="1"/>
      <c r="S541" s="1"/>
    </row>
    <row r="542" spans="1:19" ht="33.75" customHeight="1">
      <c r="A542" s="1" t="s">
        <v>1674</v>
      </c>
      <c r="B542" s="1" t="s">
        <v>846</v>
      </c>
      <c r="C542" s="1">
        <v>8</v>
      </c>
      <c r="D542" s="4">
        <v>39856.698611111111</v>
      </c>
      <c r="E542" s="1" t="s">
        <v>1089</v>
      </c>
      <c r="F542" s="1"/>
      <c r="G542" s="1"/>
      <c r="H542" s="1"/>
      <c r="I542" s="1"/>
      <c r="J542" s="1"/>
      <c r="K542" s="1"/>
      <c r="L542" s="1"/>
      <c r="M542" s="1"/>
      <c r="N542" s="1"/>
      <c r="O542" s="1"/>
      <c r="P542" s="1"/>
      <c r="Q542" s="1"/>
      <c r="R542" s="1"/>
      <c r="S542" s="1"/>
    </row>
    <row r="543" spans="1:19" ht="33.75" customHeight="1">
      <c r="A543" s="1" t="s">
        <v>1677</v>
      </c>
      <c r="B543" s="1" t="s">
        <v>1196</v>
      </c>
      <c r="C543" s="1">
        <v>10</v>
      </c>
      <c r="D543" s="4">
        <v>39856.729861111111</v>
      </c>
      <c r="E543" s="1" t="s">
        <v>14</v>
      </c>
      <c r="F543" s="1"/>
      <c r="G543" s="1"/>
      <c r="H543" s="1"/>
      <c r="I543" s="1"/>
      <c r="J543" s="1"/>
      <c r="K543" s="1"/>
      <c r="L543" s="1"/>
      <c r="M543" s="1"/>
      <c r="N543" s="1"/>
      <c r="O543" s="1"/>
      <c r="P543" s="1"/>
      <c r="Q543" s="1"/>
      <c r="R543" s="1"/>
      <c r="S543" s="1"/>
    </row>
    <row r="544" spans="1:19" ht="33.75" customHeight="1">
      <c r="A544" s="1" t="s">
        <v>1680</v>
      </c>
      <c r="B544" s="1" t="s">
        <v>846</v>
      </c>
      <c r="C544" s="1">
        <v>8</v>
      </c>
      <c r="D544" s="4">
        <v>39856.768750000003</v>
      </c>
      <c r="E544" s="1" t="s">
        <v>84</v>
      </c>
      <c r="F544" s="1"/>
      <c r="G544" s="1"/>
      <c r="H544" s="1"/>
      <c r="I544" s="1"/>
      <c r="J544" s="1"/>
      <c r="K544" s="1"/>
      <c r="L544" s="1"/>
      <c r="M544" s="1"/>
      <c r="N544" s="1"/>
      <c r="O544" s="1"/>
      <c r="P544" s="1"/>
      <c r="Q544" s="1"/>
      <c r="R544" s="1"/>
      <c r="S544" s="1"/>
    </row>
    <row r="545" spans="1:19" ht="33.75" customHeight="1">
      <c r="A545" s="1" t="s">
        <v>1683</v>
      </c>
      <c r="B545" s="1" t="s">
        <v>1519</v>
      </c>
      <c r="C545" s="1">
        <v>11</v>
      </c>
      <c r="D545" s="4">
        <v>39856.779861111114</v>
      </c>
      <c r="E545" s="1" t="s">
        <v>1618</v>
      </c>
      <c r="F545" s="1"/>
      <c r="G545" s="1"/>
      <c r="H545" s="1"/>
      <c r="I545" s="1"/>
      <c r="J545" s="1"/>
      <c r="K545" s="1"/>
      <c r="L545" s="1"/>
      <c r="M545" s="1"/>
      <c r="N545" s="1"/>
      <c r="O545" s="1"/>
      <c r="P545" s="1"/>
      <c r="Q545" s="1"/>
      <c r="R545" s="1"/>
      <c r="S545" s="1"/>
    </row>
    <row r="546" spans="1:19" ht="33.75" customHeight="1">
      <c r="A546" s="1" t="s">
        <v>1686</v>
      </c>
      <c r="B546" s="1" t="s">
        <v>846</v>
      </c>
      <c r="C546" s="1">
        <v>8</v>
      </c>
      <c r="D546" s="4">
        <v>39856.836111111108</v>
      </c>
      <c r="E546" s="1" t="s">
        <v>1089</v>
      </c>
      <c r="F546" s="1"/>
      <c r="G546" s="1"/>
      <c r="H546" s="1"/>
      <c r="I546" s="1"/>
      <c r="J546" s="1"/>
      <c r="K546" s="1"/>
      <c r="L546" s="1"/>
      <c r="M546" s="1"/>
      <c r="N546" s="1"/>
      <c r="O546" s="1"/>
      <c r="P546" s="1"/>
      <c r="Q546" s="1"/>
      <c r="R546" s="1"/>
      <c r="S546" s="1"/>
    </row>
    <row r="547" spans="1:19" ht="33.75" customHeight="1">
      <c r="A547" s="1" t="s">
        <v>1688</v>
      </c>
      <c r="B547" s="1" t="s">
        <v>846</v>
      </c>
      <c r="C547" s="1">
        <v>8</v>
      </c>
      <c r="D547" s="4">
        <v>39856.849305555559</v>
      </c>
      <c r="E547" s="1" t="s">
        <v>84</v>
      </c>
      <c r="F547" s="1"/>
      <c r="G547" s="1"/>
      <c r="H547" s="1"/>
      <c r="I547" s="1"/>
      <c r="J547" s="1"/>
      <c r="K547" s="1"/>
      <c r="L547" s="1"/>
      <c r="M547" s="1"/>
      <c r="N547" s="1"/>
      <c r="O547" s="1"/>
      <c r="P547" s="1"/>
      <c r="Q547" s="1"/>
      <c r="R547" s="1"/>
      <c r="S547" s="1"/>
    </row>
    <row r="548" spans="1:19" ht="33.75" customHeight="1">
      <c r="A548" s="1" t="s">
        <v>1692</v>
      </c>
      <c r="B548" s="1" t="s">
        <v>846</v>
      </c>
      <c r="C548" s="1">
        <v>8</v>
      </c>
      <c r="D548" s="4">
        <v>39856.863888888889</v>
      </c>
      <c r="E548" s="1" t="s">
        <v>54</v>
      </c>
      <c r="F548" s="1"/>
      <c r="G548" s="1"/>
      <c r="H548" s="1"/>
      <c r="I548" s="1"/>
      <c r="J548" s="1"/>
      <c r="K548" s="1"/>
      <c r="L548" s="1"/>
      <c r="M548" s="1"/>
      <c r="N548" s="1"/>
      <c r="O548" s="1"/>
      <c r="P548" s="1"/>
      <c r="Q548" s="1"/>
      <c r="R548" s="1"/>
      <c r="S548" s="1"/>
    </row>
    <row r="549" spans="1:19" ht="33.75" customHeight="1">
      <c r="A549" s="1" t="s">
        <v>1695</v>
      </c>
      <c r="B549" s="1" t="s">
        <v>1696</v>
      </c>
      <c r="C549" s="1">
        <v>12</v>
      </c>
      <c r="D549" s="4">
        <v>39857.879166666666</v>
      </c>
      <c r="E549" s="1" t="s">
        <v>1528</v>
      </c>
      <c r="F549" s="1"/>
      <c r="G549" s="1"/>
      <c r="H549" s="1"/>
      <c r="I549" s="1"/>
      <c r="J549" s="1"/>
      <c r="K549" s="1"/>
      <c r="L549" s="1"/>
      <c r="M549" s="1"/>
      <c r="N549" s="1"/>
      <c r="O549" s="1"/>
      <c r="P549" s="1"/>
      <c r="Q549" s="1"/>
      <c r="R549" s="1"/>
      <c r="S549" s="1"/>
    </row>
    <row r="550" spans="1:19" ht="33.75" customHeight="1">
      <c r="A550" s="1" t="s">
        <v>1700</v>
      </c>
      <c r="B550" s="1" t="s">
        <v>1519</v>
      </c>
      <c r="C550" s="1">
        <v>11</v>
      </c>
      <c r="D550" s="4">
        <v>39856.868750000001</v>
      </c>
      <c r="E550" s="1" t="s">
        <v>54</v>
      </c>
      <c r="F550" s="1"/>
      <c r="G550" s="1"/>
      <c r="H550" s="1"/>
      <c r="I550" s="1"/>
      <c r="J550" s="1"/>
      <c r="K550" s="1"/>
      <c r="L550" s="1"/>
      <c r="M550" s="1"/>
      <c r="N550" s="1"/>
      <c r="O550" s="1"/>
      <c r="P550" s="1"/>
      <c r="Q550" s="1"/>
      <c r="R550" s="1"/>
      <c r="S550" s="1"/>
    </row>
    <row r="551" spans="1:19" ht="33.75" customHeight="1">
      <c r="A551" s="1" t="s">
        <v>1703</v>
      </c>
      <c r="B551" s="1" t="s">
        <v>846</v>
      </c>
      <c r="C551" s="1">
        <v>8</v>
      </c>
      <c r="D551" s="4">
        <v>39856.869444444441</v>
      </c>
      <c r="E551" s="1" t="s">
        <v>1089</v>
      </c>
      <c r="F551" s="1"/>
      <c r="G551" s="1"/>
      <c r="H551" s="1"/>
      <c r="I551" s="1"/>
      <c r="J551" s="1"/>
      <c r="K551" s="1"/>
      <c r="L551" s="1"/>
      <c r="M551" s="1"/>
      <c r="N551" s="1"/>
      <c r="O551" s="1"/>
      <c r="P551" s="1"/>
      <c r="Q551" s="1"/>
      <c r="R551" s="1"/>
      <c r="S551" s="1"/>
    </row>
    <row r="552" spans="1:19" ht="33.75" customHeight="1">
      <c r="A552" s="1" t="s">
        <v>1705</v>
      </c>
      <c r="B552" s="1" t="s">
        <v>846</v>
      </c>
      <c r="C552" s="1">
        <v>8</v>
      </c>
      <c r="D552" s="4">
        <v>39856.87777777778</v>
      </c>
      <c r="E552" s="1" t="s">
        <v>1089</v>
      </c>
      <c r="F552" s="1"/>
      <c r="G552" s="1"/>
      <c r="H552" s="1"/>
      <c r="I552" s="1"/>
      <c r="J552" s="1"/>
      <c r="K552" s="1"/>
      <c r="L552" s="1"/>
      <c r="M552" s="1"/>
      <c r="N552" s="1"/>
      <c r="O552" s="1"/>
      <c r="P552" s="1"/>
      <c r="Q552" s="1"/>
      <c r="R552" s="1"/>
      <c r="S552" s="1"/>
    </row>
    <row r="553" spans="1:19" ht="33.75" customHeight="1">
      <c r="A553" s="1" t="s">
        <v>1708</v>
      </c>
      <c r="B553" s="1" t="s">
        <v>846</v>
      </c>
      <c r="C553" s="1">
        <v>8</v>
      </c>
      <c r="D553" s="4">
        <v>39856.883333333331</v>
      </c>
      <c r="E553" s="1" t="s">
        <v>54</v>
      </c>
      <c r="F553" s="1"/>
      <c r="G553" s="1"/>
      <c r="H553" s="1"/>
      <c r="I553" s="1"/>
      <c r="J553" s="1"/>
      <c r="K553" s="1"/>
      <c r="L553" s="1"/>
      <c r="M553" s="1"/>
      <c r="N553" s="1"/>
      <c r="O553" s="1"/>
      <c r="P553" s="1"/>
      <c r="Q553" s="1"/>
      <c r="R553" s="1"/>
      <c r="S553" s="1"/>
    </row>
    <row r="554" spans="1:19" ht="33.75" customHeight="1">
      <c r="A554" s="1" t="s">
        <v>1711</v>
      </c>
      <c r="B554" s="1" t="s">
        <v>846</v>
      </c>
      <c r="C554" s="1">
        <v>8</v>
      </c>
      <c r="D554" s="4">
        <v>39856.950694444444</v>
      </c>
      <c r="E554" s="1" t="s">
        <v>1089</v>
      </c>
      <c r="F554" s="1"/>
      <c r="G554" s="1"/>
      <c r="H554" s="1"/>
      <c r="I554" s="1"/>
      <c r="J554" s="1"/>
      <c r="K554" s="1"/>
      <c r="L554" s="1"/>
      <c r="M554" s="1"/>
      <c r="N554" s="1"/>
      <c r="O554" s="1"/>
      <c r="P554" s="1"/>
      <c r="Q554" s="1"/>
      <c r="R554" s="1"/>
      <c r="S554" s="1"/>
    </row>
    <row r="555" spans="1:19" ht="33.75" customHeight="1">
      <c r="A555" s="1" t="s">
        <v>1713</v>
      </c>
      <c r="B555" s="1" t="s">
        <v>846</v>
      </c>
      <c r="C555" s="1">
        <v>8</v>
      </c>
      <c r="D555" s="4">
        <v>39856.978472222225</v>
      </c>
      <c r="E555" s="1" t="s">
        <v>1089</v>
      </c>
      <c r="F555" s="1"/>
      <c r="G555" s="1"/>
      <c r="H555" s="1"/>
      <c r="I555" s="1"/>
      <c r="J555" s="1"/>
      <c r="K555" s="1"/>
      <c r="L555" s="1"/>
      <c r="M555" s="1"/>
      <c r="N555" s="1"/>
      <c r="O555" s="1"/>
      <c r="P555" s="1"/>
      <c r="Q555" s="1"/>
      <c r="R555" s="1"/>
      <c r="S555" s="1"/>
    </row>
    <row r="556" spans="1:19" ht="33.75" customHeight="1">
      <c r="A556" s="1" t="s">
        <v>1717</v>
      </c>
      <c r="B556" s="1" t="s">
        <v>1196</v>
      </c>
      <c r="C556" s="1">
        <v>10</v>
      </c>
      <c r="D556" s="4">
        <v>39857.01666666667</v>
      </c>
      <c r="E556" s="1" t="s">
        <v>320</v>
      </c>
      <c r="F556" s="1"/>
      <c r="G556" s="1"/>
      <c r="H556" s="1"/>
      <c r="I556" s="1"/>
      <c r="J556" s="1"/>
      <c r="K556" s="1"/>
      <c r="L556" s="1"/>
      <c r="M556" s="1"/>
      <c r="N556" s="1"/>
      <c r="O556" s="1"/>
      <c r="P556" s="1"/>
      <c r="Q556" s="1"/>
      <c r="R556" s="1"/>
      <c r="S556" s="1"/>
    </row>
    <row r="557" spans="1:19" ht="33.75" customHeight="1">
      <c r="A557" s="1" t="s">
        <v>1720</v>
      </c>
      <c r="B557" s="1" t="s">
        <v>1196</v>
      </c>
      <c r="C557" s="1">
        <v>10</v>
      </c>
      <c r="D557" s="4">
        <v>39857.038194444445</v>
      </c>
      <c r="E557" s="1" t="s">
        <v>14</v>
      </c>
      <c r="F557" s="1"/>
      <c r="G557" s="1"/>
      <c r="H557" s="1"/>
      <c r="I557" s="1"/>
      <c r="J557" s="1"/>
      <c r="K557" s="1"/>
      <c r="L557" s="1"/>
      <c r="M557" s="1"/>
      <c r="N557" s="1"/>
      <c r="O557" s="1"/>
      <c r="P557" s="1"/>
      <c r="Q557" s="1"/>
      <c r="R557" s="1"/>
      <c r="S557" s="1"/>
    </row>
    <row r="558" spans="1:19" ht="33.75" customHeight="1">
      <c r="A558" s="1" t="s">
        <v>1724</v>
      </c>
      <c r="B558" s="1" t="s">
        <v>1196</v>
      </c>
      <c r="C558" s="1">
        <v>10</v>
      </c>
      <c r="D558" s="4">
        <v>39857.043749999997</v>
      </c>
      <c r="E558" s="1" t="s">
        <v>14</v>
      </c>
      <c r="F558" s="1"/>
      <c r="G558" s="1"/>
      <c r="H558" s="1"/>
      <c r="I558" s="1"/>
      <c r="J558" s="1"/>
      <c r="K558" s="1"/>
      <c r="L558" s="1"/>
      <c r="M558" s="1"/>
      <c r="N558" s="1"/>
      <c r="O558" s="1"/>
      <c r="P558" s="1"/>
      <c r="Q558" s="1"/>
      <c r="R558" s="1"/>
      <c r="S558" s="1"/>
    </row>
    <row r="559" spans="1:19" ht="33.75" customHeight="1">
      <c r="A559" s="1" t="s">
        <v>1728</v>
      </c>
      <c r="B559" s="1" t="s">
        <v>1196</v>
      </c>
      <c r="C559" s="1">
        <v>10</v>
      </c>
      <c r="D559" s="4">
        <v>39857.065972222219</v>
      </c>
      <c r="E559" s="1" t="s">
        <v>14</v>
      </c>
      <c r="F559" s="1"/>
      <c r="G559" s="1"/>
      <c r="H559" s="1"/>
      <c r="I559" s="1"/>
      <c r="J559" s="1"/>
      <c r="K559" s="1"/>
      <c r="L559" s="1"/>
      <c r="M559" s="1"/>
      <c r="N559" s="1"/>
      <c r="O559" s="1"/>
      <c r="P559" s="1"/>
      <c r="Q559" s="1"/>
      <c r="R559" s="1"/>
      <c r="S559" s="1"/>
    </row>
    <row r="560" spans="1:19" ht="33.75" customHeight="1">
      <c r="A560" s="1" t="s">
        <v>1730</v>
      </c>
      <c r="B560" s="1" t="s">
        <v>846</v>
      </c>
      <c r="C560" s="1">
        <v>8</v>
      </c>
      <c r="D560" s="4">
        <v>39857.184027777781</v>
      </c>
      <c r="E560" s="1" t="s">
        <v>1089</v>
      </c>
      <c r="F560" s="1"/>
      <c r="G560" s="1"/>
      <c r="H560" s="1"/>
      <c r="I560" s="1"/>
      <c r="J560" s="1"/>
      <c r="K560" s="1"/>
      <c r="L560" s="1"/>
      <c r="M560" s="1"/>
      <c r="N560" s="1"/>
      <c r="O560" s="1"/>
      <c r="P560" s="1"/>
      <c r="Q560" s="1"/>
      <c r="R560" s="1"/>
      <c r="S560" s="1"/>
    </row>
    <row r="561" spans="1:19" ht="33.75" customHeight="1">
      <c r="A561" s="1" t="s">
        <v>12</v>
      </c>
      <c r="B561" s="1" t="s">
        <v>1696</v>
      </c>
      <c r="C561" s="1">
        <v>12</v>
      </c>
      <c r="D561" s="4">
        <v>39857.310497685183</v>
      </c>
      <c r="E561" s="1" t="s">
        <v>14</v>
      </c>
      <c r="F561" s="1"/>
      <c r="G561" s="1"/>
      <c r="H561" s="1"/>
      <c r="I561" s="1"/>
      <c r="J561" s="1"/>
      <c r="K561" s="1"/>
      <c r="L561" s="1"/>
      <c r="M561" s="1"/>
      <c r="N561" s="1"/>
      <c r="O561" s="1"/>
      <c r="P561" s="1"/>
      <c r="Q561" s="1"/>
      <c r="R561" s="1"/>
      <c r="S561" s="1"/>
    </row>
    <row r="562" spans="1:19" ht="33.75" customHeight="1">
      <c r="A562" s="1" t="s">
        <v>1735</v>
      </c>
      <c r="B562" s="1" t="s">
        <v>846</v>
      </c>
      <c r="C562" s="1">
        <v>8</v>
      </c>
      <c r="D562" s="4">
        <v>39857.318749999999</v>
      </c>
      <c r="E562" s="1" t="s">
        <v>54</v>
      </c>
      <c r="F562" s="1"/>
      <c r="G562" s="1"/>
      <c r="H562" s="1"/>
      <c r="I562" s="1"/>
      <c r="J562" s="1"/>
      <c r="K562" s="1"/>
      <c r="L562" s="1"/>
      <c r="M562" s="1"/>
      <c r="N562" s="1"/>
      <c r="O562" s="1"/>
      <c r="P562" s="1"/>
      <c r="Q562" s="1"/>
      <c r="R562" s="1"/>
      <c r="S562" s="1"/>
    </row>
    <row r="563" spans="1:19" ht="33.75" customHeight="1">
      <c r="A563" s="1" t="s">
        <v>1737</v>
      </c>
      <c r="B563" s="1" t="s">
        <v>846</v>
      </c>
      <c r="C563" s="1">
        <v>8</v>
      </c>
      <c r="D563" s="4">
        <v>39857.325694444444</v>
      </c>
      <c r="E563" s="1" t="s">
        <v>84</v>
      </c>
      <c r="F563" s="1"/>
      <c r="G563" s="1"/>
      <c r="H563" s="1"/>
      <c r="I563" s="1"/>
      <c r="J563" s="1"/>
      <c r="K563" s="1"/>
      <c r="L563" s="1"/>
      <c r="M563" s="1"/>
      <c r="N563" s="1"/>
      <c r="O563" s="1"/>
      <c r="P563" s="1"/>
      <c r="Q563" s="1"/>
      <c r="R563" s="1"/>
      <c r="S563" s="1"/>
    </row>
    <row r="564" spans="1:19" ht="33.75" customHeight="1">
      <c r="A564" s="1" t="s">
        <v>1740</v>
      </c>
      <c r="B564" s="1" t="s">
        <v>846</v>
      </c>
      <c r="C564" s="1">
        <v>8</v>
      </c>
      <c r="D564" s="4">
        <v>39857.366666666669</v>
      </c>
      <c r="E564" s="1" t="s">
        <v>474</v>
      </c>
      <c r="F564" s="1"/>
      <c r="G564" s="1"/>
      <c r="H564" s="1"/>
      <c r="I564" s="1"/>
      <c r="J564" s="1"/>
      <c r="K564" s="1"/>
      <c r="L564" s="1"/>
      <c r="M564" s="1"/>
      <c r="N564" s="1"/>
      <c r="O564" s="1"/>
      <c r="P564" s="1"/>
      <c r="Q564" s="1"/>
      <c r="R564" s="1"/>
      <c r="S564" s="1"/>
    </row>
    <row r="565" spans="1:19" ht="33.75" customHeight="1">
      <c r="A565" s="1" t="s">
        <v>1743</v>
      </c>
      <c r="B565" s="1" t="s">
        <v>846</v>
      </c>
      <c r="C565" s="1">
        <v>8</v>
      </c>
      <c r="D565" s="4">
        <v>39857.367361111108</v>
      </c>
      <c r="E565" s="1" t="s">
        <v>474</v>
      </c>
      <c r="F565" s="1"/>
      <c r="G565" s="1"/>
      <c r="H565" s="1"/>
      <c r="I565" s="1"/>
      <c r="J565" s="1"/>
      <c r="K565" s="1"/>
      <c r="L565" s="1"/>
      <c r="M565" s="1"/>
      <c r="N565" s="1"/>
      <c r="O565" s="1"/>
      <c r="P565" s="1"/>
      <c r="Q565" s="1"/>
      <c r="R565" s="1"/>
      <c r="S565" s="1"/>
    </row>
    <row r="566" spans="1:19" ht="33.75" customHeight="1">
      <c r="A566" s="1" t="s">
        <v>1746</v>
      </c>
      <c r="B566" s="1" t="s">
        <v>1196</v>
      </c>
      <c r="C566" s="1">
        <v>10</v>
      </c>
      <c r="D566" s="4">
        <v>39857.46875</v>
      </c>
      <c r="E566" s="1" t="s">
        <v>255</v>
      </c>
      <c r="F566" s="1"/>
      <c r="G566" s="1"/>
      <c r="H566" s="1"/>
      <c r="I566" s="1"/>
      <c r="J566" s="1"/>
      <c r="K566" s="1"/>
      <c r="L566" s="1"/>
      <c r="M566" s="1"/>
      <c r="N566" s="1"/>
      <c r="O566" s="1"/>
      <c r="P566" s="1"/>
      <c r="Q566" s="1"/>
      <c r="R566" s="1"/>
      <c r="S566" s="1"/>
    </row>
    <row r="567" spans="1:19" ht="33.75" customHeight="1">
      <c r="A567" s="1" t="s">
        <v>1749</v>
      </c>
      <c r="B567" s="1" t="s">
        <v>1696</v>
      </c>
      <c r="C567" s="1">
        <v>12</v>
      </c>
      <c r="D567" s="4">
        <v>39857.479166666664</v>
      </c>
      <c r="E567" s="1" t="s">
        <v>14</v>
      </c>
      <c r="F567" s="1"/>
      <c r="G567" s="1"/>
      <c r="H567" s="1"/>
      <c r="I567" s="1"/>
      <c r="J567" s="1"/>
      <c r="K567" s="1"/>
      <c r="L567" s="1"/>
      <c r="M567" s="1"/>
      <c r="N567" s="1"/>
      <c r="O567" s="1"/>
      <c r="P567" s="1"/>
      <c r="Q567" s="1"/>
      <c r="R567" s="1"/>
      <c r="S567" s="1"/>
    </row>
    <row r="568" spans="1:19" ht="33.75" customHeight="1">
      <c r="A568" s="1" t="s">
        <v>1752</v>
      </c>
      <c r="B568" s="1" t="s">
        <v>1696</v>
      </c>
      <c r="C568" s="1">
        <v>12</v>
      </c>
      <c r="D568" s="4">
        <v>39857.491666666669</v>
      </c>
      <c r="E568" s="1" t="s">
        <v>14</v>
      </c>
      <c r="F568" s="1"/>
      <c r="G568" s="1"/>
      <c r="H568" s="1"/>
      <c r="I568" s="1"/>
      <c r="J568" s="1"/>
      <c r="K568" s="1"/>
      <c r="L568" s="1"/>
      <c r="M568" s="1"/>
      <c r="N568" s="1"/>
      <c r="O568" s="1"/>
      <c r="P568" s="1"/>
      <c r="Q568" s="1"/>
      <c r="R568" s="1"/>
      <c r="S568" s="1"/>
    </row>
    <row r="569" spans="1:19" ht="33.75" customHeight="1">
      <c r="A569" s="1" t="s">
        <v>1755</v>
      </c>
      <c r="B569" s="1" t="s">
        <v>1519</v>
      </c>
      <c r="C569" s="1">
        <v>11</v>
      </c>
      <c r="D569" s="4">
        <v>39857.49722222222</v>
      </c>
      <c r="E569" s="1" t="s">
        <v>772</v>
      </c>
      <c r="F569" s="1"/>
      <c r="G569" s="1"/>
      <c r="H569" s="1"/>
      <c r="I569" s="1"/>
      <c r="J569" s="1"/>
      <c r="K569" s="1"/>
      <c r="L569" s="1"/>
      <c r="M569" s="1"/>
      <c r="N569" s="1"/>
      <c r="O569" s="1"/>
      <c r="P569" s="1"/>
      <c r="Q569" s="1"/>
      <c r="R569" s="1"/>
      <c r="S569" s="1"/>
    </row>
    <row r="570" spans="1:19" ht="33.75" customHeight="1">
      <c r="A570" s="1" t="s">
        <v>1758</v>
      </c>
      <c r="B570" s="1" t="s">
        <v>846</v>
      </c>
      <c r="C570" s="1">
        <v>8</v>
      </c>
      <c r="D570" s="4">
        <v>39857.50277777778</v>
      </c>
      <c r="E570" s="1" t="s">
        <v>772</v>
      </c>
      <c r="F570" s="1"/>
      <c r="G570" s="1"/>
      <c r="H570" s="1"/>
      <c r="I570" s="1"/>
      <c r="J570" s="1"/>
      <c r="K570" s="1"/>
      <c r="L570" s="1"/>
      <c r="M570" s="1"/>
      <c r="N570" s="1"/>
      <c r="O570" s="1"/>
      <c r="P570" s="1"/>
      <c r="Q570" s="1"/>
      <c r="R570" s="1"/>
      <c r="S570" s="1"/>
    </row>
    <row r="571" spans="1:19" ht="33.75" customHeight="1">
      <c r="A571" s="1" t="s">
        <v>1760</v>
      </c>
      <c r="B571" s="1" t="s">
        <v>1696</v>
      </c>
      <c r="C571" s="1">
        <v>12</v>
      </c>
      <c r="D571" s="4">
        <v>39857.525000000001</v>
      </c>
      <c r="E571" s="1" t="s">
        <v>14</v>
      </c>
      <c r="F571" s="1"/>
      <c r="G571" s="1"/>
      <c r="H571" s="1"/>
      <c r="I571" s="1"/>
      <c r="J571" s="1"/>
      <c r="K571" s="1"/>
      <c r="L571" s="1"/>
      <c r="M571" s="1"/>
      <c r="N571" s="1"/>
      <c r="O571" s="1"/>
      <c r="P571" s="1"/>
      <c r="Q571" s="1"/>
      <c r="R571" s="1"/>
      <c r="S571" s="1"/>
    </row>
    <row r="572" spans="1:19" ht="33.75" customHeight="1">
      <c r="A572" s="1" t="s">
        <v>1762</v>
      </c>
      <c r="B572" s="1" t="s">
        <v>1196</v>
      </c>
      <c r="C572" s="1">
        <v>10</v>
      </c>
      <c r="D572" s="4">
        <v>39857.594444444447</v>
      </c>
      <c r="E572" s="1" t="s">
        <v>14</v>
      </c>
      <c r="F572" s="1"/>
      <c r="G572" s="1"/>
      <c r="H572" s="1"/>
      <c r="I572" s="1"/>
      <c r="J572" s="1"/>
      <c r="K572" s="1"/>
      <c r="L572" s="1"/>
      <c r="M572" s="1"/>
      <c r="N572" s="1"/>
      <c r="O572" s="1"/>
      <c r="P572" s="1"/>
      <c r="Q572" s="1"/>
      <c r="R572" s="1"/>
      <c r="S572" s="1"/>
    </row>
    <row r="573" spans="1:19" ht="33.75" customHeight="1">
      <c r="A573" s="1" t="s">
        <v>1764</v>
      </c>
      <c r="B573" s="1" t="s">
        <v>1196</v>
      </c>
      <c r="C573" s="1">
        <v>10</v>
      </c>
      <c r="D573" s="4">
        <v>39857.644444444442</v>
      </c>
      <c r="E573" s="1" t="s">
        <v>14</v>
      </c>
      <c r="F573" s="1"/>
      <c r="G573" s="1"/>
      <c r="H573" s="1"/>
      <c r="I573" s="1"/>
      <c r="J573" s="1"/>
      <c r="K573" s="1"/>
      <c r="L573" s="1"/>
      <c r="M573" s="1"/>
      <c r="N573" s="1"/>
      <c r="O573" s="1"/>
      <c r="P573" s="1"/>
      <c r="Q573" s="1"/>
      <c r="R573" s="1"/>
      <c r="S573" s="1"/>
    </row>
    <row r="574" spans="1:19" ht="33.75" customHeight="1">
      <c r="A574" s="1" t="s">
        <v>1767</v>
      </c>
      <c r="B574" s="1" t="s">
        <v>846</v>
      </c>
      <c r="C574" s="1">
        <v>8</v>
      </c>
      <c r="D574" s="4">
        <v>39857.676388888889</v>
      </c>
      <c r="E574" s="1" t="s">
        <v>1768</v>
      </c>
      <c r="F574" s="1"/>
      <c r="G574" s="1"/>
      <c r="H574" s="1"/>
      <c r="I574" s="1"/>
      <c r="J574" s="1"/>
      <c r="K574" s="1"/>
      <c r="L574" s="1"/>
      <c r="M574" s="1"/>
      <c r="N574" s="1"/>
      <c r="O574" s="1"/>
      <c r="P574" s="1"/>
      <c r="Q574" s="1"/>
      <c r="R574" s="1"/>
      <c r="S574" s="1"/>
    </row>
    <row r="575" spans="1:19" ht="33.75" customHeight="1">
      <c r="A575" s="1" t="s">
        <v>1770</v>
      </c>
      <c r="B575" s="1" t="s">
        <v>846</v>
      </c>
      <c r="C575" s="1">
        <v>8</v>
      </c>
      <c r="D575" s="4">
        <v>39857.713194444441</v>
      </c>
      <c r="E575" s="1" t="s">
        <v>54</v>
      </c>
      <c r="F575" s="1"/>
      <c r="G575" s="1"/>
      <c r="H575" s="1"/>
      <c r="I575" s="1"/>
      <c r="J575" s="1"/>
      <c r="K575" s="1"/>
      <c r="L575" s="1"/>
      <c r="M575" s="1"/>
      <c r="N575" s="1"/>
      <c r="O575" s="1"/>
      <c r="P575" s="1"/>
      <c r="Q575" s="1"/>
      <c r="R575" s="1"/>
      <c r="S575" s="1"/>
    </row>
    <row r="576" spans="1:19" ht="33.75" customHeight="1">
      <c r="A576" s="1" t="s">
        <v>1773</v>
      </c>
      <c r="B576" s="1" t="s">
        <v>1696</v>
      </c>
      <c r="C576" s="1">
        <v>12</v>
      </c>
      <c r="D576" s="4">
        <v>39857.724305555559</v>
      </c>
      <c r="E576" s="1" t="s">
        <v>14</v>
      </c>
      <c r="F576" s="1"/>
      <c r="G576" s="1"/>
      <c r="H576" s="1"/>
      <c r="I576" s="1"/>
      <c r="J576" s="1"/>
      <c r="K576" s="1"/>
      <c r="L576" s="1"/>
      <c r="M576" s="1"/>
      <c r="N576" s="1"/>
      <c r="O576" s="1"/>
      <c r="P576" s="1"/>
      <c r="Q576" s="1"/>
      <c r="R576" s="1"/>
      <c r="S576" s="1"/>
    </row>
    <row r="577" spans="1:19" ht="33.75" customHeight="1">
      <c r="A577" s="1" t="s">
        <v>1776</v>
      </c>
      <c r="B577" s="1" t="s">
        <v>1696</v>
      </c>
      <c r="C577" s="1">
        <v>12</v>
      </c>
      <c r="D577" s="4">
        <v>39857.800694444442</v>
      </c>
      <c r="E577" s="1" t="s">
        <v>196</v>
      </c>
      <c r="F577" s="1"/>
      <c r="G577" s="1"/>
      <c r="H577" s="1"/>
      <c r="I577" s="1"/>
      <c r="J577" s="1"/>
      <c r="K577" s="1"/>
      <c r="L577" s="1"/>
      <c r="M577" s="1"/>
      <c r="N577" s="1"/>
      <c r="O577" s="1"/>
      <c r="P577" s="1"/>
      <c r="Q577" s="1"/>
      <c r="R577" s="1"/>
      <c r="S577" s="1"/>
    </row>
    <row r="578" spans="1:19" ht="33.75" customHeight="1">
      <c r="A578" s="1" t="s">
        <v>1779</v>
      </c>
      <c r="B578" s="1" t="s">
        <v>846</v>
      </c>
      <c r="C578" s="1">
        <v>8</v>
      </c>
      <c r="D578" s="4">
        <v>39857.843055555553</v>
      </c>
      <c r="E578" s="1" t="s">
        <v>54</v>
      </c>
      <c r="F578" s="1"/>
      <c r="G578" s="1"/>
      <c r="H578" s="1"/>
      <c r="I578" s="1"/>
      <c r="J578" s="1"/>
      <c r="K578" s="1"/>
      <c r="L578" s="1"/>
      <c r="M578" s="1"/>
      <c r="N578" s="1"/>
      <c r="O578" s="1"/>
      <c r="P578" s="1"/>
      <c r="Q578" s="1"/>
      <c r="R578" s="1"/>
      <c r="S578" s="1"/>
    </row>
    <row r="579" spans="1:19" ht="33.75" customHeight="1">
      <c r="A579" s="1" t="s">
        <v>1782</v>
      </c>
      <c r="B579" s="1" t="s">
        <v>1519</v>
      </c>
      <c r="C579" s="1">
        <v>11</v>
      </c>
      <c r="D579" s="4">
        <v>39857.87222222222</v>
      </c>
      <c r="E579" s="1" t="s">
        <v>54</v>
      </c>
      <c r="F579" s="1"/>
      <c r="G579" s="1"/>
      <c r="H579" s="1"/>
      <c r="I579" s="1"/>
      <c r="J579" s="1"/>
      <c r="K579" s="1"/>
      <c r="L579" s="1"/>
      <c r="M579" s="1"/>
      <c r="N579" s="1"/>
      <c r="O579" s="1"/>
      <c r="P579" s="1"/>
      <c r="Q579" s="1"/>
      <c r="R579" s="1"/>
      <c r="S579" s="1"/>
    </row>
    <row r="580" spans="1:19" ht="33.75" customHeight="1">
      <c r="A580" s="1" t="s">
        <v>1784</v>
      </c>
      <c r="B580" s="1" t="s">
        <v>1696</v>
      </c>
      <c r="C580" s="1">
        <v>12</v>
      </c>
      <c r="D580" s="4">
        <v>39858.050694444442</v>
      </c>
      <c r="E580" s="1" t="s">
        <v>1528</v>
      </c>
      <c r="F580" s="1"/>
      <c r="G580" s="1"/>
      <c r="H580" s="1"/>
      <c r="I580" s="1"/>
      <c r="J580" s="1"/>
      <c r="K580" s="1"/>
      <c r="L580" s="1"/>
      <c r="M580" s="1"/>
      <c r="N580" s="1"/>
      <c r="O580" s="1"/>
      <c r="P580" s="1"/>
      <c r="Q580" s="1"/>
      <c r="R580" s="1"/>
      <c r="S580" s="1"/>
    </row>
    <row r="581" spans="1:19" ht="33.75" customHeight="1">
      <c r="A581" s="1" t="s">
        <v>1787</v>
      </c>
      <c r="B581" s="1" t="s">
        <v>1696</v>
      </c>
      <c r="C581" s="1">
        <v>12</v>
      </c>
      <c r="D581" s="4">
        <v>39857.880555555559</v>
      </c>
      <c r="E581" s="1" t="s">
        <v>196</v>
      </c>
      <c r="F581" s="1"/>
      <c r="G581" s="1"/>
      <c r="H581" s="1"/>
      <c r="I581" s="1"/>
      <c r="J581" s="1"/>
      <c r="K581" s="1"/>
      <c r="L581" s="1"/>
      <c r="M581" s="1"/>
      <c r="N581" s="1"/>
      <c r="O581" s="1"/>
      <c r="P581" s="1"/>
      <c r="Q581" s="1"/>
      <c r="R581" s="1"/>
      <c r="S581" s="1"/>
    </row>
    <row r="582" spans="1:19" ht="33.75" customHeight="1">
      <c r="A582" s="1" t="s">
        <v>1790</v>
      </c>
      <c r="B582" s="1" t="s">
        <v>1696</v>
      </c>
      <c r="C582" s="1">
        <v>12</v>
      </c>
      <c r="D582" s="4">
        <v>39857.887499999997</v>
      </c>
      <c r="E582" s="1" t="s">
        <v>196</v>
      </c>
      <c r="F582" s="1"/>
      <c r="G582" s="1"/>
      <c r="H582" s="1"/>
      <c r="I582" s="1"/>
      <c r="J582" s="1"/>
      <c r="K582" s="1"/>
      <c r="L582" s="1"/>
      <c r="M582" s="1"/>
      <c r="N582" s="1"/>
      <c r="O582" s="1"/>
      <c r="P582" s="1"/>
      <c r="Q582" s="1"/>
      <c r="R582" s="1"/>
      <c r="S582" s="1"/>
    </row>
    <row r="583" spans="1:19" ht="33.75" customHeight="1">
      <c r="A583" s="1" t="s">
        <v>1793</v>
      </c>
      <c r="B583" s="1" t="s">
        <v>1519</v>
      </c>
      <c r="C583" s="1">
        <v>11</v>
      </c>
      <c r="D583" s="4">
        <v>39857.9375</v>
      </c>
      <c r="E583" s="1" t="s">
        <v>54</v>
      </c>
      <c r="F583" s="1"/>
      <c r="G583" s="1"/>
      <c r="H583" s="1"/>
      <c r="I583" s="1"/>
      <c r="J583" s="1"/>
      <c r="K583" s="1"/>
      <c r="L583" s="1"/>
      <c r="M583" s="1"/>
      <c r="N583" s="1"/>
      <c r="O583" s="1"/>
      <c r="P583" s="1"/>
      <c r="Q583" s="1"/>
      <c r="R583" s="1"/>
      <c r="S583" s="1"/>
    </row>
    <row r="584" spans="1:19" ht="33.75" customHeight="1">
      <c r="A584" s="1" t="s">
        <v>1796</v>
      </c>
      <c r="B584" s="1" t="s">
        <v>1196</v>
      </c>
      <c r="C584" s="1">
        <v>10</v>
      </c>
      <c r="D584" s="4">
        <v>39857.955555555556</v>
      </c>
      <c r="E584" s="1" t="s">
        <v>314</v>
      </c>
      <c r="F584" s="1"/>
      <c r="G584" s="1"/>
      <c r="H584" s="1"/>
      <c r="I584" s="1"/>
      <c r="J584" s="1"/>
      <c r="K584" s="1"/>
      <c r="L584" s="1"/>
      <c r="M584" s="1"/>
      <c r="N584" s="1"/>
      <c r="O584" s="1"/>
      <c r="P584" s="1"/>
      <c r="Q584" s="1"/>
      <c r="R584" s="1"/>
      <c r="S584" s="1"/>
    </row>
    <row r="585" spans="1:19" ht="33.75" customHeight="1">
      <c r="A585" s="1" t="s">
        <v>1799</v>
      </c>
      <c r="B585" s="1" t="s">
        <v>846</v>
      </c>
      <c r="C585" s="1">
        <v>8</v>
      </c>
      <c r="D585" s="4">
        <v>39858.01666666667</v>
      </c>
      <c r="E585" s="1" t="s">
        <v>1089</v>
      </c>
      <c r="F585" s="1"/>
      <c r="G585" s="1"/>
      <c r="H585" s="1"/>
      <c r="I585" s="1"/>
      <c r="J585" s="1"/>
      <c r="K585" s="1"/>
      <c r="L585" s="1"/>
      <c r="M585" s="1"/>
      <c r="N585" s="1"/>
      <c r="O585" s="1"/>
      <c r="P585" s="1"/>
      <c r="Q585" s="1"/>
      <c r="R585" s="1"/>
      <c r="S585" s="1"/>
    </row>
    <row r="586" spans="1:19" ht="33.75" customHeight="1">
      <c r="A586" s="1" t="s">
        <v>1802</v>
      </c>
      <c r="B586" s="1" t="s">
        <v>1196</v>
      </c>
      <c r="C586" s="1">
        <v>10</v>
      </c>
      <c r="D586" s="4">
        <v>39858.040277777778</v>
      </c>
      <c r="E586" s="1" t="s">
        <v>14</v>
      </c>
      <c r="F586" s="1"/>
      <c r="G586" s="1"/>
      <c r="H586" s="1"/>
      <c r="I586" s="1"/>
      <c r="J586" s="1"/>
      <c r="K586" s="1"/>
      <c r="L586" s="1"/>
      <c r="M586" s="1"/>
      <c r="N586" s="1"/>
      <c r="O586" s="1"/>
      <c r="P586" s="1"/>
      <c r="Q586" s="1"/>
      <c r="R586" s="1"/>
      <c r="S586" s="1"/>
    </row>
    <row r="587" spans="1:19" ht="33.75" customHeight="1">
      <c r="A587" s="1" t="s">
        <v>1806</v>
      </c>
      <c r="B587" s="1" t="s">
        <v>1696</v>
      </c>
      <c r="C587" s="1">
        <v>12</v>
      </c>
      <c r="D587" s="4">
        <v>39858.046527777777</v>
      </c>
      <c r="E587" s="1" t="s">
        <v>1807</v>
      </c>
      <c r="F587" s="1"/>
      <c r="G587" s="1"/>
      <c r="H587" s="1"/>
      <c r="I587" s="1"/>
      <c r="J587" s="1"/>
      <c r="K587" s="1"/>
      <c r="L587" s="1"/>
      <c r="M587" s="1"/>
      <c r="N587" s="1"/>
      <c r="O587" s="1"/>
      <c r="P587" s="1"/>
      <c r="Q587" s="1"/>
      <c r="R587" s="1"/>
      <c r="S587" s="1"/>
    </row>
    <row r="588" spans="1:19" ht="33.75" customHeight="1">
      <c r="A588" s="1" t="s">
        <v>1809</v>
      </c>
      <c r="B588" s="1" t="s">
        <v>1696</v>
      </c>
      <c r="C588" s="1">
        <v>12</v>
      </c>
      <c r="D588" s="4">
        <v>39859.904861111114</v>
      </c>
      <c r="E588" s="1" t="s">
        <v>1528</v>
      </c>
      <c r="F588" s="1"/>
      <c r="G588" s="1"/>
      <c r="H588" s="1"/>
      <c r="I588" s="1"/>
      <c r="J588" s="1"/>
      <c r="K588" s="1"/>
      <c r="L588" s="1"/>
      <c r="M588" s="1"/>
      <c r="N588" s="1"/>
      <c r="O588" s="1"/>
      <c r="P588" s="1"/>
      <c r="Q588" s="1"/>
      <c r="R588" s="1"/>
      <c r="S588" s="1"/>
    </row>
    <row r="589" spans="1:19" ht="33.75" customHeight="1">
      <c r="A589" s="1" t="s">
        <v>1811</v>
      </c>
      <c r="B589" s="1" t="s">
        <v>1696</v>
      </c>
      <c r="C589" s="1">
        <v>12</v>
      </c>
      <c r="D589" s="4">
        <v>39858.054861111108</v>
      </c>
      <c r="E589" s="1" t="s">
        <v>14</v>
      </c>
      <c r="F589" s="1"/>
      <c r="G589" s="1"/>
      <c r="H589" s="1"/>
      <c r="I589" s="1"/>
      <c r="J589" s="1"/>
      <c r="K589" s="1"/>
      <c r="L589" s="1"/>
      <c r="M589" s="1"/>
      <c r="N589" s="1"/>
      <c r="O589" s="1"/>
      <c r="P589" s="1"/>
      <c r="Q589" s="1"/>
      <c r="R589" s="1"/>
      <c r="S589" s="1"/>
    </row>
    <row r="590" spans="1:19" ht="33.75" customHeight="1">
      <c r="A590" s="1" t="s">
        <v>12</v>
      </c>
      <c r="B590" s="1" t="s">
        <v>1814</v>
      </c>
      <c r="C590" s="1">
        <v>13</v>
      </c>
      <c r="D590" s="4">
        <v>39858.175752314812</v>
      </c>
      <c r="E590" s="1" t="s">
        <v>175</v>
      </c>
      <c r="F590" s="1"/>
      <c r="G590" s="1"/>
      <c r="H590" s="1"/>
      <c r="I590" s="1"/>
      <c r="J590" s="1"/>
      <c r="K590" s="1"/>
      <c r="L590" s="1"/>
      <c r="M590" s="1"/>
      <c r="N590" s="1"/>
      <c r="O590" s="1"/>
      <c r="P590" s="1"/>
      <c r="Q590" s="1"/>
      <c r="R590" s="1"/>
      <c r="S590" s="1"/>
    </row>
    <row r="591" spans="1:19" ht="33.75" customHeight="1">
      <c r="A591" s="1" t="s">
        <v>1817</v>
      </c>
      <c r="B591" s="1" t="s">
        <v>1814</v>
      </c>
      <c r="C591" s="1">
        <v>13</v>
      </c>
      <c r="D591" s="4">
        <v>39858.293055555558</v>
      </c>
      <c r="E591" s="1" t="s">
        <v>1768</v>
      </c>
      <c r="F591" s="1"/>
      <c r="G591" s="1"/>
      <c r="H591" s="1"/>
      <c r="I591" s="1"/>
      <c r="J591" s="1"/>
      <c r="K591" s="1"/>
      <c r="L591" s="1"/>
      <c r="M591" s="1"/>
      <c r="N591" s="1"/>
      <c r="O591" s="1"/>
      <c r="P591" s="1"/>
      <c r="Q591" s="1"/>
      <c r="R591" s="1"/>
      <c r="S591" s="1"/>
    </row>
    <row r="592" spans="1:19" ht="33.75" customHeight="1">
      <c r="A592" s="1" t="s">
        <v>1819</v>
      </c>
      <c r="B592" s="1" t="s">
        <v>1814</v>
      </c>
      <c r="C592" s="1">
        <v>13</v>
      </c>
      <c r="D592" s="4">
        <v>39858.335416666669</v>
      </c>
      <c r="E592" s="1" t="s">
        <v>54</v>
      </c>
      <c r="F592" s="1"/>
      <c r="G592" s="1"/>
      <c r="H592" s="1"/>
      <c r="I592" s="1"/>
      <c r="J592" s="1"/>
      <c r="K592" s="1"/>
      <c r="L592" s="1"/>
      <c r="M592" s="1"/>
      <c r="N592" s="1"/>
      <c r="O592" s="1"/>
      <c r="P592" s="1"/>
      <c r="Q592" s="1"/>
      <c r="R592" s="1"/>
      <c r="S592" s="1"/>
    </row>
    <row r="593" spans="1:19" ht="33.75" customHeight="1">
      <c r="A593" s="1" t="s">
        <v>1822</v>
      </c>
      <c r="B593" s="1" t="s">
        <v>1196</v>
      </c>
      <c r="C593" s="1">
        <v>10</v>
      </c>
      <c r="D593" s="4">
        <v>39858.347916666666</v>
      </c>
      <c r="E593" s="1" t="s">
        <v>255</v>
      </c>
      <c r="F593" s="1"/>
      <c r="G593" s="1"/>
      <c r="H593" s="1"/>
      <c r="I593" s="1"/>
      <c r="J593" s="1"/>
      <c r="K593" s="1"/>
      <c r="L593" s="1"/>
      <c r="M593" s="1"/>
      <c r="N593" s="1"/>
      <c r="O593" s="1"/>
      <c r="P593" s="1"/>
      <c r="Q593" s="1"/>
      <c r="R593" s="1"/>
      <c r="S593" s="1"/>
    </row>
    <row r="594" spans="1:19" ht="33.75" customHeight="1">
      <c r="A594" s="1" t="s">
        <v>1824</v>
      </c>
      <c r="B594" s="1" t="s">
        <v>1696</v>
      </c>
      <c r="C594" s="1">
        <v>12</v>
      </c>
      <c r="D594" s="4">
        <v>39858.359027777777</v>
      </c>
      <c r="E594" s="1" t="s">
        <v>54</v>
      </c>
      <c r="F594" s="1"/>
      <c r="G594" s="1"/>
      <c r="H594" s="1"/>
      <c r="I594" s="1"/>
      <c r="J594" s="1"/>
      <c r="K594" s="1"/>
      <c r="L594" s="1"/>
      <c r="M594" s="1"/>
      <c r="N594" s="1"/>
      <c r="O594" s="1"/>
      <c r="P594" s="1"/>
      <c r="Q594" s="1"/>
      <c r="R594" s="1"/>
      <c r="S594" s="1"/>
    </row>
    <row r="595" spans="1:19" ht="33.75" customHeight="1">
      <c r="A595" s="1" t="s">
        <v>1827</v>
      </c>
      <c r="B595" s="1" t="s">
        <v>1196</v>
      </c>
      <c r="C595" s="1">
        <v>10</v>
      </c>
      <c r="D595" s="4">
        <v>39858.361805555556</v>
      </c>
      <c r="E595" s="1" t="s">
        <v>54</v>
      </c>
      <c r="F595" s="1"/>
      <c r="G595" s="1"/>
      <c r="H595" s="1"/>
      <c r="I595" s="1"/>
      <c r="J595" s="1"/>
      <c r="K595" s="1"/>
      <c r="L595" s="1"/>
      <c r="M595" s="1"/>
      <c r="N595" s="1"/>
      <c r="O595" s="1"/>
      <c r="P595" s="1"/>
      <c r="Q595" s="1"/>
      <c r="R595" s="1"/>
      <c r="S595" s="1"/>
    </row>
    <row r="596" spans="1:19" ht="33.75" customHeight="1">
      <c r="A596" s="1" t="s">
        <v>1829</v>
      </c>
      <c r="B596" s="1" t="s">
        <v>1519</v>
      </c>
      <c r="C596" s="1">
        <v>11</v>
      </c>
      <c r="D596" s="4">
        <v>39858.383333333331</v>
      </c>
      <c r="E596" s="1" t="s">
        <v>320</v>
      </c>
      <c r="F596" s="1"/>
      <c r="G596" s="1"/>
      <c r="H596" s="1"/>
      <c r="I596" s="1"/>
      <c r="J596" s="1"/>
      <c r="K596" s="1"/>
      <c r="L596" s="1"/>
      <c r="M596" s="1"/>
      <c r="N596" s="1"/>
      <c r="O596" s="1"/>
      <c r="P596" s="1"/>
      <c r="Q596" s="1"/>
      <c r="R596" s="1"/>
      <c r="S596" s="1"/>
    </row>
    <row r="597" spans="1:19" ht="33.75" customHeight="1">
      <c r="A597" s="1" t="s">
        <v>1832</v>
      </c>
      <c r="B597" s="1" t="s">
        <v>1196</v>
      </c>
      <c r="C597" s="1">
        <v>10</v>
      </c>
      <c r="D597" s="4">
        <v>39858.385416666664</v>
      </c>
      <c r="E597" s="1" t="s">
        <v>14</v>
      </c>
      <c r="F597" s="1"/>
      <c r="G597" s="1"/>
      <c r="H597" s="1"/>
      <c r="I597" s="1"/>
      <c r="J597" s="1"/>
      <c r="K597" s="1"/>
      <c r="L597" s="1"/>
      <c r="M597" s="1"/>
      <c r="N597" s="1"/>
      <c r="O597" s="1"/>
      <c r="P597" s="1"/>
      <c r="Q597" s="1"/>
      <c r="R597" s="1"/>
      <c r="S597" s="1"/>
    </row>
    <row r="598" spans="1:19" ht="33.75" customHeight="1">
      <c r="A598" s="1" t="s">
        <v>1834</v>
      </c>
      <c r="B598" s="1" t="s">
        <v>1696</v>
      </c>
      <c r="C598" s="1">
        <v>12</v>
      </c>
      <c r="D598" s="4">
        <v>39858.404166666667</v>
      </c>
      <c r="E598" s="1" t="s">
        <v>14</v>
      </c>
      <c r="F598" s="1"/>
      <c r="G598" s="1"/>
      <c r="H598" s="1"/>
      <c r="I598" s="1"/>
      <c r="J598" s="1"/>
      <c r="K598" s="1"/>
      <c r="L598" s="1"/>
      <c r="M598" s="1"/>
      <c r="N598" s="1"/>
      <c r="O598" s="1"/>
      <c r="P598" s="1"/>
      <c r="Q598" s="1"/>
      <c r="R598" s="1"/>
      <c r="S598" s="1"/>
    </row>
    <row r="599" spans="1:19" ht="33.75" customHeight="1">
      <c r="A599" s="1" t="s">
        <v>1838</v>
      </c>
      <c r="B599" s="1" t="s">
        <v>1519</v>
      </c>
      <c r="C599" s="1">
        <v>11</v>
      </c>
      <c r="D599" s="4">
        <v>39858.423611111109</v>
      </c>
      <c r="E599" s="1" t="s">
        <v>54</v>
      </c>
      <c r="F599" s="1"/>
      <c r="G599" s="1"/>
      <c r="H599" s="1"/>
      <c r="I599" s="1"/>
      <c r="J599" s="1"/>
      <c r="K599" s="1"/>
      <c r="L599" s="1"/>
      <c r="M599" s="1"/>
      <c r="N599" s="1"/>
      <c r="O599" s="1"/>
      <c r="P599" s="1"/>
      <c r="Q599" s="1"/>
      <c r="R599" s="1"/>
      <c r="S599" s="1"/>
    </row>
    <row r="600" spans="1:19" ht="33.75" customHeight="1">
      <c r="A600" s="1" t="s">
        <v>1841</v>
      </c>
      <c r="B600" s="1" t="s">
        <v>1519</v>
      </c>
      <c r="C600" s="1">
        <v>11</v>
      </c>
      <c r="D600" s="4">
        <v>39858.440972222219</v>
      </c>
      <c r="E600" s="1" t="s">
        <v>54</v>
      </c>
      <c r="F600" s="1"/>
      <c r="G600" s="1"/>
      <c r="H600" s="1"/>
      <c r="I600" s="1"/>
      <c r="J600" s="1"/>
      <c r="K600" s="1"/>
      <c r="L600" s="1"/>
      <c r="M600" s="1"/>
      <c r="N600" s="1"/>
      <c r="O600" s="1"/>
      <c r="P600" s="1"/>
      <c r="Q600" s="1"/>
      <c r="R600" s="1"/>
      <c r="S600" s="1"/>
    </row>
    <row r="601" spans="1:19" ht="33.75" customHeight="1">
      <c r="A601" s="1" t="s">
        <v>1844</v>
      </c>
      <c r="B601" s="1" t="s">
        <v>1519</v>
      </c>
      <c r="C601" s="1">
        <v>11</v>
      </c>
      <c r="D601" s="4">
        <v>39858.49722222222</v>
      </c>
      <c r="E601" s="1" t="s">
        <v>54</v>
      </c>
      <c r="F601" s="1"/>
      <c r="G601" s="1"/>
      <c r="H601" s="1"/>
      <c r="I601" s="1"/>
      <c r="J601" s="1"/>
      <c r="K601" s="1"/>
      <c r="L601" s="1"/>
      <c r="M601" s="1"/>
      <c r="N601" s="1"/>
      <c r="O601" s="1"/>
      <c r="P601" s="1"/>
      <c r="Q601" s="1"/>
      <c r="R601" s="1"/>
      <c r="S601" s="1"/>
    </row>
    <row r="602" spans="1:19" ht="33.75" customHeight="1">
      <c r="A602" s="1" t="s">
        <v>1847</v>
      </c>
      <c r="B602" s="1" t="s">
        <v>1519</v>
      </c>
      <c r="C602" s="1">
        <v>11</v>
      </c>
      <c r="D602" s="4">
        <v>39858.536805555559</v>
      </c>
      <c r="E602" s="1" t="s">
        <v>54</v>
      </c>
      <c r="F602" s="1"/>
      <c r="G602" s="1"/>
      <c r="H602" s="1"/>
      <c r="I602" s="1"/>
      <c r="J602" s="1"/>
      <c r="K602" s="1"/>
      <c r="L602" s="1"/>
      <c r="M602" s="1"/>
      <c r="N602" s="1"/>
      <c r="O602" s="1"/>
      <c r="P602" s="1"/>
      <c r="Q602" s="1"/>
      <c r="R602" s="1"/>
      <c r="S602" s="1"/>
    </row>
    <row r="603" spans="1:19" ht="33.75" customHeight="1">
      <c r="A603" s="1" t="s">
        <v>1850</v>
      </c>
      <c r="B603" s="1" t="s">
        <v>1519</v>
      </c>
      <c r="C603" s="1">
        <v>11</v>
      </c>
      <c r="D603" s="4">
        <v>39858.584027777775</v>
      </c>
      <c r="E603" s="1" t="s">
        <v>320</v>
      </c>
      <c r="F603" s="1"/>
      <c r="G603" s="1"/>
      <c r="H603" s="1"/>
      <c r="I603" s="1"/>
      <c r="J603" s="1"/>
      <c r="K603" s="1"/>
      <c r="L603" s="1"/>
      <c r="M603" s="1"/>
      <c r="N603" s="1"/>
      <c r="O603" s="1"/>
      <c r="P603" s="1"/>
      <c r="Q603" s="1"/>
      <c r="R603" s="1"/>
      <c r="S603" s="1"/>
    </row>
    <row r="604" spans="1:19" ht="33.75" customHeight="1">
      <c r="A604" s="1" t="s">
        <v>1854</v>
      </c>
      <c r="B604" s="1" t="s">
        <v>1519</v>
      </c>
      <c r="C604" s="1">
        <v>11</v>
      </c>
      <c r="D604" s="4">
        <v>39858.61041666667</v>
      </c>
      <c r="E604" s="1" t="s">
        <v>54</v>
      </c>
      <c r="F604" s="1"/>
      <c r="G604" s="1"/>
      <c r="H604" s="1"/>
      <c r="I604" s="1"/>
      <c r="J604" s="1"/>
      <c r="K604" s="1"/>
      <c r="L604" s="1"/>
      <c r="M604" s="1"/>
      <c r="N604" s="1"/>
      <c r="O604" s="1"/>
      <c r="P604" s="1"/>
      <c r="Q604" s="1"/>
      <c r="R604" s="1"/>
      <c r="S604" s="1"/>
    </row>
    <row r="605" spans="1:19" ht="33.75" customHeight="1">
      <c r="A605" s="1" t="s">
        <v>1857</v>
      </c>
      <c r="B605" s="1" t="s">
        <v>1696</v>
      </c>
      <c r="C605" s="1">
        <v>12</v>
      </c>
      <c r="D605" s="4">
        <v>39858.71875</v>
      </c>
      <c r="E605" s="1" t="s">
        <v>320</v>
      </c>
      <c r="F605" s="1"/>
      <c r="G605" s="1"/>
      <c r="H605" s="1"/>
      <c r="I605" s="1"/>
      <c r="J605" s="1"/>
      <c r="K605" s="1"/>
      <c r="L605" s="1"/>
      <c r="M605" s="1"/>
      <c r="N605" s="1"/>
      <c r="O605" s="1"/>
      <c r="P605" s="1"/>
      <c r="Q605" s="1"/>
      <c r="R605" s="1"/>
      <c r="S605" s="1"/>
    </row>
    <row r="606" spans="1:19" ht="33.75" customHeight="1">
      <c r="A606" s="1" t="s">
        <v>1859</v>
      </c>
      <c r="B606" s="1" t="s">
        <v>1519</v>
      </c>
      <c r="C606" s="1">
        <v>11</v>
      </c>
      <c r="D606" s="4">
        <v>39858.836805555555</v>
      </c>
      <c r="E606" s="1" t="s">
        <v>320</v>
      </c>
      <c r="F606" s="1"/>
      <c r="G606" s="1"/>
      <c r="H606" s="1"/>
      <c r="I606" s="1"/>
      <c r="J606" s="1"/>
      <c r="K606" s="1"/>
      <c r="L606" s="1"/>
      <c r="M606" s="1"/>
      <c r="N606" s="1"/>
      <c r="O606" s="1"/>
      <c r="P606" s="1"/>
      <c r="Q606" s="1"/>
      <c r="R606" s="1"/>
      <c r="S606" s="1"/>
    </row>
    <row r="607" spans="1:19" ht="33.75" customHeight="1">
      <c r="A607" s="1" t="s">
        <v>1863</v>
      </c>
      <c r="B607" s="1" t="s">
        <v>1196</v>
      </c>
      <c r="C607" s="1">
        <v>10</v>
      </c>
      <c r="D607" s="4">
        <v>39858.845138888886</v>
      </c>
      <c r="E607" s="1" t="s">
        <v>255</v>
      </c>
      <c r="F607" s="1"/>
      <c r="G607" s="1"/>
      <c r="H607" s="1"/>
      <c r="I607" s="1"/>
      <c r="J607" s="1"/>
      <c r="K607" s="1"/>
      <c r="L607" s="1"/>
      <c r="M607" s="1"/>
      <c r="N607" s="1"/>
      <c r="O607" s="1"/>
      <c r="P607" s="1"/>
      <c r="Q607" s="1"/>
      <c r="R607" s="1"/>
      <c r="S607" s="1"/>
    </row>
    <row r="608" spans="1:19" ht="33.75" customHeight="1">
      <c r="A608" s="1" t="s">
        <v>1867</v>
      </c>
      <c r="B608" s="1" t="s">
        <v>1696</v>
      </c>
      <c r="C608" s="1">
        <v>12</v>
      </c>
      <c r="D608" s="4">
        <v>39858.914583333331</v>
      </c>
      <c r="E608" s="1" t="s">
        <v>54</v>
      </c>
      <c r="F608" s="1"/>
      <c r="G608" s="1"/>
      <c r="H608" s="1"/>
      <c r="I608" s="1"/>
      <c r="J608" s="1"/>
      <c r="K608" s="1"/>
      <c r="L608" s="1"/>
      <c r="M608" s="1"/>
      <c r="N608" s="1"/>
      <c r="O608" s="1"/>
      <c r="P608" s="1"/>
      <c r="Q608" s="1"/>
      <c r="R608" s="1"/>
      <c r="S608" s="1"/>
    </row>
    <row r="609" spans="1:19" ht="33.75" customHeight="1">
      <c r="A609" s="1" t="s">
        <v>1869</v>
      </c>
      <c r="B609" s="1" t="s">
        <v>1814</v>
      </c>
      <c r="C609" s="1">
        <v>13</v>
      </c>
      <c r="D609" s="4">
        <v>39858.918055555558</v>
      </c>
      <c r="E609" s="1" t="s">
        <v>1089</v>
      </c>
      <c r="F609" s="1"/>
      <c r="G609" s="1"/>
      <c r="H609" s="1"/>
      <c r="I609" s="1"/>
      <c r="J609" s="1"/>
      <c r="K609" s="1"/>
      <c r="L609" s="1"/>
      <c r="M609" s="1"/>
      <c r="N609" s="1"/>
      <c r="O609" s="1"/>
      <c r="P609" s="1"/>
      <c r="Q609" s="1"/>
      <c r="R609" s="1"/>
      <c r="S609" s="1"/>
    </row>
    <row r="610" spans="1:19" ht="33.75" customHeight="1">
      <c r="A610" s="1" t="s">
        <v>1872</v>
      </c>
      <c r="B610" s="1" t="s">
        <v>1814</v>
      </c>
      <c r="C610" s="1">
        <v>13</v>
      </c>
      <c r="D610" s="4">
        <v>39858.938194444447</v>
      </c>
      <c r="E610" s="1" t="s">
        <v>1089</v>
      </c>
      <c r="F610" s="1"/>
      <c r="G610" s="1"/>
      <c r="H610" s="1"/>
      <c r="I610" s="1"/>
      <c r="J610" s="1"/>
      <c r="K610" s="1"/>
      <c r="L610" s="1"/>
      <c r="M610" s="1"/>
      <c r="N610" s="1"/>
      <c r="O610" s="1"/>
      <c r="P610" s="1"/>
      <c r="Q610" s="1"/>
      <c r="R610" s="1"/>
      <c r="S610" s="1"/>
    </row>
    <row r="611" spans="1:19" ht="33.75" customHeight="1">
      <c r="A611" s="1" t="s">
        <v>1875</v>
      </c>
      <c r="B611" s="1" t="s">
        <v>1814</v>
      </c>
      <c r="C611" s="1">
        <v>13</v>
      </c>
      <c r="D611" s="4">
        <v>39858.949305555558</v>
      </c>
      <c r="E611" s="1" t="s">
        <v>54</v>
      </c>
      <c r="F611" s="1"/>
      <c r="G611" s="1"/>
      <c r="H611" s="1"/>
      <c r="I611" s="1"/>
      <c r="J611" s="1"/>
      <c r="K611" s="1"/>
      <c r="L611" s="1"/>
      <c r="M611" s="1"/>
      <c r="N611" s="1"/>
      <c r="O611" s="1"/>
      <c r="P611" s="1"/>
      <c r="Q611" s="1"/>
      <c r="R611" s="1"/>
      <c r="S611" s="1"/>
    </row>
    <row r="612" spans="1:19" ht="33.75" customHeight="1">
      <c r="A612" s="1" t="s">
        <v>1877</v>
      </c>
      <c r="B612" s="1" t="s">
        <v>1519</v>
      </c>
      <c r="C612" s="1">
        <v>11</v>
      </c>
      <c r="D612" s="4">
        <v>39858.959722222222</v>
      </c>
      <c r="E612" s="1" t="s">
        <v>54</v>
      </c>
      <c r="F612" s="1"/>
      <c r="G612" s="1"/>
      <c r="H612" s="1"/>
      <c r="I612" s="1"/>
      <c r="J612" s="1"/>
      <c r="K612" s="1"/>
      <c r="L612" s="1"/>
      <c r="M612" s="1"/>
      <c r="N612" s="1"/>
      <c r="O612" s="1"/>
      <c r="P612" s="1"/>
      <c r="Q612" s="1"/>
      <c r="R612" s="1"/>
      <c r="S612" s="1"/>
    </row>
    <row r="613" spans="1:19" ht="33.75" customHeight="1">
      <c r="A613" s="1" t="s">
        <v>1880</v>
      </c>
      <c r="B613" s="1" t="s">
        <v>1814</v>
      </c>
      <c r="C613" s="1">
        <v>13</v>
      </c>
      <c r="D613" s="4">
        <v>39859.005555555559</v>
      </c>
      <c r="E613" s="1" t="s">
        <v>1089</v>
      </c>
      <c r="F613" s="1"/>
      <c r="G613" s="1"/>
      <c r="H613" s="1"/>
      <c r="I613" s="1"/>
      <c r="J613" s="1"/>
      <c r="K613" s="1"/>
      <c r="L613" s="1"/>
      <c r="M613" s="1"/>
      <c r="N613" s="1"/>
      <c r="O613" s="1"/>
      <c r="P613" s="1"/>
      <c r="Q613" s="1"/>
      <c r="R613" s="1"/>
      <c r="S613" s="1"/>
    </row>
    <row r="614" spans="1:19" ht="33.75" customHeight="1">
      <c r="A614" s="1" t="s">
        <v>1883</v>
      </c>
      <c r="B614" s="1" t="s">
        <v>1196</v>
      </c>
      <c r="C614" s="1">
        <v>10</v>
      </c>
      <c r="D614" s="4">
        <v>39859.195138888892</v>
      </c>
      <c r="E614" s="1" t="s">
        <v>54</v>
      </c>
      <c r="F614" s="1"/>
      <c r="G614" s="1"/>
      <c r="H614" s="1"/>
      <c r="I614" s="1"/>
      <c r="J614" s="1"/>
      <c r="K614" s="1"/>
      <c r="L614" s="1"/>
      <c r="M614" s="1"/>
      <c r="N614" s="1"/>
      <c r="O614" s="1"/>
      <c r="P614" s="1"/>
      <c r="Q614" s="1"/>
      <c r="R614" s="1"/>
      <c r="S614" s="1"/>
    </row>
    <row r="615" spans="1:19" ht="33.75" customHeight="1">
      <c r="A615" s="1" t="s">
        <v>1886</v>
      </c>
      <c r="B615" s="1" t="s">
        <v>1814</v>
      </c>
      <c r="C615" s="1">
        <v>13</v>
      </c>
      <c r="D615" s="4">
        <v>39859.322222222225</v>
      </c>
      <c r="E615" s="1" t="s">
        <v>1887</v>
      </c>
      <c r="F615" s="1"/>
      <c r="G615" s="1"/>
      <c r="H615" s="1"/>
      <c r="I615" s="1"/>
      <c r="J615" s="1"/>
      <c r="K615" s="1"/>
      <c r="L615" s="1"/>
      <c r="M615" s="1"/>
      <c r="N615" s="1"/>
      <c r="O615" s="1"/>
      <c r="P615" s="1"/>
      <c r="Q615" s="1"/>
      <c r="R615" s="1"/>
      <c r="S615" s="1"/>
    </row>
    <row r="616" spans="1:19" ht="33.75" customHeight="1">
      <c r="A616" s="1" t="s">
        <v>1890</v>
      </c>
      <c r="B616" s="1" t="s">
        <v>1696</v>
      </c>
      <c r="C616" s="1">
        <v>12</v>
      </c>
      <c r="D616" s="4">
        <v>39859.337500000001</v>
      </c>
      <c r="E616" s="1" t="s">
        <v>54</v>
      </c>
      <c r="F616" s="1"/>
      <c r="G616" s="1"/>
      <c r="H616" s="1"/>
      <c r="I616" s="1"/>
      <c r="J616" s="1"/>
      <c r="K616" s="1"/>
      <c r="L616" s="1"/>
      <c r="M616" s="1"/>
      <c r="N616" s="1"/>
      <c r="O616" s="1"/>
      <c r="P616" s="1"/>
      <c r="Q616" s="1"/>
      <c r="R616" s="1"/>
      <c r="S616" s="1"/>
    </row>
    <row r="617" spans="1:19" ht="33.75" customHeight="1">
      <c r="A617" s="1" t="s">
        <v>1894</v>
      </c>
      <c r="B617" s="1" t="s">
        <v>1814</v>
      </c>
      <c r="C617" s="1">
        <v>13</v>
      </c>
      <c r="D617" s="4">
        <v>39859.378472222219</v>
      </c>
      <c r="E617" s="1" t="s">
        <v>54</v>
      </c>
      <c r="F617" s="1"/>
      <c r="G617" s="1"/>
      <c r="H617" s="1"/>
      <c r="I617" s="1"/>
      <c r="J617" s="1"/>
      <c r="K617" s="1"/>
      <c r="L617" s="1"/>
      <c r="M617" s="1"/>
      <c r="N617" s="1"/>
      <c r="O617" s="1"/>
      <c r="P617" s="1"/>
      <c r="Q617" s="1"/>
      <c r="R617" s="1"/>
      <c r="S617" s="1"/>
    </row>
    <row r="618" spans="1:19" ht="33.75" customHeight="1">
      <c r="A618" s="1" t="s">
        <v>1897</v>
      </c>
      <c r="B618" s="1" t="s">
        <v>1196</v>
      </c>
      <c r="C618" s="1">
        <v>10</v>
      </c>
      <c r="D618" s="4">
        <v>39859.394444444442</v>
      </c>
      <c r="E618" s="1" t="s">
        <v>255</v>
      </c>
      <c r="F618" s="1"/>
      <c r="G618" s="1"/>
      <c r="H618" s="1"/>
      <c r="I618" s="1"/>
      <c r="J618" s="1"/>
      <c r="K618" s="1"/>
      <c r="L618" s="1"/>
      <c r="M618" s="1"/>
      <c r="N618" s="1"/>
      <c r="O618" s="1"/>
      <c r="P618" s="1"/>
      <c r="Q618" s="1"/>
      <c r="R618" s="1"/>
      <c r="S618" s="1"/>
    </row>
    <row r="619" spans="1:19" ht="33.75" customHeight="1">
      <c r="A619" s="1" t="s">
        <v>1900</v>
      </c>
      <c r="B619" s="1" t="s">
        <v>1196</v>
      </c>
      <c r="C619" s="1">
        <v>10</v>
      </c>
      <c r="D619" s="4">
        <v>39859.414583333331</v>
      </c>
      <c r="E619" s="1" t="s">
        <v>255</v>
      </c>
      <c r="F619" s="1"/>
      <c r="G619" s="1"/>
      <c r="H619" s="1"/>
      <c r="I619" s="1"/>
      <c r="J619" s="1"/>
      <c r="K619" s="1"/>
      <c r="L619" s="1"/>
      <c r="M619" s="1"/>
      <c r="N619" s="1"/>
      <c r="O619" s="1"/>
      <c r="P619" s="1"/>
      <c r="Q619" s="1"/>
      <c r="R619" s="1"/>
      <c r="S619" s="1"/>
    </row>
    <row r="620" spans="1:19" ht="33.75" customHeight="1">
      <c r="A620" s="1" t="s">
        <v>1902</v>
      </c>
      <c r="B620" s="1" t="s">
        <v>1814</v>
      </c>
      <c r="C620" s="1">
        <v>13</v>
      </c>
      <c r="D620" s="4">
        <v>39859.470833333333</v>
      </c>
      <c r="E620" s="1" t="s">
        <v>772</v>
      </c>
      <c r="F620" s="1"/>
      <c r="G620" s="1"/>
      <c r="H620" s="1"/>
      <c r="I620" s="1"/>
      <c r="J620" s="1"/>
      <c r="K620" s="1"/>
      <c r="L620" s="1"/>
      <c r="M620" s="1"/>
      <c r="N620" s="1"/>
      <c r="O620" s="1"/>
      <c r="P620" s="1"/>
      <c r="Q620" s="1"/>
      <c r="R620" s="1"/>
      <c r="S620" s="1"/>
    </row>
    <row r="621" spans="1:19" ht="33.75" customHeight="1">
      <c r="A621" s="1" t="s">
        <v>1904</v>
      </c>
      <c r="B621" s="1" t="s">
        <v>1814</v>
      </c>
      <c r="C621" s="1">
        <v>13</v>
      </c>
      <c r="D621" s="4">
        <v>39859.491666666669</v>
      </c>
      <c r="E621" s="1" t="s">
        <v>772</v>
      </c>
      <c r="F621" s="1"/>
      <c r="G621" s="1"/>
      <c r="H621" s="1"/>
      <c r="I621" s="1"/>
      <c r="J621" s="1"/>
      <c r="K621" s="1"/>
      <c r="L621" s="1"/>
      <c r="M621" s="1"/>
      <c r="N621" s="1"/>
      <c r="O621" s="1"/>
      <c r="P621" s="1"/>
      <c r="Q621" s="1"/>
      <c r="R621" s="1"/>
      <c r="S621" s="1"/>
    </row>
    <row r="622" spans="1:19" ht="33.75" customHeight="1">
      <c r="A622" s="1" t="s">
        <v>1906</v>
      </c>
      <c r="B622" s="1" t="s">
        <v>1814</v>
      </c>
      <c r="C622" s="1">
        <v>13</v>
      </c>
      <c r="D622" s="4">
        <v>39859.574999999997</v>
      </c>
      <c r="E622" s="1" t="s">
        <v>54</v>
      </c>
      <c r="F622" s="1"/>
      <c r="G622" s="1"/>
      <c r="H622" s="1"/>
      <c r="I622" s="1"/>
      <c r="J622" s="1"/>
      <c r="K622" s="1"/>
      <c r="L622" s="1"/>
      <c r="M622" s="1"/>
      <c r="N622" s="1"/>
      <c r="O622" s="1"/>
      <c r="P622" s="1"/>
      <c r="Q622" s="1"/>
      <c r="R622" s="1"/>
      <c r="S622" s="1"/>
    </row>
    <row r="623" spans="1:19" ht="33.75" customHeight="1">
      <c r="A623" s="1" t="s">
        <v>1908</v>
      </c>
      <c r="B623" s="1" t="s">
        <v>1814</v>
      </c>
      <c r="C623" s="1">
        <v>13</v>
      </c>
      <c r="D623" s="4">
        <v>39859.586111111108</v>
      </c>
      <c r="E623" s="1" t="s">
        <v>1887</v>
      </c>
      <c r="F623" s="1"/>
      <c r="G623" s="1"/>
      <c r="H623" s="1"/>
      <c r="I623" s="1"/>
      <c r="J623" s="1"/>
      <c r="K623" s="1"/>
      <c r="L623" s="1"/>
      <c r="M623" s="1"/>
      <c r="N623" s="1"/>
      <c r="O623" s="1"/>
      <c r="P623" s="1"/>
      <c r="Q623" s="1"/>
      <c r="R623" s="1"/>
      <c r="S623" s="1"/>
    </row>
    <row r="624" spans="1:19" ht="33.75" customHeight="1">
      <c r="A624" s="1" t="s">
        <v>1911</v>
      </c>
      <c r="B624" s="1" t="s">
        <v>1814</v>
      </c>
      <c r="C624" s="1">
        <v>13</v>
      </c>
      <c r="D624" s="4">
        <v>39859.613194444442</v>
      </c>
      <c r="E624" s="1" t="s">
        <v>54</v>
      </c>
      <c r="F624" s="1"/>
      <c r="G624" s="1"/>
      <c r="H624" s="1"/>
      <c r="I624" s="1"/>
      <c r="J624" s="1"/>
      <c r="K624" s="1"/>
      <c r="L624" s="1"/>
      <c r="M624" s="1"/>
      <c r="N624" s="1"/>
      <c r="O624" s="1"/>
      <c r="P624" s="1"/>
      <c r="Q624" s="1"/>
      <c r="R624" s="1"/>
      <c r="S624" s="1"/>
    </row>
    <row r="625" spans="1:19" ht="33.75" customHeight="1">
      <c r="A625" s="1" t="s">
        <v>1913</v>
      </c>
      <c r="B625" s="1" t="s">
        <v>1696</v>
      </c>
      <c r="C625" s="1">
        <v>12</v>
      </c>
      <c r="D625" s="4">
        <v>39859.661805555559</v>
      </c>
      <c r="E625" s="1" t="s">
        <v>14</v>
      </c>
      <c r="F625" s="1"/>
      <c r="G625" s="1"/>
      <c r="H625" s="1"/>
      <c r="I625" s="1"/>
      <c r="J625" s="1"/>
      <c r="K625" s="1"/>
      <c r="L625" s="1"/>
      <c r="M625" s="1"/>
      <c r="N625" s="1"/>
      <c r="O625" s="1"/>
      <c r="P625" s="1"/>
      <c r="Q625" s="1"/>
      <c r="R625" s="1"/>
      <c r="S625" s="1"/>
    </row>
    <row r="626" spans="1:19" ht="33.75" customHeight="1">
      <c r="A626" s="1" t="s">
        <v>1915</v>
      </c>
      <c r="B626" s="1" t="s">
        <v>1519</v>
      </c>
      <c r="C626" s="1">
        <v>11</v>
      </c>
      <c r="D626" s="4">
        <v>39859.679861111108</v>
      </c>
      <c r="E626" s="1" t="s">
        <v>54</v>
      </c>
      <c r="F626" s="1"/>
      <c r="G626" s="1"/>
      <c r="H626" s="1"/>
      <c r="I626" s="1"/>
      <c r="J626" s="1"/>
      <c r="K626" s="1"/>
      <c r="L626" s="1"/>
      <c r="M626" s="1"/>
      <c r="N626" s="1"/>
      <c r="O626" s="1"/>
      <c r="P626" s="1"/>
      <c r="Q626" s="1"/>
      <c r="R626" s="1"/>
      <c r="S626" s="1"/>
    </row>
    <row r="627" spans="1:19" ht="33.75" customHeight="1">
      <c r="A627" s="1" t="s">
        <v>1918</v>
      </c>
      <c r="B627" s="1" t="s">
        <v>1814</v>
      </c>
      <c r="C627" s="1">
        <v>13</v>
      </c>
      <c r="D627" s="4">
        <v>39859.699999999997</v>
      </c>
      <c r="E627" s="1" t="s">
        <v>1089</v>
      </c>
      <c r="F627" s="1"/>
      <c r="G627" s="1"/>
      <c r="H627" s="1"/>
      <c r="I627" s="1"/>
      <c r="J627" s="1"/>
      <c r="K627" s="1"/>
      <c r="L627" s="1"/>
      <c r="M627" s="1"/>
      <c r="N627" s="1"/>
      <c r="O627" s="1"/>
      <c r="P627" s="1"/>
      <c r="Q627" s="1"/>
      <c r="R627" s="1"/>
      <c r="S627" s="1"/>
    </row>
    <row r="628" spans="1:19" ht="33.75" customHeight="1">
      <c r="A628" s="1" t="s">
        <v>1921</v>
      </c>
      <c r="B628" s="1" t="s">
        <v>1696</v>
      </c>
      <c r="C628" s="1">
        <v>12</v>
      </c>
      <c r="D628" s="4">
        <v>39859.727777777778</v>
      </c>
      <c r="E628" s="1" t="s">
        <v>14</v>
      </c>
      <c r="F628" s="1"/>
      <c r="G628" s="1"/>
      <c r="H628" s="1"/>
      <c r="I628" s="1"/>
      <c r="J628" s="1"/>
      <c r="K628" s="1"/>
      <c r="L628" s="1"/>
      <c r="M628" s="1"/>
      <c r="N628" s="1"/>
      <c r="O628" s="1"/>
      <c r="P628" s="1"/>
      <c r="Q628" s="1"/>
      <c r="R628" s="1"/>
      <c r="S628" s="1"/>
    </row>
    <row r="629" spans="1:19" ht="33.75" customHeight="1">
      <c r="A629" s="1" t="s">
        <v>1924</v>
      </c>
      <c r="B629" s="1" t="s">
        <v>1814</v>
      </c>
      <c r="C629" s="1">
        <v>13</v>
      </c>
      <c r="D629" s="4">
        <v>39859.728472222225</v>
      </c>
      <c r="E629" s="1" t="s">
        <v>196</v>
      </c>
      <c r="F629" s="1"/>
      <c r="G629" s="1"/>
      <c r="H629" s="1"/>
      <c r="I629" s="1"/>
      <c r="J629" s="1"/>
      <c r="K629" s="1"/>
      <c r="L629" s="1"/>
      <c r="M629" s="1"/>
      <c r="N629" s="1"/>
      <c r="O629" s="1"/>
      <c r="P629" s="1"/>
      <c r="Q629" s="1"/>
      <c r="R629" s="1"/>
      <c r="S629" s="1"/>
    </row>
    <row r="630" spans="1:19" ht="33.75" customHeight="1">
      <c r="A630" s="1" t="s">
        <v>1927</v>
      </c>
      <c r="B630" s="1" t="s">
        <v>1814</v>
      </c>
      <c r="C630" s="1">
        <v>13</v>
      </c>
      <c r="D630" s="4">
        <v>39859.738194444442</v>
      </c>
      <c r="E630" s="1" t="s">
        <v>54</v>
      </c>
      <c r="F630" s="1"/>
      <c r="G630" s="1"/>
      <c r="H630" s="1"/>
      <c r="I630" s="1"/>
      <c r="J630" s="1"/>
      <c r="K630" s="1"/>
      <c r="L630" s="1"/>
      <c r="M630" s="1"/>
      <c r="N630" s="1"/>
      <c r="O630" s="1"/>
      <c r="P630" s="1"/>
      <c r="Q630" s="1"/>
      <c r="R630" s="1"/>
      <c r="S630" s="1"/>
    </row>
    <row r="631" spans="1:19" ht="33.75" customHeight="1">
      <c r="A631" s="1" t="s">
        <v>1929</v>
      </c>
      <c r="B631" s="1" t="s">
        <v>1814</v>
      </c>
      <c r="C631" s="1">
        <v>13</v>
      </c>
      <c r="D631" s="4">
        <v>39859.742361111108</v>
      </c>
      <c r="E631" s="1" t="s">
        <v>54</v>
      </c>
      <c r="F631" s="1"/>
      <c r="G631" s="1"/>
      <c r="H631" s="1"/>
      <c r="I631" s="1"/>
      <c r="J631" s="1"/>
      <c r="K631" s="1"/>
      <c r="L631" s="1"/>
      <c r="M631" s="1"/>
      <c r="N631" s="1"/>
      <c r="O631" s="1"/>
      <c r="P631" s="1"/>
      <c r="Q631" s="1"/>
      <c r="R631" s="1"/>
      <c r="S631" s="1"/>
    </row>
    <row r="632" spans="1:19" ht="33.75" customHeight="1">
      <c r="A632" s="1" t="s">
        <v>1932</v>
      </c>
      <c r="B632" s="1" t="s">
        <v>1814</v>
      </c>
      <c r="C632" s="1">
        <v>13</v>
      </c>
      <c r="D632" s="4">
        <v>39859.75</v>
      </c>
      <c r="E632" s="1" t="s">
        <v>196</v>
      </c>
      <c r="F632" s="1"/>
      <c r="G632" s="1"/>
      <c r="H632" s="1"/>
      <c r="I632" s="1"/>
      <c r="J632" s="1"/>
      <c r="K632" s="1"/>
      <c r="L632" s="1"/>
      <c r="M632" s="1"/>
      <c r="N632" s="1"/>
      <c r="O632" s="1"/>
      <c r="P632" s="1"/>
      <c r="Q632" s="1"/>
      <c r="R632" s="1"/>
      <c r="S632" s="1"/>
    </row>
    <row r="633" spans="1:19" ht="33.75" customHeight="1">
      <c r="A633" s="1" t="s">
        <v>1934</v>
      </c>
      <c r="B633" s="1" t="s">
        <v>1696</v>
      </c>
      <c r="C633" s="1">
        <v>12</v>
      </c>
      <c r="D633" s="4">
        <v>39859.770138888889</v>
      </c>
      <c r="E633" s="1" t="s">
        <v>54</v>
      </c>
      <c r="F633" s="1"/>
      <c r="G633" s="1"/>
      <c r="H633" s="1"/>
      <c r="I633" s="1"/>
      <c r="J633" s="1"/>
      <c r="K633" s="1"/>
      <c r="L633" s="1"/>
      <c r="M633" s="1"/>
      <c r="N633" s="1"/>
      <c r="O633" s="1"/>
      <c r="P633" s="1"/>
      <c r="Q633" s="1"/>
      <c r="R633" s="1"/>
      <c r="S633" s="1"/>
    </row>
    <row r="634" spans="1:19" ht="33.75" customHeight="1">
      <c r="A634" s="1" t="s">
        <v>1937</v>
      </c>
      <c r="B634" s="1" t="s">
        <v>1814</v>
      </c>
      <c r="C634" s="1">
        <v>13</v>
      </c>
      <c r="D634" s="4">
        <v>39859.772916666669</v>
      </c>
      <c r="E634" s="1" t="s">
        <v>196</v>
      </c>
      <c r="F634" s="1"/>
      <c r="G634" s="1"/>
      <c r="H634" s="1"/>
      <c r="I634" s="1"/>
      <c r="J634" s="1"/>
      <c r="K634" s="1"/>
      <c r="L634" s="1"/>
      <c r="M634" s="1"/>
      <c r="N634" s="1"/>
      <c r="O634" s="1"/>
      <c r="P634" s="1"/>
      <c r="Q634" s="1"/>
      <c r="R634" s="1"/>
      <c r="S634" s="1"/>
    </row>
    <row r="635" spans="1:19" ht="33.75" customHeight="1">
      <c r="A635" s="1" t="s">
        <v>1939</v>
      </c>
      <c r="B635" s="1" t="s">
        <v>1696</v>
      </c>
      <c r="C635" s="1">
        <v>12</v>
      </c>
      <c r="D635" s="4">
        <v>39860.027777777781</v>
      </c>
      <c r="E635" s="1" t="s">
        <v>1528</v>
      </c>
      <c r="F635" s="1"/>
      <c r="G635" s="1"/>
      <c r="H635" s="1"/>
      <c r="I635" s="1"/>
      <c r="J635" s="1"/>
      <c r="K635" s="1"/>
      <c r="L635" s="1"/>
      <c r="M635" s="1"/>
      <c r="N635" s="1"/>
      <c r="O635" s="1"/>
      <c r="P635" s="1"/>
      <c r="Q635" s="1"/>
      <c r="R635" s="1"/>
      <c r="S635" s="1"/>
    </row>
    <row r="636" spans="1:19" ht="33.75" customHeight="1">
      <c r="A636" s="1" t="s">
        <v>1940</v>
      </c>
      <c r="B636" s="1" t="s">
        <v>1696</v>
      </c>
      <c r="C636" s="1">
        <v>12</v>
      </c>
      <c r="D636" s="4">
        <v>39859.957638888889</v>
      </c>
      <c r="E636" s="1" t="s">
        <v>54</v>
      </c>
      <c r="F636" s="1"/>
      <c r="G636" s="1"/>
      <c r="H636" s="1"/>
      <c r="I636" s="1"/>
      <c r="J636" s="1"/>
      <c r="K636" s="1"/>
      <c r="L636" s="1"/>
      <c r="M636" s="1"/>
      <c r="N636" s="1"/>
      <c r="O636" s="1"/>
      <c r="P636" s="1"/>
      <c r="Q636" s="1"/>
      <c r="R636" s="1"/>
      <c r="S636" s="1"/>
    </row>
    <row r="637" spans="1:19" ht="33.75" customHeight="1">
      <c r="A637" s="1" t="s">
        <v>1943</v>
      </c>
      <c r="B637" s="1" t="s">
        <v>1696</v>
      </c>
      <c r="C637" s="1">
        <v>12</v>
      </c>
      <c r="D637" s="4">
        <v>39860.944444444445</v>
      </c>
      <c r="E637" s="1" t="s">
        <v>1528</v>
      </c>
      <c r="F637" s="1"/>
      <c r="G637" s="1"/>
      <c r="H637" s="1"/>
      <c r="I637" s="1"/>
      <c r="J637" s="1"/>
      <c r="K637" s="1"/>
      <c r="L637" s="1"/>
      <c r="M637" s="1"/>
      <c r="N637" s="1"/>
      <c r="O637" s="1"/>
      <c r="P637" s="1"/>
      <c r="Q637" s="1"/>
      <c r="R637" s="1"/>
      <c r="S637" s="1"/>
    </row>
    <row r="638" spans="1:19" ht="33.75" customHeight="1">
      <c r="A638" s="1" t="s">
        <v>1946</v>
      </c>
      <c r="B638" s="1" t="s">
        <v>1696</v>
      </c>
      <c r="C638" s="1">
        <v>12</v>
      </c>
      <c r="D638" s="4">
        <v>39860.076388888891</v>
      </c>
      <c r="E638" s="1" t="s">
        <v>54</v>
      </c>
      <c r="F638" s="1"/>
      <c r="G638" s="1"/>
      <c r="H638" s="1"/>
      <c r="I638" s="1"/>
      <c r="J638" s="1"/>
      <c r="K638" s="1"/>
      <c r="L638" s="1"/>
      <c r="M638" s="1"/>
      <c r="N638" s="1"/>
      <c r="O638" s="1"/>
      <c r="P638" s="1"/>
      <c r="Q638" s="1"/>
      <c r="R638" s="1"/>
      <c r="S638" s="1"/>
    </row>
    <row r="639" spans="1:19" ht="33.75" customHeight="1">
      <c r="A639" s="1" t="s">
        <v>1948</v>
      </c>
      <c r="B639" s="1" t="s">
        <v>1814</v>
      </c>
      <c r="C639" s="1">
        <v>13</v>
      </c>
      <c r="D639" s="4">
        <v>39860.166666666664</v>
      </c>
      <c r="E639" s="1" t="s">
        <v>1089</v>
      </c>
      <c r="F639" s="1"/>
      <c r="G639" s="1"/>
      <c r="H639" s="1"/>
      <c r="I639" s="1"/>
      <c r="J639" s="1"/>
      <c r="K639" s="1"/>
      <c r="L639" s="1"/>
      <c r="M639" s="1"/>
      <c r="N639" s="1"/>
      <c r="O639" s="1"/>
      <c r="P639" s="1"/>
      <c r="Q639" s="1"/>
      <c r="R639" s="1"/>
      <c r="S639" s="1"/>
    </row>
    <row r="640" spans="1:19" ht="33.75" customHeight="1">
      <c r="A640" s="1" t="s">
        <v>1950</v>
      </c>
      <c r="B640" s="1" t="s">
        <v>1696</v>
      </c>
      <c r="C640" s="1">
        <v>12</v>
      </c>
      <c r="D640" s="4">
        <v>39860.232638888891</v>
      </c>
      <c r="E640" s="1" t="s">
        <v>320</v>
      </c>
      <c r="F640" s="1"/>
      <c r="G640" s="1"/>
      <c r="H640" s="1"/>
      <c r="I640" s="1"/>
      <c r="J640" s="1"/>
      <c r="K640" s="1"/>
      <c r="L640" s="1"/>
      <c r="M640" s="1"/>
      <c r="N640" s="1"/>
      <c r="O640" s="1"/>
      <c r="P640" s="1"/>
      <c r="Q640" s="1"/>
      <c r="R640" s="1"/>
      <c r="S640" s="1"/>
    </row>
    <row r="641" spans="1:19" ht="33.75" customHeight="1">
      <c r="A641" s="1" t="s">
        <v>1952</v>
      </c>
      <c r="B641" s="1" t="s">
        <v>1814</v>
      </c>
      <c r="C641" s="1">
        <v>13</v>
      </c>
      <c r="D641" s="4">
        <v>39860.241666666669</v>
      </c>
      <c r="E641" s="1" t="s">
        <v>84</v>
      </c>
      <c r="F641" s="1"/>
      <c r="G641" s="1"/>
      <c r="H641" s="1"/>
      <c r="I641" s="1"/>
      <c r="J641" s="1"/>
      <c r="K641" s="1"/>
      <c r="L641" s="1"/>
      <c r="M641" s="1"/>
      <c r="N641" s="1"/>
      <c r="O641" s="1"/>
      <c r="P641" s="1"/>
      <c r="Q641" s="1"/>
      <c r="R641" s="1"/>
      <c r="S641" s="1"/>
    </row>
    <row r="642" spans="1:19" ht="33.75" customHeight="1">
      <c r="A642" s="1" t="s">
        <v>1955</v>
      </c>
      <c r="B642" s="1" t="s">
        <v>1696</v>
      </c>
      <c r="C642" s="1">
        <v>12</v>
      </c>
      <c r="D642" s="4">
        <v>39860.334027777775</v>
      </c>
      <c r="E642" s="1" t="s">
        <v>255</v>
      </c>
      <c r="F642" s="1"/>
      <c r="G642" s="1"/>
      <c r="H642" s="1"/>
      <c r="I642" s="1"/>
      <c r="J642" s="1"/>
      <c r="K642" s="1"/>
      <c r="L642" s="1"/>
      <c r="M642" s="1"/>
      <c r="N642" s="1"/>
      <c r="O642" s="1"/>
      <c r="P642" s="1"/>
      <c r="Q642" s="1"/>
      <c r="R642" s="1"/>
      <c r="S642" s="1"/>
    </row>
    <row r="643" spans="1:19" ht="33.75" customHeight="1">
      <c r="A643" s="1" t="s">
        <v>1957</v>
      </c>
      <c r="B643" s="1" t="s">
        <v>1696</v>
      </c>
      <c r="C643" s="1">
        <v>12</v>
      </c>
      <c r="D643" s="4">
        <v>39860.359722222223</v>
      </c>
      <c r="E643" s="1" t="s">
        <v>54</v>
      </c>
      <c r="F643" s="1"/>
      <c r="G643" s="1"/>
      <c r="H643" s="1"/>
      <c r="I643" s="1"/>
      <c r="J643" s="1"/>
      <c r="K643" s="1"/>
      <c r="L643" s="1"/>
      <c r="M643" s="1"/>
      <c r="N643" s="1"/>
      <c r="O643" s="1"/>
      <c r="P643" s="1"/>
      <c r="Q643" s="1"/>
      <c r="R643" s="1"/>
      <c r="S643" s="1"/>
    </row>
    <row r="644" spans="1:19" ht="33.75" customHeight="1">
      <c r="A644" s="1" t="s">
        <v>1959</v>
      </c>
      <c r="B644" s="1" t="s">
        <v>1696</v>
      </c>
      <c r="C644" s="1">
        <v>12</v>
      </c>
      <c r="D644" s="4">
        <v>39860.374305555553</v>
      </c>
      <c r="E644" s="1" t="s">
        <v>54</v>
      </c>
      <c r="F644" s="1"/>
      <c r="G644" s="1"/>
      <c r="H644" s="1"/>
      <c r="I644" s="1"/>
      <c r="J644" s="1"/>
      <c r="K644" s="1"/>
      <c r="L644" s="1"/>
      <c r="M644" s="1"/>
      <c r="N644" s="1"/>
      <c r="O644" s="1"/>
      <c r="P644" s="1"/>
      <c r="Q644" s="1"/>
      <c r="R644" s="1"/>
      <c r="S644" s="1"/>
    </row>
    <row r="645" spans="1:19" ht="33.75" customHeight="1">
      <c r="A645" s="1" t="s">
        <v>1962</v>
      </c>
      <c r="B645" s="1" t="s">
        <v>1814</v>
      </c>
      <c r="C645" s="1">
        <v>13</v>
      </c>
      <c r="D645" s="4">
        <v>39860.377083333333</v>
      </c>
      <c r="E645" s="1" t="s">
        <v>196</v>
      </c>
      <c r="F645" s="1"/>
      <c r="G645" s="1"/>
      <c r="H645" s="1"/>
      <c r="I645" s="1"/>
      <c r="J645" s="1"/>
      <c r="K645" s="1"/>
      <c r="L645" s="1"/>
      <c r="M645" s="1"/>
      <c r="N645" s="1"/>
      <c r="O645" s="1"/>
      <c r="P645" s="1"/>
      <c r="Q645" s="1"/>
      <c r="R645" s="1"/>
      <c r="S645" s="1"/>
    </row>
    <row r="646" spans="1:19" ht="33.75" customHeight="1">
      <c r="A646" s="1" t="s">
        <v>1964</v>
      </c>
      <c r="B646" s="1" t="s">
        <v>1814</v>
      </c>
      <c r="C646" s="1">
        <v>13</v>
      </c>
      <c r="D646" s="4">
        <v>39860.381249999999</v>
      </c>
      <c r="E646" s="1" t="s">
        <v>196</v>
      </c>
      <c r="F646" s="1"/>
      <c r="G646" s="1"/>
      <c r="H646" s="1"/>
      <c r="I646" s="1"/>
      <c r="J646" s="1"/>
      <c r="K646" s="1"/>
      <c r="L646" s="1"/>
      <c r="M646" s="1"/>
      <c r="N646" s="1"/>
      <c r="O646" s="1"/>
      <c r="P646" s="1"/>
      <c r="Q646" s="1"/>
      <c r="R646" s="1"/>
      <c r="S646" s="1"/>
    </row>
    <row r="647" spans="1:19" ht="33.75" customHeight="1">
      <c r="A647" s="1" t="s">
        <v>1967</v>
      </c>
      <c r="B647" s="1" t="s">
        <v>1814</v>
      </c>
      <c r="C647" s="1">
        <v>13</v>
      </c>
      <c r="D647" s="4">
        <v>39860.397916666669</v>
      </c>
      <c r="E647" s="1" t="s">
        <v>196</v>
      </c>
      <c r="F647" s="1"/>
      <c r="G647" s="1"/>
      <c r="H647" s="1"/>
      <c r="I647" s="1"/>
      <c r="J647" s="1"/>
      <c r="K647" s="1"/>
      <c r="L647" s="1"/>
      <c r="M647" s="1"/>
      <c r="N647" s="1"/>
      <c r="O647" s="1"/>
      <c r="P647" s="1"/>
      <c r="Q647" s="1"/>
      <c r="R647" s="1"/>
      <c r="S647" s="1"/>
    </row>
    <row r="648" spans="1:19" ht="33.75" customHeight="1">
      <c r="A648" s="1" t="s">
        <v>1969</v>
      </c>
      <c r="B648" s="1" t="s">
        <v>1814</v>
      </c>
      <c r="C648" s="1">
        <v>13</v>
      </c>
      <c r="D648" s="4">
        <v>39860.40625</v>
      </c>
      <c r="E648" s="1" t="s">
        <v>1887</v>
      </c>
      <c r="F648" s="1"/>
      <c r="G648" s="1"/>
      <c r="H648" s="1"/>
      <c r="I648" s="1"/>
      <c r="J648" s="1"/>
      <c r="K648" s="1"/>
      <c r="L648" s="1"/>
      <c r="M648" s="1"/>
      <c r="N648" s="1"/>
      <c r="O648" s="1"/>
      <c r="P648" s="1"/>
      <c r="Q648" s="1"/>
      <c r="R648" s="1"/>
      <c r="S648" s="1"/>
    </row>
    <row r="649" spans="1:19" ht="33.75" customHeight="1">
      <c r="A649" s="1" t="s">
        <v>1971</v>
      </c>
      <c r="B649" s="1" t="s">
        <v>1814</v>
      </c>
      <c r="C649" s="1">
        <v>13</v>
      </c>
      <c r="D649" s="4">
        <v>39860.411111111112</v>
      </c>
      <c r="E649" s="1" t="s">
        <v>1887</v>
      </c>
      <c r="F649" s="1"/>
      <c r="G649" s="1"/>
      <c r="H649" s="1"/>
      <c r="I649" s="1"/>
      <c r="J649" s="1"/>
      <c r="K649" s="1"/>
      <c r="L649" s="1"/>
      <c r="M649" s="1"/>
      <c r="N649" s="1"/>
      <c r="O649" s="1"/>
      <c r="P649" s="1"/>
      <c r="Q649" s="1"/>
      <c r="R649" s="1"/>
      <c r="S649" s="1"/>
    </row>
    <row r="650" spans="1:19" ht="33.75" customHeight="1">
      <c r="A650" s="1" t="s">
        <v>1974</v>
      </c>
      <c r="B650" s="1" t="s">
        <v>1814</v>
      </c>
      <c r="C650" s="1">
        <v>13</v>
      </c>
      <c r="D650" s="4">
        <v>39860.444444444445</v>
      </c>
      <c r="E650" s="1" t="s">
        <v>54</v>
      </c>
      <c r="F650" s="1"/>
      <c r="G650" s="1"/>
      <c r="H650" s="1"/>
      <c r="I650" s="1"/>
      <c r="J650" s="1"/>
      <c r="K650" s="1"/>
      <c r="L650" s="1"/>
      <c r="M650" s="1"/>
      <c r="N650" s="1"/>
      <c r="O650" s="1"/>
      <c r="P650" s="1"/>
      <c r="Q650" s="1"/>
      <c r="R650" s="1"/>
      <c r="S650" s="1"/>
    </row>
    <row r="651" spans="1:19" ht="33.75" customHeight="1">
      <c r="A651" s="1" t="s">
        <v>1977</v>
      </c>
      <c r="B651" s="1" t="s">
        <v>1814</v>
      </c>
      <c r="C651" s="1">
        <v>13</v>
      </c>
      <c r="D651" s="4">
        <v>39860.540277777778</v>
      </c>
      <c r="E651" s="1" t="s">
        <v>474</v>
      </c>
      <c r="F651" s="1"/>
      <c r="G651" s="1"/>
      <c r="H651" s="1"/>
      <c r="I651" s="1"/>
      <c r="J651" s="1"/>
      <c r="K651" s="1"/>
      <c r="L651" s="1"/>
      <c r="M651" s="1"/>
      <c r="N651" s="1"/>
      <c r="O651" s="1"/>
      <c r="P651" s="1"/>
      <c r="Q651" s="1"/>
      <c r="R651" s="1"/>
      <c r="S651" s="1"/>
    </row>
    <row r="652" spans="1:19" ht="33.75" customHeight="1">
      <c r="A652" s="1" t="s">
        <v>1981</v>
      </c>
      <c r="B652" s="1" t="s">
        <v>1519</v>
      </c>
      <c r="C652" s="1">
        <v>11</v>
      </c>
      <c r="D652" s="4">
        <v>39860.541666666664</v>
      </c>
      <c r="E652" s="1" t="s">
        <v>320</v>
      </c>
      <c r="F652" s="1"/>
      <c r="G652" s="1"/>
      <c r="H652" s="1"/>
      <c r="I652" s="1"/>
      <c r="J652" s="1"/>
      <c r="K652" s="1"/>
      <c r="L652" s="1"/>
      <c r="M652" s="1"/>
      <c r="N652" s="1"/>
      <c r="O652" s="1"/>
      <c r="P652" s="1"/>
      <c r="Q652" s="1"/>
      <c r="R652" s="1"/>
      <c r="S652" s="1"/>
    </row>
    <row r="653" spans="1:19" ht="33.75" customHeight="1">
      <c r="A653" s="1" t="s">
        <v>1984</v>
      </c>
      <c r="B653" s="1" t="s">
        <v>1814</v>
      </c>
      <c r="C653" s="1">
        <v>13</v>
      </c>
      <c r="D653" s="4">
        <v>39860.587500000001</v>
      </c>
      <c r="E653" s="1" t="s">
        <v>84</v>
      </c>
      <c r="F653" s="1"/>
      <c r="G653" s="1"/>
      <c r="H653" s="1"/>
      <c r="I653" s="1"/>
      <c r="J653" s="1"/>
      <c r="K653" s="1"/>
      <c r="L653" s="1"/>
      <c r="M653" s="1"/>
      <c r="N653" s="1"/>
      <c r="O653" s="1"/>
      <c r="P653" s="1"/>
      <c r="Q653" s="1"/>
      <c r="R653" s="1"/>
      <c r="S653" s="1"/>
    </row>
    <row r="654" spans="1:19" ht="33.75" customHeight="1">
      <c r="A654" s="1" t="s">
        <v>1988</v>
      </c>
      <c r="B654" s="1" t="s">
        <v>1696</v>
      </c>
      <c r="C654" s="1">
        <v>12</v>
      </c>
      <c r="D654" s="4">
        <v>39860.598611111112</v>
      </c>
      <c r="E654" s="1" t="s">
        <v>314</v>
      </c>
      <c r="F654" s="1"/>
      <c r="G654" s="1"/>
      <c r="H654" s="1"/>
      <c r="I654" s="1"/>
      <c r="J654" s="1"/>
      <c r="K654" s="1"/>
      <c r="L654" s="1"/>
      <c r="M654" s="1"/>
      <c r="N654" s="1"/>
      <c r="O654" s="1"/>
      <c r="P654" s="1"/>
      <c r="Q654" s="1"/>
      <c r="R654" s="1"/>
      <c r="S654" s="1"/>
    </row>
    <row r="655" spans="1:19" ht="33.75" customHeight="1">
      <c r="A655" s="1" t="s">
        <v>1990</v>
      </c>
      <c r="B655" s="1" t="s">
        <v>1519</v>
      </c>
      <c r="C655" s="1">
        <v>11</v>
      </c>
      <c r="D655" s="4">
        <v>39860.624305555553</v>
      </c>
      <c r="E655" s="1" t="s">
        <v>54</v>
      </c>
      <c r="F655" s="1"/>
      <c r="G655" s="1"/>
      <c r="H655" s="1"/>
      <c r="I655" s="1"/>
      <c r="J655" s="1"/>
      <c r="K655" s="1"/>
      <c r="L655" s="1"/>
      <c r="M655" s="1"/>
      <c r="N655" s="1"/>
      <c r="O655" s="1"/>
      <c r="P655" s="1"/>
      <c r="Q655" s="1"/>
      <c r="R655" s="1"/>
      <c r="S655" s="1"/>
    </row>
    <row r="656" spans="1:19" ht="33.75" customHeight="1">
      <c r="A656" s="1" t="s">
        <v>1993</v>
      </c>
      <c r="B656" s="1" t="s">
        <v>1696</v>
      </c>
      <c r="C656" s="1">
        <v>12</v>
      </c>
      <c r="D656" s="4">
        <v>39860.637499999997</v>
      </c>
      <c r="E656" s="1" t="s">
        <v>320</v>
      </c>
      <c r="F656" s="1"/>
      <c r="G656" s="1"/>
      <c r="H656" s="1"/>
      <c r="I656" s="1"/>
      <c r="J656" s="1"/>
      <c r="K656" s="1"/>
      <c r="L656" s="1"/>
      <c r="M656" s="1"/>
      <c r="N656" s="1"/>
      <c r="O656" s="1"/>
      <c r="P656" s="1"/>
      <c r="Q656" s="1"/>
      <c r="R656" s="1"/>
      <c r="S656" s="1"/>
    </row>
    <row r="657" spans="1:19" ht="33.75" customHeight="1">
      <c r="A657" s="1" t="s">
        <v>1995</v>
      </c>
      <c r="B657" s="1" t="s">
        <v>1519</v>
      </c>
      <c r="C657" s="1">
        <v>11</v>
      </c>
      <c r="D657" s="4">
        <v>39860.63958333333</v>
      </c>
      <c r="E657" s="1" t="s">
        <v>54</v>
      </c>
      <c r="F657" s="1"/>
      <c r="G657" s="1"/>
      <c r="H657" s="1"/>
      <c r="I657" s="1"/>
      <c r="J657" s="1"/>
      <c r="K657" s="1"/>
      <c r="L657" s="1"/>
      <c r="M657" s="1"/>
      <c r="N657" s="1"/>
      <c r="O657" s="1"/>
      <c r="P657" s="1"/>
      <c r="Q657" s="1"/>
      <c r="R657" s="1"/>
      <c r="S657" s="1"/>
    </row>
    <row r="658" spans="1:19" ht="33.75" customHeight="1">
      <c r="A658" s="1" t="s">
        <v>1998</v>
      </c>
      <c r="B658" s="1" t="s">
        <v>1696</v>
      </c>
      <c r="C658" s="1">
        <v>12</v>
      </c>
      <c r="D658" s="4">
        <v>39860.661111111112</v>
      </c>
      <c r="E658" s="1" t="s">
        <v>320</v>
      </c>
      <c r="F658" s="1"/>
      <c r="G658" s="1"/>
      <c r="H658" s="1"/>
      <c r="I658" s="1"/>
      <c r="J658" s="1"/>
      <c r="K658" s="1"/>
      <c r="L658" s="1"/>
      <c r="M658" s="1"/>
      <c r="N658" s="1"/>
      <c r="O658" s="1"/>
      <c r="P658" s="1"/>
      <c r="Q658" s="1"/>
      <c r="R658" s="1"/>
      <c r="S658" s="1"/>
    </row>
    <row r="659" spans="1:19" ht="33.75" customHeight="1">
      <c r="A659" s="1" t="s">
        <v>2000</v>
      </c>
      <c r="B659" s="1" t="s">
        <v>1696</v>
      </c>
      <c r="C659" s="1">
        <v>12</v>
      </c>
      <c r="D659" s="4">
        <v>39860.661805555559</v>
      </c>
      <c r="E659" s="1" t="s">
        <v>320</v>
      </c>
      <c r="F659" s="1"/>
      <c r="G659" s="1"/>
      <c r="H659" s="1"/>
      <c r="I659" s="1"/>
      <c r="J659" s="1"/>
      <c r="K659" s="1"/>
      <c r="L659" s="1"/>
      <c r="M659" s="1"/>
      <c r="N659" s="1"/>
      <c r="O659" s="1"/>
      <c r="P659" s="1"/>
      <c r="Q659" s="1"/>
      <c r="R659" s="1"/>
      <c r="S659" s="1"/>
    </row>
    <row r="660" spans="1:19" ht="33.75" customHeight="1">
      <c r="A660" s="1" t="s">
        <v>2004</v>
      </c>
      <c r="B660" s="1" t="s">
        <v>1696</v>
      </c>
      <c r="C660" s="1">
        <v>12</v>
      </c>
      <c r="D660" s="4">
        <v>39860.715277777781</v>
      </c>
      <c r="E660" s="1" t="s">
        <v>320</v>
      </c>
      <c r="F660" s="1"/>
      <c r="G660" s="1"/>
      <c r="H660" s="1"/>
      <c r="I660" s="1"/>
      <c r="J660" s="1"/>
      <c r="K660" s="1"/>
      <c r="L660" s="1"/>
      <c r="M660" s="1"/>
      <c r="N660" s="1"/>
      <c r="O660" s="1"/>
      <c r="P660" s="1"/>
      <c r="Q660" s="1"/>
      <c r="R660" s="1"/>
      <c r="S660" s="1"/>
    </row>
    <row r="661" spans="1:19" ht="33.75" customHeight="1">
      <c r="A661" s="1" t="s">
        <v>2006</v>
      </c>
      <c r="B661" s="1" t="s">
        <v>1696</v>
      </c>
      <c r="C661" s="1">
        <v>12</v>
      </c>
      <c r="D661" s="4">
        <v>39860.715277777781</v>
      </c>
      <c r="E661" s="1" t="s">
        <v>320</v>
      </c>
      <c r="F661" s="1"/>
      <c r="G661" s="1"/>
      <c r="H661" s="1"/>
      <c r="I661" s="1"/>
      <c r="J661" s="1"/>
      <c r="K661" s="1"/>
      <c r="L661" s="1"/>
      <c r="M661" s="1"/>
      <c r="N661" s="1"/>
      <c r="O661" s="1"/>
      <c r="P661" s="1"/>
      <c r="Q661" s="1"/>
      <c r="R661" s="1"/>
      <c r="S661" s="1"/>
    </row>
    <row r="662" spans="1:19" ht="33.75" customHeight="1">
      <c r="A662" s="1" t="s">
        <v>2009</v>
      </c>
      <c r="B662" s="1" t="s">
        <v>1814</v>
      </c>
      <c r="C662" s="1">
        <v>13</v>
      </c>
      <c r="D662" s="4">
        <v>39860.775694444441</v>
      </c>
      <c r="E662" s="1" t="s">
        <v>2010</v>
      </c>
      <c r="F662" s="1"/>
      <c r="G662" s="1"/>
      <c r="H662" s="1"/>
      <c r="I662" s="1"/>
      <c r="J662" s="1"/>
      <c r="K662" s="1"/>
      <c r="L662" s="1"/>
      <c r="M662" s="1"/>
      <c r="N662" s="1"/>
      <c r="O662" s="1"/>
      <c r="P662" s="1"/>
      <c r="Q662" s="1"/>
      <c r="R662" s="1"/>
      <c r="S662" s="1"/>
    </row>
    <row r="663" spans="1:19" ht="33.75" customHeight="1">
      <c r="A663" s="1" t="s">
        <v>2013</v>
      </c>
      <c r="B663" s="1" t="s">
        <v>1814</v>
      </c>
      <c r="C663" s="1">
        <v>13</v>
      </c>
      <c r="D663" s="4">
        <v>39860.777777777781</v>
      </c>
      <c r="E663" s="1" t="s">
        <v>1089</v>
      </c>
      <c r="F663" s="1"/>
      <c r="G663" s="1"/>
      <c r="H663" s="1"/>
      <c r="I663" s="1"/>
      <c r="J663" s="1"/>
      <c r="K663" s="1"/>
      <c r="L663" s="1"/>
      <c r="M663" s="1"/>
      <c r="N663" s="1"/>
      <c r="O663" s="1"/>
      <c r="P663" s="1"/>
      <c r="Q663" s="1"/>
      <c r="R663" s="1"/>
      <c r="S663" s="1"/>
    </row>
    <row r="664" spans="1:19" ht="33.75" customHeight="1">
      <c r="A664" s="1" t="s">
        <v>2017</v>
      </c>
      <c r="B664" s="1" t="s">
        <v>1814</v>
      </c>
      <c r="C664" s="1">
        <v>13</v>
      </c>
      <c r="D664" s="4">
        <v>39860.789583333331</v>
      </c>
      <c r="E664" s="1" t="s">
        <v>54</v>
      </c>
      <c r="F664" s="1"/>
      <c r="G664" s="1"/>
      <c r="H664" s="1"/>
      <c r="I664" s="1"/>
      <c r="J664" s="1"/>
      <c r="K664" s="1"/>
      <c r="L664" s="1"/>
      <c r="M664" s="1"/>
      <c r="N664" s="1"/>
      <c r="O664" s="1"/>
      <c r="P664" s="1"/>
      <c r="Q664" s="1"/>
      <c r="R664" s="1"/>
      <c r="S664" s="1"/>
    </row>
    <row r="665" spans="1:19" ht="33.75" customHeight="1">
      <c r="A665" s="1" t="s">
        <v>2021</v>
      </c>
      <c r="B665" s="1" t="s">
        <v>1814</v>
      </c>
      <c r="C665" s="1">
        <v>13</v>
      </c>
      <c r="D665" s="4">
        <v>39860.793749999997</v>
      </c>
      <c r="E665" s="1" t="s">
        <v>2010</v>
      </c>
      <c r="F665" s="1"/>
      <c r="G665" s="1"/>
      <c r="H665" s="1"/>
      <c r="I665" s="1"/>
      <c r="J665" s="1"/>
      <c r="K665" s="1"/>
      <c r="L665" s="1"/>
      <c r="M665" s="1"/>
      <c r="N665" s="1"/>
      <c r="O665" s="1"/>
      <c r="P665" s="1"/>
      <c r="Q665" s="1"/>
      <c r="R665" s="1"/>
      <c r="S665" s="1"/>
    </row>
    <row r="666" spans="1:19" ht="33.75" customHeight="1">
      <c r="A666" s="1" t="s">
        <v>2024</v>
      </c>
      <c r="B666" s="1" t="s">
        <v>1814</v>
      </c>
      <c r="C666" s="1">
        <v>13</v>
      </c>
      <c r="D666" s="4">
        <v>39860.912499999999</v>
      </c>
      <c r="E666" s="1" t="s">
        <v>1089</v>
      </c>
      <c r="F666" s="1"/>
      <c r="G666" s="1"/>
      <c r="H666" s="1"/>
      <c r="I666" s="1"/>
      <c r="J666" s="1"/>
      <c r="K666" s="1"/>
      <c r="L666" s="1"/>
      <c r="M666" s="1"/>
      <c r="N666" s="1"/>
      <c r="O666" s="1"/>
      <c r="P666" s="1"/>
      <c r="Q666" s="1"/>
      <c r="R666" s="1"/>
      <c r="S666" s="1"/>
    </row>
    <row r="667" spans="1:19" ht="33.75" customHeight="1">
      <c r="A667" s="1" t="s">
        <v>2026</v>
      </c>
      <c r="B667" s="1" t="s">
        <v>1696</v>
      </c>
      <c r="C667" s="1">
        <v>12</v>
      </c>
      <c r="D667" s="4">
        <v>39860.914583333331</v>
      </c>
      <c r="E667" s="1" t="s">
        <v>255</v>
      </c>
      <c r="F667" s="1"/>
      <c r="G667" s="1"/>
      <c r="H667" s="1"/>
      <c r="I667" s="1"/>
      <c r="J667" s="1"/>
      <c r="K667" s="1"/>
      <c r="L667" s="1"/>
      <c r="M667" s="1"/>
      <c r="N667" s="1"/>
      <c r="O667" s="1"/>
      <c r="P667" s="1"/>
      <c r="Q667" s="1"/>
      <c r="R667" s="1"/>
      <c r="S667" s="1"/>
    </row>
    <row r="668" spans="1:19" ht="33.75" customHeight="1">
      <c r="A668" s="1" t="s">
        <v>2029</v>
      </c>
      <c r="B668" s="1" t="s">
        <v>1696</v>
      </c>
      <c r="C668" s="1">
        <v>12</v>
      </c>
      <c r="D668" s="4">
        <v>39860.965277777781</v>
      </c>
      <c r="E668" s="1" t="s">
        <v>1528</v>
      </c>
      <c r="F668" s="1"/>
      <c r="G668" s="1"/>
      <c r="H668" s="1"/>
      <c r="I668" s="1"/>
      <c r="J668" s="1"/>
      <c r="K668" s="1"/>
      <c r="L668" s="1"/>
      <c r="M668" s="1"/>
      <c r="N668" s="1"/>
      <c r="O668" s="1"/>
      <c r="P668" s="1"/>
      <c r="Q668" s="1"/>
      <c r="R668" s="1"/>
      <c r="S668" s="1"/>
    </row>
    <row r="669" spans="1:19" ht="33.75" customHeight="1">
      <c r="A669" s="1" t="s">
        <v>2032</v>
      </c>
      <c r="B669" s="1" t="s">
        <v>1814</v>
      </c>
      <c r="C669" s="1">
        <v>13</v>
      </c>
      <c r="D669" s="4">
        <v>39860.946527777778</v>
      </c>
      <c r="E669" s="1" t="s">
        <v>1089</v>
      </c>
      <c r="F669" s="1"/>
      <c r="G669" s="1"/>
      <c r="H669" s="1"/>
      <c r="I669" s="1"/>
      <c r="J669" s="1"/>
      <c r="K669" s="1"/>
      <c r="L669" s="1"/>
      <c r="M669" s="1"/>
      <c r="N669" s="1"/>
      <c r="O669" s="1"/>
      <c r="P669" s="1"/>
      <c r="Q669" s="1"/>
      <c r="R669" s="1"/>
      <c r="S669" s="1"/>
    </row>
    <row r="670" spans="1:19" ht="33.75" customHeight="1">
      <c r="A670" s="1" t="s">
        <v>2034</v>
      </c>
      <c r="B670" s="1" t="s">
        <v>1696</v>
      </c>
      <c r="C670" s="1">
        <v>12</v>
      </c>
      <c r="D670" s="4">
        <v>39861.888888888891</v>
      </c>
      <c r="E670" s="1" t="s">
        <v>1528</v>
      </c>
      <c r="F670" s="1"/>
      <c r="G670" s="1"/>
      <c r="H670" s="1"/>
      <c r="I670" s="1"/>
      <c r="J670" s="1"/>
      <c r="K670" s="1"/>
      <c r="L670" s="1"/>
      <c r="M670" s="1"/>
      <c r="N670" s="1"/>
      <c r="O670" s="1"/>
      <c r="P670" s="1"/>
      <c r="Q670" s="1"/>
      <c r="R670" s="1"/>
      <c r="S670" s="1"/>
    </row>
    <row r="671" spans="1:19" ht="33.75" customHeight="1">
      <c r="A671" s="1" t="s">
        <v>2037</v>
      </c>
      <c r="B671" s="1" t="s">
        <v>1696</v>
      </c>
      <c r="C671" s="1">
        <v>12</v>
      </c>
      <c r="D671" s="4">
        <v>39861.005555555559</v>
      </c>
      <c r="E671" s="1" t="s">
        <v>196</v>
      </c>
      <c r="F671" s="1"/>
      <c r="G671" s="1"/>
      <c r="H671" s="1"/>
      <c r="I671" s="1"/>
      <c r="J671" s="1"/>
      <c r="K671" s="1"/>
      <c r="L671" s="1"/>
      <c r="M671" s="1"/>
      <c r="N671" s="1"/>
      <c r="O671" s="1"/>
      <c r="P671" s="1"/>
      <c r="Q671" s="1"/>
      <c r="R671" s="1"/>
      <c r="S671" s="1"/>
    </row>
    <row r="672" spans="1:19" ht="33.75" customHeight="1">
      <c r="A672" s="1" t="s">
        <v>2040</v>
      </c>
      <c r="B672" s="1" t="s">
        <v>1696</v>
      </c>
      <c r="C672" s="1">
        <v>12</v>
      </c>
      <c r="D672" s="4">
        <v>39861.02847222222</v>
      </c>
      <c r="E672" s="1" t="s">
        <v>196</v>
      </c>
      <c r="F672" s="1"/>
      <c r="G672" s="1"/>
      <c r="H672" s="1"/>
      <c r="I672" s="1"/>
      <c r="J672" s="1"/>
      <c r="K672" s="1"/>
      <c r="L672" s="1"/>
      <c r="M672" s="1"/>
      <c r="N672" s="1"/>
      <c r="O672" s="1"/>
      <c r="P672" s="1"/>
      <c r="Q672" s="1"/>
      <c r="R672" s="1"/>
      <c r="S672" s="1"/>
    </row>
    <row r="673" spans="1:19" ht="33.75" customHeight="1">
      <c r="A673" s="1" t="s">
        <v>2044</v>
      </c>
      <c r="B673" s="1" t="s">
        <v>1814</v>
      </c>
      <c r="C673" s="1">
        <v>13</v>
      </c>
      <c r="D673" s="4">
        <v>39861.345833333333</v>
      </c>
      <c r="E673" s="1" t="s">
        <v>196</v>
      </c>
      <c r="F673" s="1"/>
      <c r="G673" s="1"/>
      <c r="H673" s="1"/>
      <c r="I673" s="1"/>
      <c r="J673" s="1"/>
      <c r="K673" s="1"/>
      <c r="L673" s="1"/>
      <c r="M673" s="1"/>
      <c r="N673" s="1"/>
      <c r="O673" s="1"/>
      <c r="P673" s="1"/>
      <c r="Q673" s="1"/>
      <c r="R673" s="1"/>
      <c r="S673" s="1"/>
    </row>
    <row r="674" spans="1:19" ht="33.75" customHeight="1">
      <c r="A674" s="1" t="s">
        <v>2046</v>
      </c>
      <c r="B674" s="1" t="s">
        <v>1814</v>
      </c>
      <c r="C674" s="1">
        <v>13</v>
      </c>
      <c r="D674" s="4">
        <v>39861.646527777775</v>
      </c>
      <c r="E674" s="1" t="s">
        <v>1241</v>
      </c>
      <c r="F674" s="1"/>
      <c r="G674" s="1"/>
      <c r="H674" s="1"/>
      <c r="I674" s="1"/>
      <c r="J674" s="1"/>
      <c r="K674" s="1"/>
      <c r="L674" s="1"/>
      <c r="M674" s="1"/>
      <c r="N674" s="1"/>
      <c r="O674" s="1"/>
      <c r="P674" s="1"/>
      <c r="Q674" s="1"/>
      <c r="R674" s="1"/>
      <c r="S674" s="1"/>
    </row>
    <row r="675" spans="1:19" ht="33.75" customHeight="1">
      <c r="A675" s="1" t="s">
        <v>2048</v>
      </c>
      <c r="B675" s="1" t="s">
        <v>1814</v>
      </c>
      <c r="C675" s="1">
        <v>13</v>
      </c>
      <c r="D675" s="4">
        <v>39861.762499999997</v>
      </c>
      <c r="E675" s="1" t="s">
        <v>1089</v>
      </c>
      <c r="F675" s="1"/>
      <c r="G675" s="1"/>
      <c r="H675" s="1"/>
      <c r="I675" s="1"/>
      <c r="J675" s="1"/>
      <c r="K675" s="1"/>
      <c r="L675" s="1"/>
      <c r="M675" s="1"/>
      <c r="N675" s="1"/>
      <c r="O675" s="1"/>
      <c r="P675" s="1"/>
      <c r="Q675" s="1"/>
      <c r="R675" s="1"/>
      <c r="S675" s="1"/>
    </row>
    <row r="676" spans="1:19" ht="33.75" customHeight="1">
      <c r="A676" s="1" t="s">
        <v>2051</v>
      </c>
      <c r="B676" s="1" t="s">
        <v>1696</v>
      </c>
      <c r="C676" s="1">
        <v>12</v>
      </c>
      <c r="D676" s="4">
        <v>39861.768750000003</v>
      </c>
      <c r="E676" s="1" t="s">
        <v>54</v>
      </c>
      <c r="F676" s="1"/>
      <c r="G676" s="1"/>
      <c r="H676" s="1"/>
      <c r="I676" s="1"/>
      <c r="J676" s="1"/>
      <c r="K676" s="1"/>
      <c r="L676" s="1"/>
      <c r="M676" s="1"/>
      <c r="N676" s="1"/>
      <c r="O676" s="1"/>
      <c r="P676" s="1"/>
      <c r="Q676" s="1"/>
      <c r="R676" s="1"/>
      <c r="S676" s="1"/>
    </row>
    <row r="677" spans="1:19" ht="33.75" customHeight="1">
      <c r="A677" s="1" t="s">
        <v>2054</v>
      </c>
      <c r="B677" s="1" t="s">
        <v>1696</v>
      </c>
      <c r="C677" s="1">
        <v>12</v>
      </c>
      <c r="D677" s="4">
        <v>39861.836111111108</v>
      </c>
      <c r="E677" s="1" t="s">
        <v>255</v>
      </c>
      <c r="F677" s="1"/>
      <c r="G677" s="1"/>
      <c r="H677" s="1"/>
      <c r="I677" s="1"/>
      <c r="J677" s="1"/>
      <c r="K677" s="1"/>
      <c r="L677" s="1"/>
      <c r="M677" s="1"/>
      <c r="N677" s="1"/>
      <c r="O677" s="1"/>
      <c r="P677" s="1"/>
      <c r="Q677" s="1"/>
      <c r="R677" s="1"/>
      <c r="S677" s="1"/>
    </row>
    <row r="678" spans="1:19" ht="33.75" customHeight="1">
      <c r="A678" s="1" t="s">
        <v>2056</v>
      </c>
      <c r="B678" s="1" t="s">
        <v>1696</v>
      </c>
      <c r="C678" s="1">
        <v>12</v>
      </c>
      <c r="D678" s="4">
        <v>39861.837500000001</v>
      </c>
      <c r="E678" s="1" t="s">
        <v>320</v>
      </c>
      <c r="F678" s="1"/>
      <c r="G678" s="1"/>
      <c r="H678" s="1"/>
      <c r="I678" s="1"/>
      <c r="J678" s="1"/>
      <c r="K678" s="1"/>
      <c r="L678" s="1"/>
      <c r="M678" s="1"/>
      <c r="N678" s="1"/>
      <c r="O678" s="1"/>
      <c r="P678" s="1"/>
      <c r="Q678" s="1"/>
      <c r="R678" s="1"/>
      <c r="S678" s="1"/>
    </row>
    <row r="679" spans="1:19" ht="33.75" customHeight="1">
      <c r="A679" s="1" t="s">
        <v>2059</v>
      </c>
      <c r="B679" s="1" t="s">
        <v>1696</v>
      </c>
      <c r="C679" s="1">
        <v>12</v>
      </c>
      <c r="D679" s="4">
        <v>39861.847222222219</v>
      </c>
      <c r="E679" s="1" t="s">
        <v>255</v>
      </c>
      <c r="F679" s="1"/>
      <c r="G679" s="1"/>
      <c r="H679" s="1"/>
      <c r="I679" s="1"/>
      <c r="J679" s="1"/>
      <c r="K679" s="1"/>
      <c r="L679" s="1"/>
      <c r="M679" s="1"/>
      <c r="N679" s="1"/>
      <c r="O679" s="1"/>
      <c r="P679" s="1"/>
      <c r="Q679" s="1"/>
      <c r="R679" s="1"/>
      <c r="S679" s="1"/>
    </row>
    <row r="680" spans="1:19" ht="33.75" customHeight="1">
      <c r="A680" s="1" t="s">
        <v>2062</v>
      </c>
      <c r="B680" s="1" t="s">
        <v>1696</v>
      </c>
      <c r="C680" s="1">
        <v>12</v>
      </c>
      <c r="D680" s="4">
        <v>39861.85</v>
      </c>
      <c r="E680" s="1" t="s">
        <v>320</v>
      </c>
      <c r="F680" s="1"/>
      <c r="G680" s="1"/>
      <c r="H680" s="1"/>
      <c r="I680" s="1"/>
      <c r="J680" s="1"/>
      <c r="K680" s="1"/>
      <c r="L680" s="1"/>
      <c r="M680" s="1"/>
      <c r="N680" s="1"/>
      <c r="O680" s="1"/>
      <c r="P680" s="1"/>
      <c r="Q680" s="1"/>
      <c r="R680" s="1"/>
      <c r="S680" s="1"/>
    </row>
    <row r="681" spans="1:19" ht="33.75" customHeight="1">
      <c r="A681" s="1" t="s">
        <v>2064</v>
      </c>
      <c r="B681" s="1" t="s">
        <v>1814</v>
      </c>
      <c r="C681" s="1">
        <v>13</v>
      </c>
      <c r="D681" s="4">
        <v>39861.864583333336</v>
      </c>
      <c r="E681" s="1" t="s">
        <v>2065</v>
      </c>
      <c r="F681" s="1"/>
      <c r="G681" s="1"/>
      <c r="H681" s="1"/>
      <c r="I681" s="1"/>
      <c r="J681" s="1"/>
      <c r="K681" s="1"/>
      <c r="L681" s="1"/>
      <c r="M681" s="1"/>
      <c r="N681" s="1"/>
      <c r="O681" s="1"/>
      <c r="P681" s="1"/>
      <c r="Q681" s="1"/>
      <c r="R681" s="1"/>
      <c r="S681" s="1"/>
    </row>
    <row r="682" spans="1:19" ht="33.75" customHeight="1">
      <c r="A682" s="1" t="s">
        <v>2067</v>
      </c>
      <c r="B682" s="1" t="s">
        <v>1696</v>
      </c>
      <c r="C682" s="1">
        <v>12</v>
      </c>
      <c r="D682" s="4">
        <v>39861.879166666666</v>
      </c>
      <c r="E682" s="1" t="s">
        <v>54</v>
      </c>
      <c r="F682" s="1"/>
      <c r="G682" s="1"/>
      <c r="H682" s="1"/>
      <c r="I682" s="1"/>
      <c r="J682" s="1"/>
      <c r="K682" s="1"/>
      <c r="L682" s="1"/>
      <c r="M682" s="1"/>
      <c r="N682" s="1"/>
      <c r="O682" s="1"/>
      <c r="P682" s="1"/>
      <c r="Q682" s="1"/>
      <c r="R682" s="1"/>
      <c r="S682" s="1"/>
    </row>
    <row r="683" spans="1:19" ht="33.75" customHeight="1">
      <c r="A683" s="1" t="s">
        <v>2069</v>
      </c>
      <c r="B683" s="1" t="s">
        <v>1696</v>
      </c>
      <c r="C683" s="1">
        <v>12</v>
      </c>
      <c r="D683" s="4">
        <v>39861.879861111112</v>
      </c>
      <c r="E683" s="1" t="s">
        <v>14</v>
      </c>
      <c r="F683" s="1"/>
      <c r="G683" s="1"/>
      <c r="H683" s="1"/>
      <c r="I683" s="1"/>
      <c r="J683" s="1"/>
      <c r="K683" s="1"/>
      <c r="L683" s="1"/>
      <c r="M683" s="1"/>
      <c r="N683" s="1"/>
      <c r="O683" s="1"/>
      <c r="P683" s="1"/>
      <c r="Q683" s="1"/>
      <c r="R683" s="1"/>
      <c r="S683" s="1"/>
    </row>
    <row r="684" spans="1:19" ht="33.75" customHeight="1">
      <c r="A684" s="1" t="s">
        <v>2072</v>
      </c>
      <c r="B684" s="1" t="s">
        <v>1696</v>
      </c>
      <c r="C684" s="1">
        <v>12</v>
      </c>
      <c r="D684" s="4">
        <v>39861.89166666667</v>
      </c>
      <c r="E684" s="1" t="s">
        <v>1528</v>
      </c>
      <c r="F684" s="1"/>
      <c r="G684" s="1"/>
      <c r="H684" s="1"/>
      <c r="I684" s="1"/>
      <c r="J684" s="1"/>
      <c r="K684" s="1"/>
      <c r="L684" s="1"/>
      <c r="M684" s="1"/>
      <c r="N684" s="1"/>
      <c r="O684" s="1"/>
      <c r="P684" s="1"/>
      <c r="Q684" s="1"/>
      <c r="R684" s="1"/>
      <c r="S684" s="1"/>
    </row>
    <row r="685" spans="1:19" ht="33.75" customHeight="1">
      <c r="A685" s="1" t="s">
        <v>2075</v>
      </c>
      <c r="B685" s="1" t="s">
        <v>1696</v>
      </c>
      <c r="C685" s="1">
        <v>12</v>
      </c>
      <c r="D685" s="4">
        <v>39867.047222222223</v>
      </c>
      <c r="E685" s="1" t="s">
        <v>1528</v>
      </c>
      <c r="F685" s="1"/>
      <c r="G685" s="1"/>
      <c r="H685" s="1"/>
      <c r="I685" s="1"/>
      <c r="J685" s="1"/>
      <c r="K685" s="1"/>
      <c r="L685" s="1"/>
      <c r="M685" s="1"/>
      <c r="N685" s="1"/>
      <c r="O685" s="1"/>
      <c r="P685" s="1"/>
      <c r="Q685" s="1"/>
      <c r="R685" s="1"/>
      <c r="S685" s="1"/>
    </row>
    <row r="686" spans="1:19" ht="33.75" customHeight="1">
      <c r="A686" s="1" t="s">
        <v>2077</v>
      </c>
      <c r="B686" s="1" t="s">
        <v>1696</v>
      </c>
      <c r="C686" s="1">
        <v>12</v>
      </c>
      <c r="D686" s="4">
        <v>39861.894444444442</v>
      </c>
      <c r="E686" s="1" t="s">
        <v>320</v>
      </c>
      <c r="F686" s="1"/>
      <c r="G686" s="1"/>
      <c r="H686" s="1"/>
      <c r="I686" s="1"/>
      <c r="J686" s="1"/>
      <c r="K686" s="1"/>
      <c r="L686" s="1"/>
      <c r="M686" s="1"/>
      <c r="N686" s="1"/>
      <c r="O686" s="1"/>
      <c r="P686" s="1"/>
      <c r="Q686" s="1"/>
      <c r="R686" s="1"/>
      <c r="S686" s="1"/>
    </row>
    <row r="687" spans="1:19" ht="33.75" customHeight="1">
      <c r="A687" s="1" t="s">
        <v>2080</v>
      </c>
      <c r="B687" s="1" t="s">
        <v>1519</v>
      </c>
      <c r="C687" s="1">
        <v>11</v>
      </c>
      <c r="D687" s="4">
        <v>39861.915972222225</v>
      </c>
      <c r="E687" s="1" t="s">
        <v>54</v>
      </c>
      <c r="F687" s="1"/>
      <c r="G687" s="1"/>
      <c r="H687" s="1"/>
      <c r="I687" s="1"/>
      <c r="J687" s="1"/>
      <c r="K687" s="1"/>
      <c r="L687" s="1"/>
      <c r="M687" s="1"/>
      <c r="N687" s="1"/>
      <c r="O687" s="1"/>
      <c r="P687" s="1"/>
      <c r="Q687" s="1"/>
      <c r="R687" s="1"/>
      <c r="S687" s="1"/>
    </row>
    <row r="688" spans="1:19" ht="33.75" customHeight="1">
      <c r="A688" s="1" t="s">
        <v>2084</v>
      </c>
      <c r="B688" s="1" t="s">
        <v>1814</v>
      </c>
      <c r="C688" s="1">
        <v>13</v>
      </c>
      <c r="D688" s="4">
        <v>39862.061805555553</v>
      </c>
      <c r="E688" s="1" t="s">
        <v>1887</v>
      </c>
      <c r="F688" s="1"/>
      <c r="G688" s="1"/>
      <c r="H688" s="1"/>
      <c r="I688" s="1"/>
      <c r="J688" s="1"/>
      <c r="K688" s="1"/>
      <c r="L688" s="1"/>
      <c r="M688" s="1"/>
      <c r="N688" s="1"/>
      <c r="O688" s="1"/>
      <c r="P688" s="1"/>
      <c r="Q688" s="1"/>
      <c r="R688" s="1"/>
      <c r="S688" s="1"/>
    </row>
    <row r="689" spans="1:19" ht="33.75" customHeight="1">
      <c r="A689" s="1" t="s">
        <v>2086</v>
      </c>
      <c r="B689" s="1" t="s">
        <v>1696</v>
      </c>
      <c r="C689" s="1">
        <v>12</v>
      </c>
      <c r="D689" s="4">
        <v>39862.257638888892</v>
      </c>
      <c r="E689" s="1" t="s">
        <v>54</v>
      </c>
      <c r="F689" s="1"/>
      <c r="G689" s="1"/>
      <c r="H689" s="1"/>
      <c r="I689" s="1"/>
      <c r="J689" s="1"/>
      <c r="K689" s="1"/>
      <c r="L689" s="1"/>
      <c r="M689" s="1"/>
      <c r="N689" s="1"/>
      <c r="O689" s="1"/>
      <c r="P689" s="1"/>
      <c r="Q689" s="1"/>
      <c r="R689" s="1"/>
      <c r="S689" s="1"/>
    </row>
    <row r="690" spans="1:19" ht="33.75" customHeight="1">
      <c r="A690" s="1" t="s">
        <v>2089</v>
      </c>
      <c r="B690" s="1" t="s">
        <v>1696</v>
      </c>
      <c r="C690" s="1">
        <v>12</v>
      </c>
      <c r="D690" s="4">
        <v>39862.263194444444</v>
      </c>
      <c r="E690" s="1" t="s">
        <v>54</v>
      </c>
      <c r="F690" s="1"/>
      <c r="G690" s="1"/>
      <c r="H690" s="1"/>
      <c r="I690" s="1"/>
      <c r="J690" s="1"/>
      <c r="K690" s="1"/>
      <c r="L690" s="1"/>
      <c r="M690" s="1"/>
      <c r="N690" s="1"/>
      <c r="O690" s="1"/>
      <c r="P690" s="1"/>
      <c r="Q690" s="1"/>
      <c r="R690" s="1"/>
      <c r="S690" s="1"/>
    </row>
    <row r="691" spans="1:19" ht="33.75" customHeight="1">
      <c r="A691" s="1" t="s">
        <v>2092</v>
      </c>
      <c r="B691" s="1" t="s">
        <v>1696</v>
      </c>
      <c r="C691" s="1">
        <v>12</v>
      </c>
      <c r="D691" s="4">
        <v>39862.34375</v>
      </c>
      <c r="E691" s="1" t="s">
        <v>255</v>
      </c>
      <c r="F691" s="1"/>
      <c r="G691" s="1"/>
      <c r="H691" s="1"/>
      <c r="I691" s="1"/>
      <c r="J691" s="1"/>
      <c r="K691" s="1"/>
      <c r="L691" s="1"/>
      <c r="M691" s="1"/>
      <c r="N691" s="1"/>
      <c r="O691" s="1"/>
      <c r="P691" s="1"/>
      <c r="Q691" s="1"/>
      <c r="R691" s="1"/>
      <c r="S691" s="1"/>
    </row>
    <row r="692" spans="1:19" ht="33.75" customHeight="1">
      <c r="A692" s="1" t="s">
        <v>2095</v>
      </c>
      <c r="B692" s="1" t="s">
        <v>1696</v>
      </c>
      <c r="C692" s="1">
        <v>12</v>
      </c>
      <c r="D692" s="4">
        <v>39862.416666666664</v>
      </c>
      <c r="E692" s="1" t="s">
        <v>14</v>
      </c>
      <c r="F692" s="1"/>
      <c r="G692" s="1"/>
      <c r="H692" s="1"/>
      <c r="I692" s="1"/>
      <c r="J692" s="1"/>
      <c r="K692" s="1"/>
      <c r="L692" s="1"/>
      <c r="M692" s="1"/>
      <c r="N692" s="1"/>
      <c r="O692" s="1"/>
      <c r="P692" s="1"/>
      <c r="Q692" s="1"/>
      <c r="R692" s="1"/>
      <c r="S692" s="1"/>
    </row>
    <row r="693" spans="1:19" ht="33.75" customHeight="1">
      <c r="A693" s="1" t="s">
        <v>2098</v>
      </c>
      <c r="B693" s="1" t="s">
        <v>1696</v>
      </c>
      <c r="C693" s="1">
        <v>12</v>
      </c>
      <c r="D693" s="4">
        <v>39862.574305555558</v>
      </c>
      <c r="E693" s="1" t="s">
        <v>14</v>
      </c>
      <c r="F693" s="1"/>
      <c r="G693" s="1"/>
      <c r="H693" s="1"/>
      <c r="I693" s="1"/>
      <c r="J693" s="1"/>
      <c r="K693" s="1"/>
      <c r="L693" s="1"/>
      <c r="M693" s="1"/>
      <c r="N693" s="1"/>
      <c r="O693" s="1"/>
      <c r="P693" s="1"/>
      <c r="Q693" s="1"/>
      <c r="R693" s="1"/>
      <c r="S693" s="1"/>
    </row>
    <row r="694" spans="1:19" ht="33.75" customHeight="1">
      <c r="A694" s="1" t="s">
        <v>2101</v>
      </c>
      <c r="B694" s="1" t="s">
        <v>1696</v>
      </c>
      <c r="C694" s="1">
        <v>12</v>
      </c>
      <c r="D694" s="4">
        <v>39862.700694444444</v>
      </c>
      <c r="E694" s="1" t="s">
        <v>54</v>
      </c>
      <c r="F694" s="1"/>
      <c r="G694" s="1"/>
      <c r="H694" s="1"/>
      <c r="I694" s="1"/>
      <c r="J694" s="1"/>
      <c r="K694" s="1"/>
      <c r="L694" s="1"/>
      <c r="M694" s="1"/>
      <c r="N694" s="1"/>
      <c r="O694" s="1"/>
      <c r="P694" s="1"/>
      <c r="Q694" s="1"/>
      <c r="R694" s="1"/>
      <c r="S694" s="1"/>
    </row>
    <row r="695" spans="1:19" ht="33.75" customHeight="1">
      <c r="A695" s="1" t="s">
        <v>2104</v>
      </c>
      <c r="B695" s="1" t="s">
        <v>1814</v>
      </c>
      <c r="C695" s="1">
        <v>13</v>
      </c>
      <c r="D695" s="4">
        <v>39862.927083333336</v>
      </c>
      <c r="E695" s="1" t="s">
        <v>1089</v>
      </c>
      <c r="F695" s="1"/>
      <c r="G695" s="1"/>
      <c r="H695" s="1"/>
      <c r="I695" s="1"/>
      <c r="J695" s="1"/>
      <c r="K695" s="1"/>
      <c r="L695" s="1"/>
      <c r="M695" s="1"/>
      <c r="N695" s="1"/>
      <c r="O695" s="1"/>
      <c r="P695" s="1"/>
      <c r="Q695" s="1"/>
      <c r="R695" s="1"/>
      <c r="S695" s="1"/>
    </row>
    <row r="696" spans="1:19" ht="33.75" customHeight="1">
      <c r="A696" s="1" t="s">
        <v>2106</v>
      </c>
      <c r="B696" s="1" t="s">
        <v>1696</v>
      </c>
      <c r="C696" s="1">
        <v>12</v>
      </c>
      <c r="D696" s="4">
        <v>39862.966666666667</v>
      </c>
      <c r="E696" s="1" t="s">
        <v>14</v>
      </c>
      <c r="F696" s="1"/>
      <c r="G696" s="1"/>
      <c r="H696" s="1"/>
      <c r="I696" s="1"/>
      <c r="J696" s="1"/>
      <c r="K696" s="1"/>
      <c r="L696" s="1"/>
      <c r="M696" s="1"/>
      <c r="N696" s="1"/>
      <c r="O696" s="1"/>
      <c r="P696" s="1"/>
      <c r="Q696" s="1"/>
      <c r="R696" s="1"/>
      <c r="S696" s="1"/>
    </row>
    <row r="697" spans="1:19" ht="33.75" customHeight="1">
      <c r="A697" s="1" t="s">
        <v>2108</v>
      </c>
      <c r="B697" s="1" t="s">
        <v>1696</v>
      </c>
      <c r="C697" s="1">
        <v>12</v>
      </c>
      <c r="D697" s="4">
        <v>39862.999305555553</v>
      </c>
      <c r="E697" s="1" t="s">
        <v>14</v>
      </c>
      <c r="F697" s="1"/>
      <c r="G697" s="1"/>
      <c r="H697" s="1"/>
      <c r="I697" s="1"/>
      <c r="J697" s="1"/>
      <c r="K697" s="1"/>
      <c r="L697" s="1"/>
      <c r="M697" s="1"/>
      <c r="N697" s="1"/>
      <c r="O697" s="1"/>
      <c r="P697" s="1"/>
      <c r="Q697" s="1"/>
      <c r="R697" s="1"/>
      <c r="S697" s="1"/>
    </row>
    <row r="698" spans="1:19" ht="33.75" customHeight="1">
      <c r="A698" s="1" t="s">
        <v>2112</v>
      </c>
      <c r="B698" s="1" t="s">
        <v>1696</v>
      </c>
      <c r="C698" s="1">
        <v>12</v>
      </c>
      <c r="D698" s="4">
        <v>39863.267361111109</v>
      </c>
      <c r="E698" s="1" t="s">
        <v>320</v>
      </c>
      <c r="F698" s="1"/>
      <c r="G698" s="1"/>
      <c r="H698" s="1"/>
      <c r="I698" s="1"/>
      <c r="J698" s="1"/>
      <c r="K698" s="1"/>
      <c r="L698" s="1"/>
      <c r="M698" s="1"/>
      <c r="N698" s="1"/>
      <c r="O698" s="1"/>
      <c r="P698" s="1"/>
      <c r="Q698" s="1"/>
      <c r="R698" s="1"/>
      <c r="S698" s="1"/>
    </row>
    <row r="699" spans="1:19" ht="33.75" customHeight="1">
      <c r="A699" s="1" t="s">
        <v>2116</v>
      </c>
      <c r="B699" s="1" t="s">
        <v>1696</v>
      </c>
      <c r="C699" s="1">
        <v>12</v>
      </c>
      <c r="D699" s="4">
        <v>39863.35833333333</v>
      </c>
      <c r="E699" s="1" t="s">
        <v>255</v>
      </c>
      <c r="F699" s="1"/>
      <c r="G699" s="1"/>
      <c r="H699" s="1"/>
      <c r="I699" s="1"/>
      <c r="J699" s="1"/>
      <c r="K699" s="1"/>
      <c r="L699" s="1"/>
      <c r="M699" s="1"/>
      <c r="N699" s="1"/>
      <c r="O699" s="1"/>
      <c r="P699" s="1"/>
      <c r="Q699" s="1"/>
      <c r="R699" s="1"/>
      <c r="S699" s="1"/>
    </row>
    <row r="700" spans="1:19" ht="33.75" customHeight="1">
      <c r="A700" s="1" t="s">
        <v>2118</v>
      </c>
      <c r="B700" s="1" t="s">
        <v>1814</v>
      </c>
      <c r="C700" s="1">
        <v>13</v>
      </c>
      <c r="D700" s="4">
        <v>39863.396527777775</v>
      </c>
      <c r="E700" s="1" t="s">
        <v>54</v>
      </c>
      <c r="F700" s="1"/>
      <c r="G700" s="1"/>
      <c r="H700" s="1"/>
      <c r="I700" s="1"/>
      <c r="J700" s="1"/>
      <c r="K700" s="1"/>
      <c r="L700" s="1"/>
      <c r="M700" s="1"/>
      <c r="N700" s="1"/>
      <c r="O700" s="1"/>
      <c r="P700" s="1"/>
      <c r="Q700" s="1"/>
      <c r="R700" s="1"/>
      <c r="S700" s="1"/>
    </row>
    <row r="701" spans="1:19" ht="33.75" customHeight="1">
      <c r="A701" s="1" t="s">
        <v>2120</v>
      </c>
      <c r="B701" s="1" t="s">
        <v>1696</v>
      </c>
      <c r="C701" s="1">
        <v>12</v>
      </c>
      <c r="D701" s="4">
        <v>39863.482638888891</v>
      </c>
      <c r="E701" s="1" t="s">
        <v>14</v>
      </c>
      <c r="F701" s="1"/>
      <c r="G701" s="1"/>
      <c r="H701" s="1"/>
      <c r="I701" s="1"/>
      <c r="J701" s="1"/>
      <c r="K701" s="1"/>
      <c r="L701" s="1"/>
      <c r="M701" s="1"/>
      <c r="N701" s="1"/>
      <c r="O701" s="1"/>
      <c r="P701" s="1"/>
      <c r="Q701" s="1"/>
      <c r="R701" s="1"/>
      <c r="S701" s="1"/>
    </row>
    <row r="702" spans="1:19" ht="33.75" customHeight="1">
      <c r="A702" s="1" t="s">
        <v>2123</v>
      </c>
      <c r="B702" s="1" t="s">
        <v>1696</v>
      </c>
      <c r="C702" s="1">
        <v>12</v>
      </c>
      <c r="D702" s="4">
        <v>39863.568055555559</v>
      </c>
      <c r="E702" s="1" t="s">
        <v>14</v>
      </c>
      <c r="F702" s="1"/>
      <c r="G702" s="1"/>
      <c r="H702" s="1"/>
      <c r="I702" s="1"/>
      <c r="J702" s="1"/>
      <c r="K702" s="1"/>
      <c r="L702" s="1"/>
      <c r="M702" s="1"/>
      <c r="N702" s="1"/>
      <c r="O702" s="1"/>
      <c r="P702" s="1"/>
      <c r="Q702" s="1"/>
      <c r="R702" s="1"/>
      <c r="S702" s="1"/>
    </row>
    <row r="703" spans="1:19" ht="33.75" customHeight="1">
      <c r="A703" s="1" t="s">
        <v>2126</v>
      </c>
      <c r="B703" s="1" t="s">
        <v>1814</v>
      </c>
      <c r="C703" s="1">
        <v>13</v>
      </c>
      <c r="D703" s="4">
        <v>39863.583333333336</v>
      </c>
      <c r="E703" s="1" t="s">
        <v>1887</v>
      </c>
      <c r="F703" s="1"/>
      <c r="G703" s="1"/>
      <c r="H703" s="1"/>
      <c r="I703" s="1"/>
      <c r="J703" s="1"/>
      <c r="K703" s="1"/>
      <c r="L703" s="1"/>
      <c r="M703" s="1"/>
      <c r="N703" s="1"/>
      <c r="O703" s="1"/>
      <c r="P703" s="1"/>
      <c r="Q703" s="1"/>
      <c r="R703" s="1"/>
      <c r="S703" s="1"/>
    </row>
    <row r="704" spans="1:19" ht="33.75" customHeight="1">
      <c r="A704" s="1" t="s">
        <v>2129</v>
      </c>
      <c r="B704" s="1" t="s">
        <v>1696</v>
      </c>
      <c r="C704" s="1">
        <v>12</v>
      </c>
      <c r="D704" s="4">
        <v>39863.661111111112</v>
      </c>
      <c r="E704" s="1" t="s">
        <v>14</v>
      </c>
      <c r="F704" s="1"/>
      <c r="G704" s="1"/>
      <c r="H704" s="1"/>
      <c r="I704" s="1"/>
      <c r="J704" s="1"/>
      <c r="K704" s="1"/>
      <c r="L704" s="1"/>
      <c r="M704" s="1"/>
      <c r="N704" s="1"/>
      <c r="O704" s="1"/>
      <c r="P704" s="1"/>
      <c r="Q704" s="1"/>
      <c r="R704" s="1"/>
      <c r="S704" s="1"/>
    </row>
    <row r="705" spans="1:19" ht="33.75" customHeight="1">
      <c r="A705" s="1" t="s">
        <v>2132</v>
      </c>
      <c r="B705" s="1" t="s">
        <v>1696</v>
      </c>
      <c r="C705" s="1">
        <v>12</v>
      </c>
      <c r="D705" s="4">
        <v>39863.708333333336</v>
      </c>
      <c r="E705" s="1" t="s">
        <v>14</v>
      </c>
      <c r="F705" s="1"/>
      <c r="G705" s="1"/>
      <c r="H705" s="1"/>
      <c r="I705" s="1"/>
      <c r="J705" s="1"/>
      <c r="K705" s="1"/>
      <c r="L705" s="1"/>
      <c r="M705" s="1"/>
      <c r="N705" s="1"/>
      <c r="O705" s="1"/>
      <c r="P705" s="1"/>
      <c r="Q705" s="1"/>
      <c r="R705" s="1"/>
      <c r="S705" s="1"/>
    </row>
    <row r="706" spans="1:19" ht="33.75" customHeight="1">
      <c r="A706" s="1" t="s">
        <v>2135</v>
      </c>
      <c r="B706" s="1" t="s">
        <v>1696</v>
      </c>
      <c r="C706" s="1">
        <v>12</v>
      </c>
      <c r="D706" s="4">
        <v>39863.741666666669</v>
      </c>
      <c r="E706" s="1" t="s">
        <v>14</v>
      </c>
      <c r="F706" s="1"/>
      <c r="G706" s="1"/>
      <c r="H706" s="1"/>
      <c r="I706" s="1"/>
      <c r="J706" s="1"/>
      <c r="K706" s="1"/>
      <c r="L706" s="1"/>
      <c r="M706" s="1"/>
      <c r="N706" s="1"/>
      <c r="O706" s="1"/>
      <c r="P706" s="1"/>
      <c r="Q706" s="1"/>
      <c r="R706" s="1"/>
      <c r="S706" s="1"/>
    </row>
    <row r="707" spans="1:19" ht="33.75" customHeight="1">
      <c r="A707" s="1" t="s">
        <v>2137</v>
      </c>
      <c r="B707" s="1" t="s">
        <v>1814</v>
      </c>
      <c r="C707" s="1">
        <v>13</v>
      </c>
      <c r="D707" s="4">
        <v>39863.784722222219</v>
      </c>
      <c r="E707" s="1" t="s">
        <v>1089</v>
      </c>
      <c r="F707" s="1"/>
      <c r="G707" s="1"/>
      <c r="H707" s="1"/>
      <c r="I707" s="1"/>
      <c r="J707" s="1"/>
      <c r="K707" s="1"/>
      <c r="L707" s="1"/>
      <c r="M707" s="1"/>
      <c r="N707" s="1"/>
      <c r="O707" s="1"/>
      <c r="P707" s="1"/>
      <c r="Q707" s="1"/>
      <c r="R707" s="1"/>
      <c r="S707" s="1"/>
    </row>
    <row r="708" spans="1:19" ht="33.75" customHeight="1">
      <c r="A708" s="1" t="s">
        <v>2139</v>
      </c>
      <c r="B708" s="1" t="s">
        <v>1696</v>
      </c>
      <c r="C708" s="1">
        <v>12</v>
      </c>
      <c r="D708" s="4">
        <v>39863.829861111109</v>
      </c>
      <c r="E708" s="1" t="s">
        <v>14</v>
      </c>
      <c r="F708" s="1"/>
      <c r="G708" s="1"/>
      <c r="H708" s="1"/>
      <c r="I708" s="1"/>
      <c r="J708" s="1"/>
      <c r="K708" s="1"/>
      <c r="L708" s="1"/>
      <c r="M708" s="1"/>
      <c r="N708" s="1"/>
      <c r="O708" s="1"/>
      <c r="P708" s="1"/>
      <c r="Q708" s="1"/>
      <c r="R708" s="1"/>
      <c r="S708" s="1"/>
    </row>
    <row r="709" spans="1:19" ht="33.75" customHeight="1">
      <c r="A709" s="1" t="s">
        <v>2141</v>
      </c>
      <c r="B709" s="1" t="s">
        <v>1814</v>
      </c>
      <c r="C709" s="1">
        <v>13</v>
      </c>
      <c r="D709" s="4">
        <v>39863.838888888888</v>
      </c>
      <c r="E709" s="1" t="s">
        <v>772</v>
      </c>
      <c r="F709" s="1"/>
      <c r="G709" s="1"/>
      <c r="H709" s="1"/>
      <c r="I709" s="1"/>
      <c r="J709" s="1"/>
      <c r="K709" s="1"/>
      <c r="L709" s="1"/>
      <c r="M709" s="1"/>
      <c r="N709" s="1"/>
      <c r="O709" s="1"/>
      <c r="P709" s="1"/>
      <c r="Q709" s="1"/>
      <c r="R709" s="1"/>
      <c r="S709" s="1"/>
    </row>
    <row r="710" spans="1:19" ht="33.75" customHeight="1">
      <c r="A710" s="1" t="s">
        <v>2143</v>
      </c>
      <c r="B710" s="1" t="s">
        <v>1696</v>
      </c>
      <c r="C710" s="1">
        <v>12</v>
      </c>
      <c r="D710" s="4">
        <v>39863.854166666664</v>
      </c>
      <c r="E710" s="1" t="s">
        <v>14</v>
      </c>
      <c r="F710" s="1"/>
      <c r="G710" s="1"/>
      <c r="H710" s="1"/>
      <c r="I710" s="1"/>
      <c r="J710" s="1"/>
      <c r="K710" s="1"/>
      <c r="L710" s="1"/>
      <c r="M710" s="1"/>
      <c r="N710" s="1"/>
      <c r="O710" s="1"/>
      <c r="P710" s="1"/>
      <c r="Q710" s="1"/>
      <c r="R710" s="1"/>
      <c r="S710" s="1"/>
    </row>
    <row r="711" spans="1:19" ht="33.75" customHeight="1">
      <c r="A711" s="1" t="s">
        <v>2145</v>
      </c>
      <c r="B711" s="1" t="s">
        <v>1696</v>
      </c>
      <c r="C711" s="1">
        <v>12</v>
      </c>
      <c r="D711" s="4">
        <v>39863.915972222225</v>
      </c>
      <c r="E711" s="1" t="s">
        <v>14</v>
      </c>
      <c r="F711" s="1"/>
      <c r="G711" s="1"/>
      <c r="H711" s="1"/>
      <c r="I711" s="1"/>
      <c r="J711" s="1"/>
      <c r="K711" s="1"/>
      <c r="L711" s="1"/>
      <c r="M711" s="1"/>
      <c r="N711" s="1"/>
      <c r="O711" s="1"/>
      <c r="P711" s="1"/>
      <c r="Q711" s="1"/>
      <c r="R711" s="1"/>
      <c r="S711" s="1"/>
    </row>
    <row r="712" spans="1:19" ht="33.75" customHeight="1">
      <c r="A712" s="1" t="s">
        <v>2147</v>
      </c>
      <c r="B712" s="1" t="s">
        <v>1814</v>
      </c>
      <c r="C712" s="1">
        <v>13</v>
      </c>
      <c r="D712" s="4">
        <v>39863.931944444441</v>
      </c>
      <c r="E712" s="1" t="s">
        <v>54</v>
      </c>
      <c r="F712" s="1"/>
      <c r="G712" s="1"/>
      <c r="H712" s="1"/>
      <c r="I712" s="1"/>
      <c r="J712" s="1"/>
      <c r="K712" s="1"/>
      <c r="L712" s="1"/>
      <c r="M712" s="1"/>
      <c r="N712" s="1"/>
      <c r="O712" s="1"/>
      <c r="P712" s="1"/>
      <c r="Q712" s="1"/>
      <c r="R712" s="1"/>
      <c r="S712" s="1"/>
    </row>
    <row r="713" spans="1:19" ht="33.75" customHeight="1">
      <c r="A713" s="1" t="s">
        <v>2149</v>
      </c>
      <c r="B713" s="1" t="s">
        <v>156</v>
      </c>
      <c r="C713" s="1">
        <v>3</v>
      </c>
      <c r="D713" s="4">
        <v>39863.944444444445</v>
      </c>
      <c r="E713" s="1" t="s">
        <v>772</v>
      </c>
      <c r="F713" s="1"/>
      <c r="G713" s="1"/>
      <c r="H713" s="1"/>
      <c r="I713" s="1"/>
      <c r="J713" s="1"/>
      <c r="K713" s="1"/>
      <c r="L713" s="1"/>
      <c r="M713" s="1"/>
      <c r="N713" s="1"/>
      <c r="O713" s="1"/>
      <c r="P713" s="1"/>
      <c r="Q713" s="1"/>
      <c r="R713" s="1"/>
      <c r="S713" s="1"/>
    </row>
    <row r="714" spans="1:19" ht="33.75" customHeight="1">
      <c r="A714" s="1" t="s">
        <v>2153</v>
      </c>
      <c r="B714" s="1" t="s">
        <v>1696</v>
      </c>
      <c r="C714" s="1">
        <v>12</v>
      </c>
      <c r="D714" s="4">
        <v>39864.047222222223</v>
      </c>
      <c r="E714" s="1" t="s">
        <v>14</v>
      </c>
      <c r="F714" s="1"/>
      <c r="G714" s="1"/>
      <c r="H714" s="1"/>
      <c r="I714" s="1"/>
      <c r="J714" s="1"/>
      <c r="K714" s="1"/>
      <c r="L714" s="1"/>
      <c r="M714" s="1"/>
      <c r="N714" s="1"/>
      <c r="O714" s="1"/>
      <c r="P714" s="1"/>
      <c r="Q714" s="1"/>
      <c r="R714" s="1"/>
      <c r="S714" s="1"/>
    </row>
    <row r="715" spans="1:19" ht="33.75" customHeight="1">
      <c r="A715" s="1" t="s">
        <v>2155</v>
      </c>
      <c r="B715" s="1" t="s">
        <v>1696</v>
      </c>
      <c r="C715" s="1">
        <v>12</v>
      </c>
      <c r="D715" s="4">
        <v>39864.071527777778</v>
      </c>
      <c r="E715" s="1" t="s">
        <v>14</v>
      </c>
      <c r="F715" s="1"/>
      <c r="G715" s="1"/>
      <c r="H715" s="1"/>
      <c r="I715" s="1"/>
      <c r="J715" s="1"/>
      <c r="K715" s="1"/>
      <c r="L715" s="1"/>
      <c r="M715" s="1"/>
      <c r="N715" s="1"/>
      <c r="O715" s="1"/>
      <c r="P715" s="1"/>
      <c r="Q715" s="1"/>
      <c r="R715" s="1"/>
      <c r="S715" s="1"/>
    </row>
    <row r="716" spans="1:19" ht="33.75" customHeight="1">
      <c r="A716" s="1" t="s">
        <v>2157</v>
      </c>
      <c r="B716" s="1" t="s">
        <v>1696</v>
      </c>
      <c r="C716" s="1">
        <v>12</v>
      </c>
      <c r="D716" s="4">
        <v>39864.144444444442</v>
      </c>
      <c r="E716" s="1" t="s">
        <v>196</v>
      </c>
      <c r="F716" s="1"/>
      <c r="G716" s="1"/>
      <c r="H716" s="1"/>
      <c r="I716" s="1"/>
      <c r="J716" s="1"/>
      <c r="K716" s="1"/>
      <c r="L716" s="1"/>
      <c r="M716" s="1"/>
      <c r="N716" s="1"/>
      <c r="O716" s="1"/>
      <c r="P716" s="1"/>
      <c r="Q716" s="1"/>
      <c r="R716" s="1"/>
      <c r="S716" s="1"/>
    </row>
    <row r="717" spans="1:19" ht="33.75" customHeight="1">
      <c r="A717" s="1" t="s">
        <v>2160</v>
      </c>
      <c r="B717" s="1" t="s">
        <v>1814</v>
      </c>
      <c r="C717" s="1">
        <v>13</v>
      </c>
      <c r="D717" s="4">
        <v>39864.195138888892</v>
      </c>
      <c r="E717" s="1" t="s">
        <v>381</v>
      </c>
      <c r="F717" s="1"/>
      <c r="G717" s="1"/>
      <c r="H717" s="1"/>
      <c r="I717" s="1"/>
      <c r="J717" s="1"/>
      <c r="K717" s="1"/>
      <c r="L717" s="1"/>
      <c r="M717" s="1"/>
      <c r="N717" s="1"/>
      <c r="O717" s="1"/>
      <c r="P717" s="1"/>
      <c r="Q717" s="1"/>
      <c r="R717" s="1"/>
      <c r="S717" s="1"/>
    </row>
    <row r="718" spans="1:19" ht="33.75" customHeight="1">
      <c r="A718" s="1" t="s">
        <v>2162</v>
      </c>
      <c r="B718" s="1" t="s">
        <v>1814</v>
      </c>
      <c r="C718" s="1">
        <v>13</v>
      </c>
      <c r="D718" s="4">
        <v>39864.223611111112</v>
      </c>
      <c r="E718" s="1" t="s">
        <v>1887</v>
      </c>
      <c r="F718" s="1"/>
      <c r="G718" s="1"/>
      <c r="H718" s="1"/>
      <c r="I718" s="1"/>
      <c r="J718" s="1"/>
      <c r="K718" s="1"/>
      <c r="L718" s="1"/>
      <c r="M718" s="1"/>
      <c r="N718" s="1"/>
      <c r="O718" s="1"/>
      <c r="P718" s="1"/>
      <c r="Q718" s="1"/>
      <c r="R718" s="1"/>
      <c r="S718" s="1"/>
    </row>
    <row r="719" spans="1:19" ht="33.75" customHeight="1">
      <c r="A719" s="1" t="s">
        <v>2165</v>
      </c>
      <c r="B719" s="1" t="s">
        <v>1696</v>
      </c>
      <c r="C719" s="1">
        <v>12</v>
      </c>
      <c r="D719" s="4">
        <v>39864.288888888892</v>
      </c>
      <c r="E719" s="1" t="s">
        <v>320</v>
      </c>
      <c r="F719" s="1"/>
      <c r="G719" s="1"/>
      <c r="H719" s="1"/>
      <c r="I719" s="1"/>
      <c r="J719" s="1"/>
      <c r="K719" s="1"/>
      <c r="L719" s="1"/>
      <c r="M719" s="1"/>
      <c r="N719" s="1"/>
      <c r="O719" s="1"/>
      <c r="P719" s="1"/>
      <c r="Q719" s="1"/>
      <c r="R719" s="1"/>
      <c r="S719" s="1"/>
    </row>
    <row r="720" spans="1:19" ht="33.75" customHeight="1">
      <c r="A720" s="1" t="s">
        <v>2169</v>
      </c>
      <c r="B720" s="1" t="s">
        <v>1696</v>
      </c>
      <c r="C720" s="1">
        <v>12</v>
      </c>
      <c r="D720" s="4">
        <v>39864.291666666664</v>
      </c>
      <c r="E720" s="1" t="s">
        <v>320</v>
      </c>
      <c r="F720" s="1"/>
      <c r="G720" s="1"/>
      <c r="H720" s="1"/>
      <c r="I720" s="1"/>
      <c r="J720" s="1"/>
      <c r="K720" s="1"/>
      <c r="L720" s="1"/>
      <c r="M720" s="1"/>
      <c r="N720" s="1"/>
      <c r="O720" s="1"/>
      <c r="P720" s="1"/>
      <c r="Q720" s="1"/>
      <c r="R720" s="1"/>
      <c r="S720" s="1"/>
    </row>
    <row r="721" spans="1:19" ht="33.75" customHeight="1">
      <c r="A721" s="1" t="s">
        <v>2172</v>
      </c>
      <c r="B721" s="1" t="s">
        <v>1696</v>
      </c>
      <c r="C721" s="1">
        <v>12</v>
      </c>
      <c r="D721" s="4">
        <v>39864.299305555556</v>
      </c>
      <c r="E721" s="1" t="s">
        <v>196</v>
      </c>
      <c r="F721" s="1"/>
      <c r="G721" s="1"/>
      <c r="H721" s="1"/>
      <c r="I721" s="1"/>
      <c r="J721" s="1"/>
      <c r="K721" s="1"/>
      <c r="L721" s="1"/>
      <c r="M721" s="1"/>
      <c r="N721" s="1"/>
      <c r="O721" s="1"/>
      <c r="P721" s="1"/>
      <c r="Q721" s="1"/>
      <c r="R721" s="1"/>
      <c r="S721" s="1"/>
    </row>
    <row r="722" spans="1:19" ht="33.75" customHeight="1">
      <c r="A722" s="1" t="s">
        <v>2174</v>
      </c>
      <c r="B722" s="1" t="s">
        <v>1696</v>
      </c>
      <c r="C722" s="1">
        <v>12</v>
      </c>
      <c r="D722" s="4">
        <v>39864.304166666669</v>
      </c>
      <c r="E722" s="1" t="s">
        <v>196</v>
      </c>
      <c r="F722" s="1"/>
      <c r="G722" s="1"/>
      <c r="H722" s="1"/>
      <c r="I722" s="1"/>
      <c r="J722" s="1"/>
      <c r="K722" s="1"/>
      <c r="L722" s="1"/>
      <c r="M722" s="1"/>
      <c r="N722" s="1"/>
      <c r="O722" s="1"/>
      <c r="P722" s="1"/>
      <c r="Q722" s="1"/>
      <c r="R722" s="1"/>
      <c r="S722" s="1"/>
    </row>
    <row r="723" spans="1:19" ht="33.75" customHeight="1">
      <c r="A723" s="1" t="s">
        <v>2176</v>
      </c>
      <c r="B723" s="1" t="s">
        <v>1696</v>
      </c>
      <c r="C723" s="1">
        <v>12</v>
      </c>
      <c r="D723" s="4">
        <v>39864.313888888886</v>
      </c>
      <c r="E723" s="1" t="s">
        <v>196</v>
      </c>
      <c r="F723" s="1"/>
      <c r="G723" s="1"/>
      <c r="H723" s="1"/>
      <c r="I723" s="1"/>
      <c r="J723" s="1"/>
      <c r="K723" s="1"/>
      <c r="L723" s="1"/>
      <c r="M723" s="1"/>
      <c r="N723" s="1"/>
      <c r="O723" s="1"/>
      <c r="P723" s="1"/>
      <c r="Q723" s="1"/>
      <c r="R723" s="1"/>
      <c r="S723" s="1"/>
    </row>
    <row r="724" spans="1:19" ht="33.75" customHeight="1">
      <c r="A724" s="1" t="s">
        <v>2178</v>
      </c>
      <c r="B724" s="1" t="s">
        <v>1696</v>
      </c>
      <c r="C724" s="1">
        <v>12</v>
      </c>
      <c r="D724" s="4">
        <v>39864.322222222225</v>
      </c>
      <c r="E724" s="1" t="s">
        <v>255</v>
      </c>
      <c r="F724" s="1"/>
      <c r="G724" s="1"/>
      <c r="H724" s="1"/>
      <c r="I724" s="1"/>
      <c r="J724" s="1"/>
      <c r="K724" s="1"/>
      <c r="L724" s="1"/>
      <c r="M724" s="1"/>
      <c r="N724" s="1"/>
      <c r="O724" s="1"/>
      <c r="P724" s="1"/>
      <c r="Q724" s="1"/>
      <c r="R724" s="1"/>
      <c r="S724" s="1"/>
    </row>
    <row r="725" spans="1:19" ht="33.75" customHeight="1">
      <c r="A725" s="1" t="s">
        <v>2180</v>
      </c>
      <c r="B725" s="1" t="s">
        <v>1696</v>
      </c>
      <c r="C725" s="1">
        <v>12</v>
      </c>
      <c r="D725" s="4">
        <v>39864.345833333333</v>
      </c>
      <c r="E725" s="1" t="s">
        <v>196</v>
      </c>
      <c r="F725" s="1"/>
      <c r="G725" s="1"/>
      <c r="H725" s="1"/>
      <c r="I725" s="1"/>
      <c r="J725" s="1"/>
      <c r="K725" s="1"/>
      <c r="L725" s="1"/>
      <c r="M725" s="1"/>
      <c r="N725" s="1"/>
      <c r="O725" s="1"/>
      <c r="P725" s="1"/>
      <c r="Q725" s="1"/>
      <c r="R725" s="1"/>
      <c r="S725" s="1"/>
    </row>
    <row r="726" spans="1:19" ht="33.75" customHeight="1">
      <c r="A726" s="1" t="s">
        <v>2183</v>
      </c>
      <c r="B726" s="1" t="s">
        <v>1814</v>
      </c>
      <c r="C726" s="1">
        <v>13</v>
      </c>
      <c r="D726" s="4">
        <v>39864.353472222225</v>
      </c>
      <c r="E726" s="1" t="s">
        <v>381</v>
      </c>
      <c r="F726" s="1"/>
      <c r="G726" s="1"/>
      <c r="H726" s="1"/>
      <c r="I726" s="1"/>
      <c r="J726" s="1"/>
      <c r="K726" s="1"/>
      <c r="L726" s="1"/>
      <c r="M726" s="1"/>
      <c r="N726" s="1"/>
      <c r="O726" s="1"/>
      <c r="P726" s="1"/>
      <c r="Q726" s="1"/>
      <c r="R726" s="1"/>
      <c r="S726" s="1"/>
    </row>
    <row r="727" spans="1:19" ht="33.75" customHeight="1">
      <c r="A727" s="1" t="s">
        <v>2186</v>
      </c>
      <c r="B727" s="1" t="s">
        <v>1814</v>
      </c>
      <c r="C727" s="1">
        <v>13</v>
      </c>
      <c r="D727" s="4">
        <v>39864.357638888891</v>
      </c>
      <c r="E727" s="1" t="s">
        <v>1241</v>
      </c>
      <c r="F727" s="1"/>
      <c r="G727" s="1"/>
      <c r="H727" s="1"/>
      <c r="I727" s="1"/>
      <c r="J727" s="1"/>
      <c r="K727" s="1"/>
      <c r="L727" s="1"/>
      <c r="M727" s="1"/>
      <c r="N727" s="1"/>
      <c r="O727" s="1"/>
      <c r="P727" s="1"/>
      <c r="Q727" s="1"/>
      <c r="R727" s="1"/>
      <c r="S727" s="1"/>
    </row>
    <row r="728" spans="1:19" ht="33.75" customHeight="1">
      <c r="A728" s="1" t="s">
        <v>2188</v>
      </c>
      <c r="B728" s="1" t="s">
        <v>1696</v>
      </c>
      <c r="C728" s="1">
        <v>12</v>
      </c>
      <c r="D728" s="4">
        <v>39864.380555555559</v>
      </c>
      <c r="E728" s="1" t="s">
        <v>14</v>
      </c>
      <c r="F728" s="1"/>
      <c r="G728" s="1"/>
      <c r="H728" s="1"/>
      <c r="I728" s="1"/>
      <c r="J728" s="1"/>
      <c r="K728" s="1"/>
      <c r="L728" s="1"/>
      <c r="M728" s="1"/>
      <c r="N728" s="1"/>
      <c r="O728" s="1"/>
      <c r="P728" s="1"/>
      <c r="Q728" s="1"/>
      <c r="R728" s="1"/>
      <c r="S728" s="1"/>
    </row>
    <row r="729" spans="1:19" ht="33.75" customHeight="1">
      <c r="A729" s="1" t="s">
        <v>2190</v>
      </c>
      <c r="B729" s="1" t="s">
        <v>1696</v>
      </c>
      <c r="C729" s="1">
        <v>12</v>
      </c>
      <c r="D729" s="4">
        <v>39864.390277777777</v>
      </c>
      <c r="E729" s="1" t="s">
        <v>14</v>
      </c>
      <c r="F729" s="1"/>
      <c r="G729" s="1"/>
      <c r="H729" s="1"/>
      <c r="I729" s="1"/>
      <c r="J729" s="1"/>
      <c r="K729" s="1"/>
      <c r="L729" s="1"/>
      <c r="M729" s="1"/>
      <c r="N729" s="1"/>
      <c r="O729" s="1"/>
      <c r="P729" s="1"/>
      <c r="Q729" s="1"/>
      <c r="R729" s="1"/>
      <c r="S729" s="1"/>
    </row>
    <row r="730" spans="1:19" ht="33.75" customHeight="1">
      <c r="A730" s="1" t="s">
        <v>2194</v>
      </c>
      <c r="B730" s="1" t="s">
        <v>1519</v>
      </c>
      <c r="C730" s="1">
        <v>11</v>
      </c>
      <c r="D730" s="4">
        <v>39864.479166666664</v>
      </c>
      <c r="E730" s="1" t="s">
        <v>54</v>
      </c>
      <c r="F730" s="1"/>
      <c r="G730" s="1"/>
      <c r="H730" s="1"/>
      <c r="I730" s="1"/>
      <c r="J730" s="1"/>
      <c r="K730" s="1"/>
      <c r="L730" s="1"/>
      <c r="M730" s="1"/>
      <c r="N730" s="1"/>
      <c r="O730" s="1"/>
      <c r="P730" s="1"/>
      <c r="Q730" s="1"/>
      <c r="R730" s="1"/>
      <c r="S730" s="1"/>
    </row>
    <row r="731" spans="1:19" ht="33.75" customHeight="1">
      <c r="A731" s="1" t="s">
        <v>2198</v>
      </c>
      <c r="B731" s="1" t="s">
        <v>1519</v>
      </c>
      <c r="C731" s="1">
        <v>11</v>
      </c>
      <c r="D731" s="4">
        <v>39864.491666666669</v>
      </c>
      <c r="E731" s="1" t="s">
        <v>54</v>
      </c>
      <c r="F731" s="1"/>
      <c r="G731" s="1"/>
      <c r="H731" s="1"/>
      <c r="I731" s="1"/>
      <c r="J731" s="1"/>
      <c r="K731" s="1"/>
      <c r="L731" s="1"/>
      <c r="M731" s="1"/>
      <c r="N731" s="1"/>
      <c r="O731" s="1"/>
      <c r="P731" s="1"/>
      <c r="Q731" s="1"/>
      <c r="R731" s="1"/>
      <c r="S731" s="1"/>
    </row>
    <row r="732" spans="1:19" ht="33.75" customHeight="1">
      <c r="A732" s="1" t="s">
        <v>2201</v>
      </c>
      <c r="B732" s="1" t="s">
        <v>1814</v>
      </c>
      <c r="C732" s="1">
        <v>13</v>
      </c>
      <c r="D732" s="4">
        <v>39864.509027777778</v>
      </c>
      <c r="E732" s="1" t="s">
        <v>772</v>
      </c>
      <c r="F732" s="1"/>
      <c r="G732" s="1"/>
      <c r="H732" s="1"/>
      <c r="I732" s="1"/>
      <c r="J732" s="1"/>
      <c r="K732" s="1"/>
      <c r="L732" s="1"/>
      <c r="M732" s="1"/>
      <c r="N732" s="1"/>
      <c r="O732" s="1"/>
      <c r="P732" s="1"/>
      <c r="Q732" s="1"/>
      <c r="R732" s="1"/>
      <c r="S732" s="1"/>
    </row>
    <row r="733" spans="1:19" ht="33.75" customHeight="1">
      <c r="A733" s="1" t="s">
        <v>2204</v>
      </c>
      <c r="B733" s="1" t="s">
        <v>1696</v>
      </c>
      <c r="C733" s="1">
        <v>12</v>
      </c>
      <c r="D733" s="4">
        <v>39864.511805555558</v>
      </c>
      <c r="E733" s="1" t="s">
        <v>14</v>
      </c>
      <c r="F733" s="1"/>
      <c r="G733" s="1"/>
      <c r="H733" s="1"/>
      <c r="I733" s="1"/>
      <c r="J733" s="1"/>
      <c r="K733" s="1"/>
      <c r="L733" s="1"/>
      <c r="M733" s="1"/>
      <c r="N733" s="1"/>
      <c r="O733" s="1"/>
      <c r="P733" s="1"/>
      <c r="Q733" s="1"/>
      <c r="R733" s="1"/>
      <c r="S733" s="1"/>
    </row>
    <row r="734" spans="1:19" ht="33.75" customHeight="1">
      <c r="A734" s="1" t="s">
        <v>2207</v>
      </c>
      <c r="B734" s="1" t="s">
        <v>1696</v>
      </c>
      <c r="C734" s="1">
        <v>12</v>
      </c>
      <c r="D734" s="4">
        <v>39864.52847222222</v>
      </c>
      <c r="E734" s="1" t="s">
        <v>14</v>
      </c>
      <c r="F734" s="1"/>
      <c r="G734" s="1"/>
      <c r="H734" s="1"/>
      <c r="I734" s="1"/>
      <c r="J734" s="1"/>
      <c r="K734" s="1"/>
      <c r="L734" s="1"/>
      <c r="M734" s="1"/>
      <c r="N734" s="1"/>
      <c r="O734" s="1"/>
      <c r="P734" s="1"/>
      <c r="Q734" s="1"/>
      <c r="R734" s="1"/>
      <c r="S734" s="1"/>
    </row>
    <row r="735" spans="1:19" ht="33.75" customHeight="1">
      <c r="A735" s="1" t="s">
        <v>2209</v>
      </c>
      <c r="B735" s="1" t="s">
        <v>1696</v>
      </c>
      <c r="C735" s="1">
        <v>12</v>
      </c>
      <c r="D735" s="4">
        <v>39864.579861111109</v>
      </c>
      <c r="E735" s="1" t="s">
        <v>14</v>
      </c>
      <c r="F735" s="1"/>
      <c r="G735" s="1"/>
      <c r="H735" s="1"/>
      <c r="I735" s="1"/>
      <c r="J735" s="1"/>
      <c r="K735" s="1"/>
      <c r="L735" s="1"/>
      <c r="M735" s="1"/>
      <c r="N735" s="1"/>
      <c r="O735" s="1"/>
      <c r="P735" s="1"/>
      <c r="Q735" s="1"/>
      <c r="R735" s="1"/>
      <c r="S735" s="1"/>
    </row>
    <row r="736" spans="1:19" ht="33.75" customHeight="1">
      <c r="A736" s="1" t="s">
        <v>2212</v>
      </c>
      <c r="B736" s="3" t="s">
        <v>13</v>
      </c>
      <c r="C736" s="3">
        <v>1</v>
      </c>
      <c r="D736" s="4">
        <v>39864.62222222222</v>
      </c>
      <c r="E736" s="1" t="s">
        <v>2213</v>
      </c>
      <c r="F736" s="1"/>
      <c r="G736" s="1"/>
      <c r="H736" s="1"/>
      <c r="I736" s="1"/>
      <c r="J736" s="1"/>
      <c r="K736" s="1"/>
      <c r="L736" s="1"/>
      <c r="M736" s="1"/>
      <c r="N736" s="1"/>
      <c r="O736" s="1"/>
      <c r="P736" s="1"/>
      <c r="Q736" s="1"/>
      <c r="R736" s="1"/>
      <c r="S736" s="1"/>
    </row>
    <row r="737" spans="1:19" ht="33.75" customHeight="1">
      <c r="A737" s="1" t="s">
        <v>2216</v>
      </c>
      <c r="B737" s="1" t="s">
        <v>1696</v>
      </c>
      <c r="C737" s="1">
        <v>12</v>
      </c>
      <c r="D737" s="4">
        <v>39864.668749999997</v>
      </c>
      <c r="E737" s="1" t="s">
        <v>320</v>
      </c>
      <c r="F737" s="1"/>
      <c r="G737" s="1"/>
      <c r="H737" s="1"/>
      <c r="I737" s="1"/>
      <c r="J737" s="1"/>
      <c r="K737" s="1"/>
      <c r="L737" s="1"/>
      <c r="M737" s="1"/>
      <c r="N737" s="1"/>
      <c r="O737" s="1"/>
      <c r="P737" s="1"/>
      <c r="Q737" s="1"/>
      <c r="R737" s="1"/>
      <c r="S737" s="1"/>
    </row>
    <row r="738" spans="1:19" ht="33.75" customHeight="1">
      <c r="A738" s="1" t="s">
        <v>2220</v>
      </c>
      <c r="B738" s="1" t="s">
        <v>1696</v>
      </c>
      <c r="C738" s="1">
        <v>12</v>
      </c>
      <c r="D738" s="4">
        <v>39864.698611111111</v>
      </c>
      <c r="E738" s="1" t="s">
        <v>14</v>
      </c>
      <c r="F738" s="1"/>
      <c r="G738" s="1"/>
      <c r="H738" s="1"/>
      <c r="I738" s="1"/>
      <c r="J738" s="1"/>
      <c r="K738" s="1"/>
      <c r="L738" s="1"/>
      <c r="M738" s="1"/>
      <c r="N738" s="1"/>
      <c r="O738" s="1"/>
      <c r="P738" s="1"/>
      <c r="Q738" s="1"/>
      <c r="R738" s="1"/>
      <c r="S738" s="1"/>
    </row>
    <row r="739" spans="1:19" ht="33.75" customHeight="1">
      <c r="A739" s="1" t="s">
        <v>2222</v>
      </c>
      <c r="B739" s="1" t="s">
        <v>1696</v>
      </c>
      <c r="C739" s="1">
        <v>12</v>
      </c>
      <c r="D739" s="4">
        <v>39864.759722222225</v>
      </c>
      <c r="E739" s="1" t="s">
        <v>14</v>
      </c>
      <c r="F739" s="1"/>
      <c r="G739" s="1"/>
      <c r="H739" s="1"/>
      <c r="I739" s="1"/>
      <c r="J739" s="1"/>
      <c r="K739" s="1"/>
      <c r="L739" s="1"/>
      <c r="M739" s="1"/>
      <c r="N739" s="1"/>
      <c r="O739" s="1"/>
      <c r="P739" s="1"/>
      <c r="Q739" s="1"/>
      <c r="R739" s="1"/>
      <c r="S739" s="1"/>
    </row>
    <row r="740" spans="1:19" ht="33.75" customHeight="1">
      <c r="A740" s="1" t="s">
        <v>2226</v>
      </c>
      <c r="B740" s="1" t="s">
        <v>1696</v>
      </c>
      <c r="C740" s="1">
        <v>12</v>
      </c>
      <c r="D740" s="4">
        <v>39864.789583333331</v>
      </c>
      <c r="E740" s="1" t="s">
        <v>14</v>
      </c>
      <c r="F740" s="1"/>
      <c r="G740" s="1"/>
      <c r="H740" s="1"/>
      <c r="I740" s="1"/>
      <c r="J740" s="1"/>
      <c r="K740" s="1"/>
      <c r="L740" s="1"/>
      <c r="M740" s="1"/>
      <c r="N740" s="1"/>
      <c r="O740" s="1"/>
      <c r="P740" s="1"/>
      <c r="Q740" s="1"/>
      <c r="R740" s="1"/>
      <c r="S740" s="1"/>
    </row>
    <row r="741" spans="1:19" ht="33.75" customHeight="1">
      <c r="A741" s="1" t="s">
        <v>2229</v>
      </c>
      <c r="B741" s="1" t="s">
        <v>1696</v>
      </c>
      <c r="C741" s="1">
        <v>12</v>
      </c>
      <c r="D741" s="4">
        <v>39864.808333333334</v>
      </c>
      <c r="E741" s="1" t="s">
        <v>14</v>
      </c>
      <c r="F741" s="1"/>
      <c r="G741" s="1"/>
      <c r="H741" s="1"/>
      <c r="I741" s="1"/>
      <c r="J741" s="1"/>
      <c r="K741" s="1"/>
      <c r="L741" s="1"/>
      <c r="M741" s="1"/>
      <c r="N741" s="1"/>
      <c r="O741" s="1"/>
      <c r="P741" s="1"/>
      <c r="Q741" s="1"/>
      <c r="R741" s="1"/>
      <c r="S741" s="1"/>
    </row>
    <row r="742" spans="1:19" ht="33.75" customHeight="1">
      <c r="A742" s="1" t="s">
        <v>2233</v>
      </c>
      <c r="B742" s="1" t="s">
        <v>1696</v>
      </c>
      <c r="C742" s="1">
        <v>12</v>
      </c>
      <c r="D742" s="4">
        <v>39864.831944444442</v>
      </c>
      <c r="E742" s="1" t="s">
        <v>14</v>
      </c>
      <c r="F742" s="1"/>
      <c r="G742" s="1"/>
      <c r="H742" s="1"/>
      <c r="I742" s="1"/>
      <c r="J742" s="1"/>
      <c r="K742" s="1"/>
      <c r="L742" s="1"/>
      <c r="M742" s="1"/>
      <c r="N742" s="1"/>
      <c r="O742" s="1"/>
      <c r="P742" s="1"/>
      <c r="Q742" s="1"/>
      <c r="R742" s="1"/>
      <c r="S742" s="1"/>
    </row>
    <row r="743" spans="1:19" ht="33.75" customHeight="1">
      <c r="A743" s="1" t="s">
        <v>2235</v>
      </c>
      <c r="B743" s="1" t="s">
        <v>1814</v>
      </c>
      <c r="C743" s="1">
        <v>13</v>
      </c>
      <c r="D743" s="4">
        <v>39864.870833333334</v>
      </c>
      <c r="E743" s="1" t="s">
        <v>1089</v>
      </c>
      <c r="F743" s="1"/>
      <c r="G743" s="1"/>
      <c r="H743" s="1"/>
      <c r="I743" s="1"/>
      <c r="J743" s="1"/>
      <c r="K743" s="1"/>
      <c r="L743" s="1"/>
      <c r="M743" s="1"/>
      <c r="N743" s="1"/>
      <c r="O743" s="1"/>
      <c r="P743" s="1"/>
      <c r="Q743" s="1"/>
      <c r="R743" s="1"/>
      <c r="S743" s="1"/>
    </row>
    <row r="744" spans="1:19" ht="33.75" customHeight="1">
      <c r="A744" s="1" t="s">
        <v>2239</v>
      </c>
      <c r="B744" s="1" t="s">
        <v>1696</v>
      </c>
      <c r="C744" s="1">
        <v>12</v>
      </c>
      <c r="D744" s="4">
        <v>39865.018055555556</v>
      </c>
      <c r="E744" s="1" t="s">
        <v>14</v>
      </c>
      <c r="F744" s="1"/>
      <c r="G744" s="1"/>
      <c r="H744" s="1"/>
      <c r="I744" s="1"/>
      <c r="J744" s="1"/>
      <c r="K744" s="1"/>
      <c r="L744" s="1"/>
      <c r="M744" s="1"/>
      <c r="N744" s="1"/>
      <c r="O744" s="1"/>
      <c r="P744" s="1"/>
      <c r="Q744" s="1"/>
      <c r="R744" s="1"/>
      <c r="S744" s="1"/>
    </row>
    <row r="745" spans="1:19" ht="33.75" customHeight="1">
      <c r="A745" s="1" t="s">
        <v>2241</v>
      </c>
      <c r="B745" s="1" t="s">
        <v>1814</v>
      </c>
      <c r="C745" s="1">
        <v>13</v>
      </c>
      <c r="D745" s="4">
        <v>39865.229166666664</v>
      </c>
      <c r="E745" s="1" t="s">
        <v>2242</v>
      </c>
      <c r="F745" s="1"/>
      <c r="G745" s="1"/>
      <c r="H745" s="1"/>
      <c r="I745" s="1"/>
      <c r="J745" s="1"/>
      <c r="K745" s="1"/>
      <c r="L745" s="1"/>
      <c r="M745" s="1"/>
      <c r="N745" s="1"/>
      <c r="O745" s="1"/>
      <c r="P745" s="1"/>
      <c r="Q745" s="1"/>
      <c r="R745" s="1"/>
      <c r="S745" s="1"/>
    </row>
    <row r="746" spans="1:19" ht="33.75" customHeight="1">
      <c r="A746" s="1" t="s">
        <v>2244</v>
      </c>
      <c r="B746" s="1" t="s">
        <v>1814</v>
      </c>
      <c r="C746" s="1">
        <v>13</v>
      </c>
      <c r="D746" s="4">
        <v>39865.231944444444</v>
      </c>
      <c r="E746" s="1" t="s">
        <v>1089</v>
      </c>
      <c r="F746" s="1"/>
      <c r="G746" s="1"/>
      <c r="H746" s="1"/>
      <c r="I746" s="1"/>
      <c r="J746" s="1"/>
      <c r="K746" s="1"/>
      <c r="L746" s="1"/>
      <c r="M746" s="1"/>
      <c r="N746" s="1"/>
      <c r="O746" s="1"/>
      <c r="P746" s="1"/>
      <c r="Q746" s="1"/>
      <c r="R746" s="1"/>
      <c r="S746" s="1"/>
    </row>
    <row r="747" spans="1:19" ht="33.75" customHeight="1">
      <c r="A747" s="1" t="s">
        <v>2247</v>
      </c>
      <c r="B747" s="1" t="s">
        <v>1696</v>
      </c>
      <c r="C747" s="1">
        <v>12</v>
      </c>
      <c r="D747" s="4">
        <v>39865.282638888886</v>
      </c>
      <c r="E747" s="1" t="s">
        <v>54</v>
      </c>
      <c r="F747" s="1"/>
      <c r="G747" s="1"/>
      <c r="H747" s="1"/>
      <c r="I747" s="1"/>
      <c r="J747" s="1"/>
      <c r="K747" s="1"/>
      <c r="L747" s="1"/>
      <c r="M747" s="1"/>
      <c r="N747" s="1"/>
      <c r="O747" s="1"/>
      <c r="P747" s="1"/>
      <c r="Q747" s="1"/>
      <c r="R747" s="1"/>
      <c r="S747" s="1"/>
    </row>
    <row r="748" spans="1:19" ht="33.75" customHeight="1">
      <c r="A748" s="1" t="s">
        <v>2249</v>
      </c>
      <c r="B748" s="1" t="s">
        <v>1814</v>
      </c>
      <c r="C748" s="1">
        <v>13</v>
      </c>
      <c r="D748" s="4">
        <v>39865.368750000001</v>
      </c>
      <c r="E748" s="1" t="s">
        <v>54</v>
      </c>
      <c r="F748" s="1"/>
      <c r="G748" s="1"/>
      <c r="H748" s="1"/>
      <c r="I748" s="1"/>
      <c r="J748" s="1"/>
      <c r="K748" s="1"/>
      <c r="L748" s="1"/>
      <c r="M748" s="1"/>
      <c r="N748" s="1"/>
      <c r="O748" s="1"/>
      <c r="P748" s="1"/>
      <c r="Q748" s="1"/>
      <c r="R748" s="1"/>
      <c r="S748" s="1"/>
    </row>
    <row r="749" spans="1:19" ht="33.75" customHeight="1">
      <c r="A749" s="1" t="s">
        <v>2253</v>
      </c>
      <c r="B749" s="1" t="s">
        <v>1814</v>
      </c>
      <c r="C749" s="1">
        <v>13</v>
      </c>
      <c r="D749" s="4">
        <v>39865.431250000001</v>
      </c>
      <c r="E749" s="1" t="s">
        <v>381</v>
      </c>
      <c r="F749" s="1"/>
      <c r="G749" s="1"/>
      <c r="H749" s="1"/>
      <c r="I749" s="1"/>
      <c r="J749" s="1"/>
      <c r="K749" s="1"/>
      <c r="L749" s="1"/>
      <c r="M749" s="1"/>
      <c r="N749" s="1"/>
      <c r="O749" s="1"/>
      <c r="P749" s="1"/>
      <c r="Q749" s="1"/>
      <c r="R749" s="1"/>
      <c r="S749" s="1"/>
    </row>
    <row r="750" spans="1:19" ht="33.75" customHeight="1">
      <c r="A750" s="1" t="s">
        <v>2256</v>
      </c>
      <c r="B750" s="1" t="s">
        <v>1814</v>
      </c>
      <c r="C750" s="1">
        <v>13</v>
      </c>
      <c r="D750" s="4">
        <v>39865.439583333333</v>
      </c>
      <c r="E750" s="1" t="s">
        <v>196</v>
      </c>
      <c r="F750" s="1"/>
      <c r="G750" s="1"/>
      <c r="H750" s="1"/>
      <c r="I750" s="1"/>
      <c r="J750" s="1"/>
      <c r="K750" s="1"/>
      <c r="L750" s="1"/>
      <c r="M750" s="1"/>
      <c r="N750" s="1"/>
      <c r="O750" s="1"/>
      <c r="P750" s="1"/>
      <c r="Q750" s="1"/>
      <c r="R750" s="1"/>
      <c r="S750" s="1"/>
    </row>
    <row r="751" spans="1:19" ht="33.75" customHeight="1">
      <c r="A751" s="1" t="s">
        <v>2258</v>
      </c>
      <c r="B751" s="1" t="s">
        <v>1814</v>
      </c>
      <c r="C751" s="1">
        <v>13</v>
      </c>
      <c r="D751" s="4">
        <v>39865.503472222219</v>
      </c>
      <c r="E751" s="1" t="s">
        <v>772</v>
      </c>
      <c r="F751" s="1"/>
      <c r="G751" s="1"/>
      <c r="H751" s="1"/>
      <c r="I751" s="1"/>
      <c r="J751" s="1"/>
      <c r="K751" s="1"/>
      <c r="L751" s="1"/>
      <c r="M751" s="1"/>
      <c r="N751" s="1"/>
      <c r="O751" s="1"/>
      <c r="P751" s="1"/>
      <c r="Q751" s="1"/>
      <c r="R751" s="1"/>
      <c r="S751" s="1"/>
    </row>
    <row r="752" spans="1:19" ht="33.75" customHeight="1">
      <c r="A752" s="1" t="s">
        <v>2261</v>
      </c>
      <c r="B752" s="1" t="s">
        <v>1814</v>
      </c>
      <c r="C752" s="1">
        <v>13</v>
      </c>
      <c r="D752" s="4">
        <v>39865.552777777775</v>
      </c>
      <c r="E752" s="1" t="s">
        <v>381</v>
      </c>
      <c r="F752" s="1"/>
      <c r="G752" s="1"/>
      <c r="H752" s="1"/>
      <c r="I752" s="1"/>
      <c r="J752" s="1"/>
      <c r="K752" s="1"/>
      <c r="L752" s="1"/>
      <c r="M752" s="1"/>
      <c r="N752" s="1"/>
      <c r="O752" s="1"/>
      <c r="P752" s="1"/>
      <c r="Q752" s="1"/>
      <c r="R752" s="1"/>
      <c r="S752" s="1"/>
    </row>
    <row r="753" spans="1:19" ht="33.75" customHeight="1">
      <c r="A753" s="1" t="s">
        <v>2263</v>
      </c>
      <c r="B753" s="1" t="s">
        <v>1814</v>
      </c>
      <c r="C753" s="1">
        <v>13</v>
      </c>
      <c r="D753" s="4">
        <v>39865.560416666667</v>
      </c>
      <c r="E753" s="1" t="s">
        <v>54</v>
      </c>
      <c r="F753" s="1"/>
      <c r="G753" s="1"/>
      <c r="H753" s="1"/>
      <c r="I753" s="1"/>
      <c r="J753" s="1"/>
      <c r="K753" s="1"/>
      <c r="L753" s="1"/>
      <c r="M753" s="1"/>
      <c r="N753" s="1"/>
      <c r="O753" s="1"/>
      <c r="P753" s="1"/>
      <c r="Q753" s="1"/>
      <c r="R753" s="1"/>
      <c r="S753" s="1"/>
    </row>
    <row r="754" spans="1:19" ht="33.75" customHeight="1">
      <c r="A754" s="1" t="s">
        <v>2265</v>
      </c>
      <c r="B754" s="1" t="s">
        <v>1696</v>
      </c>
      <c r="C754" s="1">
        <v>12</v>
      </c>
      <c r="D754" s="4">
        <v>39865.73333333333</v>
      </c>
      <c r="E754" s="1" t="s">
        <v>54</v>
      </c>
      <c r="F754" s="1"/>
      <c r="G754" s="1"/>
      <c r="H754" s="1"/>
      <c r="I754" s="1"/>
      <c r="J754" s="1"/>
      <c r="K754" s="1"/>
      <c r="L754" s="1"/>
      <c r="M754" s="1"/>
      <c r="N754" s="1"/>
      <c r="O754" s="1"/>
      <c r="P754" s="1"/>
      <c r="Q754" s="1"/>
      <c r="R754" s="1"/>
      <c r="S754" s="1"/>
    </row>
    <row r="755" spans="1:19" ht="33.75" customHeight="1">
      <c r="A755" s="1" t="s">
        <v>2269</v>
      </c>
      <c r="B755" s="1" t="s">
        <v>1696</v>
      </c>
      <c r="C755" s="1">
        <v>12</v>
      </c>
      <c r="D755" s="4">
        <v>39865.736111111109</v>
      </c>
      <c r="E755" s="1" t="s">
        <v>14</v>
      </c>
      <c r="F755" s="1"/>
      <c r="G755" s="1"/>
      <c r="H755" s="1"/>
      <c r="I755" s="1"/>
      <c r="J755" s="1"/>
      <c r="K755" s="1"/>
      <c r="L755" s="1"/>
      <c r="M755" s="1"/>
      <c r="N755" s="1"/>
      <c r="O755" s="1"/>
      <c r="P755" s="1"/>
      <c r="Q755" s="1"/>
      <c r="R755" s="1"/>
      <c r="S755" s="1"/>
    </row>
    <row r="756" spans="1:19" ht="33.75" customHeight="1">
      <c r="A756" s="1" t="s">
        <v>2272</v>
      </c>
      <c r="B756" s="1" t="s">
        <v>1696</v>
      </c>
      <c r="C756" s="1">
        <v>12</v>
      </c>
      <c r="D756" s="4">
        <v>39865.737500000003</v>
      </c>
      <c r="E756" s="1" t="s">
        <v>54</v>
      </c>
      <c r="F756" s="1"/>
      <c r="G756" s="1"/>
      <c r="H756" s="1"/>
      <c r="I756" s="1"/>
      <c r="J756" s="1"/>
      <c r="K756" s="1"/>
      <c r="L756" s="1"/>
      <c r="M756" s="1"/>
      <c r="N756" s="1"/>
      <c r="O756" s="1"/>
      <c r="P756" s="1"/>
      <c r="Q756" s="1"/>
      <c r="R756" s="1"/>
      <c r="S756" s="1"/>
    </row>
    <row r="757" spans="1:19" ht="33.75" customHeight="1">
      <c r="A757" s="1" t="s">
        <v>2275</v>
      </c>
      <c r="B757" s="1" t="s">
        <v>1696</v>
      </c>
      <c r="C757" s="1">
        <v>12</v>
      </c>
      <c r="D757" s="4">
        <v>39865.752083333333</v>
      </c>
      <c r="E757" s="1" t="s">
        <v>14</v>
      </c>
      <c r="F757" s="1"/>
      <c r="G757" s="1"/>
      <c r="H757" s="1"/>
      <c r="I757" s="1"/>
      <c r="J757" s="1"/>
      <c r="K757" s="1"/>
      <c r="L757" s="1"/>
      <c r="M757" s="1"/>
      <c r="N757" s="1"/>
      <c r="O757" s="1"/>
      <c r="P757" s="1"/>
      <c r="Q757" s="1"/>
      <c r="R757" s="1"/>
      <c r="S757" s="1"/>
    </row>
    <row r="758" spans="1:19" ht="33.75" customHeight="1">
      <c r="A758" s="1" t="s">
        <v>2278</v>
      </c>
      <c r="B758" s="1" t="s">
        <v>1696</v>
      </c>
      <c r="C758" s="1">
        <v>12</v>
      </c>
      <c r="D758" s="4">
        <v>39865.772222222222</v>
      </c>
      <c r="E758" s="1" t="s">
        <v>14</v>
      </c>
      <c r="F758" s="1"/>
      <c r="G758" s="1"/>
      <c r="H758" s="1"/>
      <c r="I758" s="1"/>
      <c r="J758" s="1"/>
      <c r="K758" s="1"/>
      <c r="L758" s="1"/>
      <c r="M758" s="1"/>
      <c r="N758" s="1"/>
      <c r="O758" s="1"/>
      <c r="P758" s="1"/>
      <c r="Q758" s="1"/>
      <c r="R758" s="1"/>
      <c r="S758" s="1"/>
    </row>
    <row r="759" spans="1:19" ht="33.75" customHeight="1">
      <c r="A759" s="1" t="s">
        <v>12</v>
      </c>
      <c r="B759" s="1" t="s">
        <v>2280</v>
      </c>
      <c r="C759" s="1">
        <v>14</v>
      </c>
      <c r="D759" s="4">
        <v>39865.795011574075</v>
      </c>
      <c r="E759" s="1" t="s">
        <v>14</v>
      </c>
      <c r="F759" s="1"/>
      <c r="G759" s="1"/>
      <c r="H759" s="1"/>
      <c r="I759" s="1"/>
      <c r="J759" s="1"/>
      <c r="K759" s="1"/>
      <c r="L759" s="1"/>
      <c r="M759" s="1"/>
      <c r="N759" s="1"/>
      <c r="O759" s="1"/>
      <c r="P759" s="1"/>
      <c r="Q759" s="1"/>
      <c r="R759" s="1"/>
      <c r="S759" s="1"/>
    </row>
    <row r="760" spans="1:19" ht="33.75" customHeight="1">
      <c r="A760" s="1" t="s">
        <v>2282</v>
      </c>
      <c r="B760" s="1" t="s">
        <v>1696</v>
      </c>
      <c r="C760" s="1">
        <v>12</v>
      </c>
      <c r="D760" s="4">
        <v>39865.798611111109</v>
      </c>
      <c r="E760" s="1" t="s">
        <v>196</v>
      </c>
      <c r="F760" s="1"/>
      <c r="G760" s="1"/>
      <c r="H760" s="1"/>
      <c r="I760" s="1"/>
      <c r="J760" s="1"/>
      <c r="K760" s="1"/>
      <c r="L760" s="1"/>
      <c r="M760" s="1"/>
      <c r="N760" s="1"/>
      <c r="O760" s="1"/>
      <c r="P760" s="1"/>
      <c r="Q760" s="1"/>
      <c r="R760" s="1"/>
      <c r="S760" s="1"/>
    </row>
    <row r="761" spans="1:19" ht="33.75" customHeight="1">
      <c r="A761" s="1" t="s">
        <v>2285</v>
      </c>
      <c r="B761" s="1" t="s">
        <v>1696</v>
      </c>
      <c r="C761" s="1">
        <v>12</v>
      </c>
      <c r="D761" s="4">
        <v>39865.818749999999</v>
      </c>
      <c r="E761" s="1" t="s">
        <v>14</v>
      </c>
      <c r="F761" s="1"/>
      <c r="G761" s="1"/>
      <c r="H761" s="1"/>
      <c r="I761" s="1"/>
      <c r="J761" s="1"/>
      <c r="K761" s="1"/>
      <c r="L761" s="1"/>
      <c r="M761" s="1"/>
      <c r="N761" s="1"/>
      <c r="O761" s="1"/>
      <c r="P761" s="1"/>
      <c r="Q761" s="1"/>
      <c r="R761" s="1"/>
      <c r="S761" s="1"/>
    </row>
    <row r="762" spans="1:19" ht="33.75" customHeight="1">
      <c r="A762" s="1" t="s">
        <v>2289</v>
      </c>
      <c r="B762" s="1" t="s">
        <v>1696</v>
      </c>
      <c r="C762" s="1">
        <v>12</v>
      </c>
      <c r="D762" s="4">
        <v>39865.827777777777</v>
      </c>
      <c r="E762" s="1" t="s">
        <v>14</v>
      </c>
      <c r="F762" s="1"/>
      <c r="G762" s="1"/>
      <c r="H762" s="1"/>
      <c r="I762" s="1"/>
      <c r="J762" s="1"/>
      <c r="K762" s="1"/>
      <c r="L762" s="1"/>
      <c r="M762" s="1"/>
      <c r="N762" s="1"/>
      <c r="O762" s="1"/>
      <c r="P762" s="1"/>
      <c r="Q762" s="1"/>
      <c r="R762" s="1"/>
      <c r="S762" s="1"/>
    </row>
    <row r="763" spans="1:19" ht="33.75" customHeight="1">
      <c r="A763" s="1" t="s">
        <v>2292</v>
      </c>
      <c r="B763" s="1" t="s">
        <v>1519</v>
      </c>
      <c r="C763" s="1">
        <v>11</v>
      </c>
      <c r="D763" s="4">
        <v>39865.850694444445</v>
      </c>
      <c r="E763" s="1" t="s">
        <v>54</v>
      </c>
      <c r="F763" s="1"/>
      <c r="G763" s="1"/>
      <c r="H763" s="1"/>
      <c r="I763" s="1"/>
      <c r="J763" s="1"/>
      <c r="K763" s="1"/>
      <c r="L763" s="1"/>
      <c r="M763" s="1"/>
      <c r="N763" s="1"/>
      <c r="O763" s="1"/>
      <c r="P763" s="1"/>
      <c r="Q763" s="1"/>
      <c r="R763" s="1"/>
      <c r="S763" s="1"/>
    </row>
    <row r="764" spans="1:19" ht="33.75" customHeight="1">
      <c r="A764" s="1" t="s">
        <v>2295</v>
      </c>
      <c r="B764" s="1" t="s">
        <v>2280</v>
      </c>
      <c r="C764" s="1">
        <v>14</v>
      </c>
      <c r="D764" s="4">
        <v>39865.855555555558</v>
      </c>
      <c r="E764" s="1" t="s">
        <v>84</v>
      </c>
      <c r="F764" s="1"/>
      <c r="G764" s="1"/>
      <c r="H764" s="1"/>
      <c r="I764" s="1"/>
      <c r="J764" s="1"/>
      <c r="K764" s="1"/>
      <c r="L764" s="1"/>
      <c r="M764" s="1"/>
      <c r="N764" s="1"/>
      <c r="O764" s="1"/>
      <c r="P764" s="1"/>
      <c r="Q764" s="1"/>
      <c r="R764" s="1"/>
      <c r="S764" s="1"/>
    </row>
    <row r="765" spans="1:19" ht="33.75" customHeight="1">
      <c r="A765" s="1" t="s">
        <v>2298</v>
      </c>
      <c r="B765" s="1" t="s">
        <v>1696</v>
      </c>
      <c r="C765" s="1">
        <v>12</v>
      </c>
      <c r="D765" s="4">
        <v>39865.881944444445</v>
      </c>
      <c r="E765" s="1" t="s">
        <v>54</v>
      </c>
      <c r="F765" s="1"/>
      <c r="G765" s="1"/>
      <c r="H765" s="1"/>
      <c r="I765" s="1"/>
      <c r="J765" s="1"/>
      <c r="K765" s="1"/>
      <c r="L765" s="1"/>
      <c r="M765" s="1"/>
      <c r="N765" s="1"/>
      <c r="O765" s="1"/>
      <c r="P765" s="1"/>
      <c r="Q765" s="1"/>
      <c r="R765" s="1"/>
      <c r="S765" s="1"/>
    </row>
    <row r="766" spans="1:19" ht="33.75" customHeight="1">
      <c r="A766" s="1" t="s">
        <v>2301</v>
      </c>
      <c r="B766" s="1" t="s">
        <v>1696</v>
      </c>
      <c r="C766" s="1">
        <v>12</v>
      </c>
      <c r="D766" s="4">
        <v>39865.886805555558</v>
      </c>
      <c r="E766" s="1" t="s">
        <v>14</v>
      </c>
      <c r="F766" s="1"/>
      <c r="G766" s="1"/>
      <c r="H766" s="1"/>
      <c r="I766" s="1"/>
      <c r="J766" s="1"/>
      <c r="K766" s="1"/>
      <c r="L766" s="1"/>
      <c r="M766" s="1"/>
      <c r="N766" s="1"/>
      <c r="O766" s="1"/>
      <c r="P766" s="1"/>
      <c r="Q766" s="1"/>
      <c r="R766" s="1"/>
      <c r="S766" s="1"/>
    </row>
    <row r="767" spans="1:19" ht="33.75" customHeight="1">
      <c r="A767" s="1" t="s">
        <v>2304</v>
      </c>
      <c r="B767" s="1" t="s">
        <v>1519</v>
      </c>
      <c r="C767" s="1">
        <v>11</v>
      </c>
      <c r="D767" s="4">
        <v>39865.893750000003</v>
      </c>
      <c r="E767" s="1" t="s">
        <v>54</v>
      </c>
      <c r="F767" s="1"/>
      <c r="G767" s="1"/>
      <c r="H767" s="1"/>
      <c r="I767" s="1"/>
      <c r="J767" s="1"/>
      <c r="K767" s="1"/>
      <c r="L767" s="1"/>
      <c r="M767" s="1"/>
      <c r="N767" s="1"/>
      <c r="O767" s="1"/>
      <c r="P767" s="1"/>
      <c r="Q767" s="1"/>
      <c r="R767" s="1"/>
      <c r="S767" s="1"/>
    </row>
    <row r="768" spans="1:19" ht="33.75" customHeight="1">
      <c r="A768" s="1" t="s">
        <v>2306</v>
      </c>
      <c r="B768" s="1" t="s">
        <v>1696</v>
      </c>
      <c r="C768" s="1">
        <v>12</v>
      </c>
      <c r="D768" s="4">
        <v>39865.946527777778</v>
      </c>
      <c r="E768" s="1" t="s">
        <v>196</v>
      </c>
      <c r="F768" s="1"/>
      <c r="G768" s="1"/>
      <c r="H768" s="1"/>
      <c r="I768" s="1"/>
      <c r="J768" s="1"/>
      <c r="K768" s="1"/>
      <c r="L768" s="1"/>
      <c r="M768" s="1"/>
      <c r="N768" s="1"/>
      <c r="O768" s="1"/>
      <c r="P768" s="1"/>
      <c r="Q768" s="1"/>
      <c r="R768" s="1"/>
      <c r="S768" s="1"/>
    </row>
    <row r="769" spans="1:19" ht="33.75" customHeight="1">
      <c r="A769" s="1" t="s">
        <v>2308</v>
      </c>
      <c r="B769" s="1" t="s">
        <v>1696</v>
      </c>
      <c r="C769" s="1">
        <v>12</v>
      </c>
      <c r="D769" s="4">
        <v>39866.334722222222</v>
      </c>
      <c r="E769" s="1" t="s">
        <v>54</v>
      </c>
      <c r="F769" s="1"/>
      <c r="G769" s="1"/>
      <c r="H769" s="1"/>
      <c r="I769" s="1"/>
      <c r="J769" s="1"/>
      <c r="K769" s="1"/>
      <c r="L769" s="1"/>
      <c r="M769" s="1"/>
      <c r="N769" s="1"/>
      <c r="O769" s="1"/>
      <c r="P769" s="1"/>
      <c r="Q769" s="1"/>
      <c r="R769" s="1"/>
      <c r="S769" s="1"/>
    </row>
    <row r="770" spans="1:19" ht="33.75" customHeight="1">
      <c r="A770" s="1" t="s">
        <v>2311</v>
      </c>
      <c r="B770" s="1" t="s">
        <v>1696</v>
      </c>
      <c r="C770" s="1">
        <v>12</v>
      </c>
      <c r="D770" s="4">
        <v>39866.459722222222</v>
      </c>
      <c r="E770" s="1" t="s">
        <v>14</v>
      </c>
      <c r="F770" s="1"/>
      <c r="G770" s="1"/>
      <c r="H770" s="1"/>
      <c r="I770" s="1"/>
      <c r="J770" s="1"/>
      <c r="K770" s="1"/>
      <c r="L770" s="1"/>
      <c r="M770" s="1"/>
      <c r="N770" s="1"/>
      <c r="O770" s="1"/>
      <c r="P770" s="1"/>
      <c r="Q770" s="1"/>
      <c r="R770" s="1"/>
      <c r="S770" s="1"/>
    </row>
    <row r="771" spans="1:19" ht="33.75" customHeight="1">
      <c r="A771" s="1" t="s">
        <v>2313</v>
      </c>
      <c r="B771" s="1" t="s">
        <v>1814</v>
      </c>
      <c r="C771" s="1">
        <v>13</v>
      </c>
      <c r="D771" s="4">
        <v>39866.492361111108</v>
      </c>
      <c r="E771" s="1" t="s">
        <v>474</v>
      </c>
      <c r="F771" s="1"/>
      <c r="G771" s="1"/>
      <c r="H771" s="1"/>
      <c r="I771" s="1"/>
      <c r="J771" s="1"/>
      <c r="K771" s="1"/>
      <c r="L771" s="1"/>
      <c r="M771" s="1"/>
      <c r="N771" s="1"/>
      <c r="O771" s="1"/>
      <c r="P771" s="1"/>
      <c r="Q771" s="1"/>
      <c r="R771" s="1"/>
      <c r="S771" s="1"/>
    </row>
    <row r="772" spans="1:19" ht="33.75" customHeight="1">
      <c r="A772" s="1" t="s">
        <v>2316</v>
      </c>
      <c r="B772" s="1" t="s">
        <v>1814</v>
      </c>
      <c r="C772" s="1">
        <v>13</v>
      </c>
      <c r="D772" s="4">
        <v>39866.579861111109</v>
      </c>
      <c r="E772" s="1" t="s">
        <v>54</v>
      </c>
      <c r="F772" s="1"/>
      <c r="G772" s="1"/>
      <c r="H772" s="1"/>
      <c r="I772" s="1"/>
      <c r="J772" s="1"/>
      <c r="K772" s="1"/>
      <c r="L772" s="1"/>
      <c r="M772" s="1"/>
      <c r="N772" s="1"/>
      <c r="O772" s="1"/>
      <c r="P772" s="1"/>
      <c r="Q772" s="1"/>
      <c r="R772" s="1"/>
      <c r="S772" s="1"/>
    </row>
    <row r="773" spans="1:19" ht="33.75" customHeight="1">
      <c r="A773" s="1" t="s">
        <v>2318</v>
      </c>
      <c r="B773" s="1" t="s">
        <v>1696</v>
      </c>
      <c r="C773" s="1">
        <v>12</v>
      </c>
      <c r="D773" s="4">
        <v>39866.612500000003</v>
      </c>
      <c r="E773" s="1" t="s">
        <v>14</v>
      </c>
      <c r="F773" s="1"/>
      <c r="G773" s="1"/>
      <c r="H773" s="1"/>
      <c r="I773" s="1"/>
      <c r="J773" s="1"/>
      <c r="K773" s="1"/>
      <c r="L773" s="1"/>
      <c r="M773" s="1"/>
      <c r="N773" s="1"/>
      <c r="O773" s="1"/>
      <c r="P773" s="1"/>
      <c r="Q773" s="1"/>
      <c r="R773" s="1"/>
      <c r="S773" s="1"/>
    </row>
    <row r="774" spans="1:19" ht="33.75" customHeight="1">
      <c r="A774" s="1" t="s">
        <v>2321</v>
      </c>
      <c r="B774" s="1" t="s">
        <v>1814</v>
      </c>
      <c r="C774" s="1">
        <v>13</v>
      </c>
      <c r="D774" s="4">
        <v>39866.615972222222</v>
      </c>
      <c r="E774" s="1" t="s">
        <v>54</v>
      </c>
      <c r="F774" s="1"/>
      <c r="G774" s="1"/>
      <c r="H774" s="1"/>
      <c r="I774" s="1"/>
      <c r="J774" s="1"/>
      <c r="K774" s="1"/>
      <c r="L774" s="1"/>
      <c r="M774" s="1"/>
      <c r="N774" s="1"/>
      <c r="O774" s="1"/>
      <c r="P774" s="1"/>
      <c r="Q774" s="1"/>
      <c r="R774" s="1"/>
      <c r="S774" s="1"/>
    </row>
    <row r="775" spans="1:19" ht="33.75" customHeight="1">
      <c r="A775" s="1" t="s">
        <v>2323</v>
      </c>
      <c r="B775" s="1" t="s">
        <v>1814</v>
      </c>
      <c r="C775" s="1">
        <v>13</v>
      </c>
      <c r="D775" s="4">
        <v>39866.82916666667</v>
      </c>
      <c r="E775" s="1" t="s">
        <v>54</v>
      </c>
      <c r="F775" s="1"/>
      <c r="G775" s="1"/>
      <c r="H775" s="1"/>
      <c r="I775" s="1"/>
      <c r="J775" s="1"/>
      <c r="K775" s="1"/>
      <c r="L775" s="1"/>
      <c r="M775" s="1"/>
      <c r="N775" s="1"/>
      <c r="O775" s="1"/>
      <c r="P775" s="1"/>
      <c r="Q775" s="1"/>
      <c r="R775" s="1"/>
      <c r="S775" s="1"/>
    </row>
    <row r="776" spans="1:19" ht="33.75" customHeight="1">
      <c r="A776" s="1" t="s">
        <v>2325</v>
      </c>
      <c r="B776" s="1" t="s">
        <v>1696</v>
      </c>
      <c r="C776" s="1">
        <v>12</v>
      </c>
      <c r="D776" s="4">
        <v>39867.020138888889</v>
      </c>
      <c r="E776" s="1" t="s">
        <v>320</v>
      </c>
      <c r="F776" s="1"/>
      <c r="G776" s="1"/>
      <c r="H776" s="1"/>
      <c r="I776" s="1"/>
      <c r="J776" s="1"/>
      <c r="K776" s="1"/>
      <c r="L776" s="1"/>
      <c r="M776" s="1"/>
      <c r="N776" s="1"/>
      <c r="O776" s="1"/>
      <c r="P776" s="1"/>
      <c r="Q776" s="1"/>
      <c r="R776" s="1"/>
      <c r="S776" s="1"/>
    </row>
    <row r="777" spans="1:19" ht="33.75" customHeight="1">
      <c r="A777" s="1" t="s">
        <v>2329</v>
      </c>
      <c r="B777" s="1" t="s">
        <v>1696</v>
      </c>
      <c r="C777" s="1">
        <v>12</v>
      </c>
      <c r="D777" s="4">
        <v>39867.020833333336</v>
      </c>
      <c r="E777" s="1" t="s">
        <v>320</v>
      </c>
      <c r="F777" s="1"/>
      <c r="G777" s="1"/>
      <c r="H777" s="1"/>
      <c r="I777" s="1"/>
      <c r="J777" s="1"/>
      <c r="K777" s="1"/>
      <c r="L777" s="1"/>
      <c r="M777" s="1"/>
      <c r="N777" s="1"/>
      <c r="O777" s="1"/>
      <c r="P777" s="1"/>
      <c r="Q777" s="1"/>
      <c r="R777" s="1"/>
      <c r="S777" s="1"/>
    </row>
    <row r="778" spans="1:19" ht="33.75" customHeight="1">
      <c r="A778" s="1" t="s">
        <v>2331</v>
      </c>
      <c r="B778" s="1" t="s">
        <v>2280</v>
      </c>
      <c r="C778" s="1">
        <v>14</v>
      </c>
      <c r="D778" s="4">
        <v>39867.041666666664</v>
      </c>
      <c r="E778" s="1" t="s">
        <v>320</v>
      </c>
      <c r="F778" s="1"/>
      <c r="G778" s="1"/>
      <c r="H778" s="1"/>
      <c r="I778" s="1"/>
      <c r="J778" s="1"/>
      <c r="K778" s="1"/>
      <c r="L778" s="1"/>
      <c r="M778" s="1"/>
      <c r="N778" s="1"/>
      <c r="O778" s="1"/>
      <c r="P778" s="1"/>
      <c r="Q778" s="1"/>
      <c r="R778" s="1"/>
      <c r="S778" s="1"/>
    </row>
    <row r="779" spans="1:19" ht="33.75" customHeight="1">
      <c r="A779" s="1" t="s">
        <v>2334</v>
      </c>
      <c r="B779" s="1" t="s">
        <v>2335</v>
      </c>
      <c r="C779" s="1">
        <v>15</v>
      </c>
      <c r="D779" s="4">
        <v>39868.211111111108</v>
      </c>
      <c r="E779" s="1" t="s">
        <v>1528</v>
      </c>
      <c r="F779" s="1"/>
      <c r="G779" s="1"/>
      <c r="H779" s="1"/>
      <c r="I779" s="1"/>
      <c r="J779" s="1"/>
      <c r="K779" s="1"/>
      <c r="L779" s="1"/>
      <c r="M779" s="1"/>
      <c r="N779" s="1"/>
      <c r="O779" s="1"/>
      <c r="P779" s="1"/>
      <c r="Q779" s="1"/>
      <c r="R779" s="1"/>
      <c r="S779" s="1"/>
    </row>
    <row r="780" spans="1:19" ht="33.75" customHeight="1">
      <c r="A780" s="1" t="s">
        <v>2337</v>
      </c>
      <c r="B780" s="1" t="s">
        <v>1814</v>
      </c>
      <c r="C780" s="1">
        <v>13</v>
      </c>
      <c r="D780" s="4">
        <v>39867.077777777777</v>
      </c>
      <c r="E780" s="1" t="s">
        <v>381</v>
      </c>
      <c r="F780" s="1"/>
      <c r="G780" s="1"/>
      <c r="H780" s="1"/>
      <c r="I780" s="1"/>
      <c r="J780" s="1"/>
      <c r="K780" s="1"/>
      <c r="L780" s="1"/>
      <c r="M780" s="1"/>
      <c r="N780" s="1"/>
      <c r="O780" s="1"/>
      <c r="P780" s="1"/>
      <c r="Q780" s="1"/>
      <c r="R780" s="1"/>
      <c r="S780" s="1"/>
    </row>
    <row r="781" spans="1:19" ht="33.75" customHeight="1">
      <c r="A781" s="1" t="s">
        <v>2339</v>
      </c>
      <c r="B781" s="1" t="s">
        <v>1814</v>
      </c>
      <c r="C781" s="1">
        <v>13</v>
      </c>
      <c r="D781" s="4">
        <v>39867.081944444442</v>
      </c>
      <c r="E781" s="1" t="s">
        <v>1887</v>
      </c>
      <c r="F781" s="1"/>
      <c r="G781" s="1"/>
      <c r="H781" s="1"/>
      <c r="I781" s="1"/>
      <c r="J781" s="1"/>
      <c r="K781" s="1"/>
      <c r="L781" s="1"/>
      <c r="M781" s="1"/>
      <c r="N781" s="1"/>
      <c r="O781" s="1"/>
      <c r="P781" s="1"/>
      <c r="Q781" s="1"/>
      <c r="R781" s="1"/>
      <c r="S781" s="1"/>
    </row>
    <row r="782" spans="1:19" ht="33.75" customHeight="1">
      <c r="A782" s="1" t="s">
        <v>2341</v>
      </c>
      <c r="B782" s="1" t="s">
        <v>1696</v>
      </c>
      <c r="C782" s="1">
        <v>12</v>
      </c>
      <c r="D782" s="4">
        <v>39867.208333333336</v>
      </c>
      <c r="E782" s="1" t="s">
        <v>320</v>
      </c>
      <c r="F782" s="1"/>
      <c r="G782" s="1"/>
      <c r="H782" s="1"/>
      <c r="I782" s="1"/>
      <c r="J782" s="1"/>
      <c r="K782" s="1"/>
      <c r="L782" s="1"/>
      <c r="M782" s="1"/>
      <c r="N782" s="1"/>
      <c r="O782" s="1"/>
      <c r="P782" s="1"/>
      <c r="Q782" s="1"/>
      <c r="R782" s="1"/>
      <c r="S782" s="1"/>
    </row>
    <row r="783" spans="1:19" ht="33.75" customHeight="1">
      <c r="A783" s="1" t="s">
        <v>2343</v>
      </c>
      <c r="B783" s="1" t="s">
        <v>1814</v>
      </c>
      <c r="C783" s="1">
        <v>13</v>
      </c>
      <c r="D783" s="4">
        <v>39867.394444444442</v>
      </c>
      <c r="E783" s="1" t="s">
        <v>54</v>
      </c>
      <c r="F783" s="1"/>
      <c r="G783" s="1"/>
      <c r="H783" s="1"/>
      <c r="I783" s="1"/>
      <c r="J783" s="1"/>
      <c r="K783" s="1"/>
      <c r="L783" s="1"/>
      <c r="M783" s="1"/>
      <c r="N783" s="1"/>
      <c r="O783" s="1"/>
      <c r="P783" s="1"/>
      <c r="Q783" s="1"/>
      <c r="R783" s="1"/>
      <c r="S783" s="1"/>
    </row>
    <row r="784" spans="1:19" ht="33.75" customHeight="1">
      <c r="A784" s="1" t="s">
        <v>2346</v>
      </c>
      <c r="B784" s="1" t="s">
        <v>1814</v>
      </c>
      <c r="C784" s="1">
        <v>13</v>
      </c>
      <c r="D784" s="4">
        <v>39867.404166666667</v>
      </c>
      <c r="E784" s="1" t="s">
        <v>54</v>
      </c>
      <c r="F784" s="1"/>
      <c r="G784" s="1"/>
      <c r="H784" s="1"/>
      <c r="I784" s="1"/>
      <c r="J784" s="1"/>
      <c r="K784" s="1"/>
      <c r="L784" s="1"/>
      <c r="M784" s="1"/>
      <c r="N784" s="1"/>
      <c r="O784" s="1"/>
      <c r="P784" s="1"/>
      <c r="Q784" s="1"/>
      <c r="R784" s="1"/>
      <c r="S784" s="1"/>
    </row>
    <row r="785" spans="1:19" ht="33.75" customHeight="1">
      <c r="A785" s="1" t="s">
        <v>12</v>
      </c>
      <c r="B785" s="1" t="s">
        <v>2335</v>
      </c>
      <c r="C785" s="1">
        <v>15</v>
      </c>
      <c r="D785" s="4">
        <v>39867.414837962962</v>
      </c>
      <c r="E785" s="1" t="s">
        <v>14</v>
      </c>
      <c r="F785" s="1"/>
      <c r="G785" s="1"/>
      <c r="H785" s="1"/>
      <c r="I785" s="1"/>
      <c r="J785" s="1"/>
      <c r="K785" s="1"/>
      <c r="L785" s="1"/>
      <c r="M785" s="1"/>
      <c r="N785" s="1"/>
      <c r="O785" s="1"/>
      <c r="P785" s="1"/>
      <c r="Q785" s="1"/>
      <c r="R785" s="1"/>
      <c r="S785" s="1"/>
    </row>
    <row r="786" spans="1:19" ht="33.75" customHeight="1">
      <c r="A786" s="1" t="s">
        <v>2349</v>
      </c>
      <c r="B786" s="1" t="s">
        <v>1696</v>
      </c>
      <c r="C786" s="1">
        <v>12</v>
      </c>
      <c r="D786" s="4">
        <v>39867.429166666669</v>
      </c>
      <c r="E786" s="1" t="s">
        <v>14</v>
      </c>
      <c r="F786" s="1"/>
      <c r="G786" s="1"/>
      <c r="H786" s="1"/>
      <c r="I786" s="1"/>
      <c r="J786" s="1"/>
      <c r="K786" s="1"/>
      <c r="L786" s="1"/>
      <c r="M786" s="1"/>
      <c r="N786" s="1"/>
      <c r="O786" s="1"/>
      <c r="P786" s="1"/>
      <c r="Q786" s="1"/>
      <c r="R786" s="1"/>
      <c r="S786" s="1"/>
    </row>
    <row r="787" spans="1:19" ht="33.75" customHeight="1">
      <c r="A787" s="1" t="s">
        <v>2352</v>
      </c>
      <c r="B787" s="1" t="s">
        <v>1696</v>
      </c>
      <c r="C787" s="1">
        <v>12</v>
      </c>
      <c r="D787" s="4">
        <v>39867.462500000001</v>
      </c>
      <c r="E787" s="1" t="s">
        <v>14</v>
      </c>
      <c r="F787" s="1"/>
      <c r="G787" s="1"/>
      <c r="H787" s="1"/>
      <c r="I787" s="1"/>
      <c r="J787" s="1"/>
      <c r="K787" s="1"/>
      <c r="L787" s="1"/>
      <c r="M787" s="1"/>
      <c r="N787" s="1"/>
      <c r="O787" s="1"/>
      <c r="P787" s="1"/>
      <c r="Q787" s="1"/>
      <c r="R787" s="1"/>
      <c r="S787" s="1"/>
    </row>
    <row r="788" spans="1:19" ht="33.75" customHeight="1">
      <c r="A788" s="1" t="s">
        <v>2355</v>
      </c>
      <c r="B788" s="1" t="s">
        <v>1814</v>
      </c>
      <c r="C788" s="1">
        <v>13</v>
      </c>
      <c r="D788" s="4">
        <v>39867.741666666669</v>
      </c>
      <c r="E788" s="1" t="s">
        <v>1241</v>
      </c>
      <c r="F788" s="1"/>
      <c r="G788" s="1"/>
      <c r="H788" s="1"/>
      <c r="I788" s="1"/>
      <c r="J788" s="1"/>
      <c r="K788" s="1"/>
      <c r="L788" s="1"/>
      <c r="M788" s="1"/>
      <c r="N788" s="1"/>
      <c r="O788" s="1"/>
      <c r="P788" s="1"/>
      <c r="Q788" s="1"/>
      <c r="R788" s="1"/>
      <c r="S788" s="1"/>
    </row>
    <row r="789" spans="1:19" ht="33.75" customHeight="1">
      <c r="A789" s="1" t="s">
        <v>2357</v>
      </c>
      <c r="B789" s="1" t="s">
        <v>1814</v>
      </c>
      <c r="C789" s="1">
        <v>13</v>
      </c>
      <c r="D789" s="4">
        <v>39867.752083333333</v>
      </c>
      <c r="E789" s="1" t="s">
        <v>54</v>
      </c>
      <c r="F789" s="1"/>
      <c r="G789" s="1"/>
      <c r="H789" s="1"/>
      <c r="I789" s="1"/>
      <c r="J789" s="1"/>
      <c r="K789" s="1"/>
      <c r="L789" s="1"/>
      <c r="M789" s="1"/>
      <c r="N789" s="1"/>
      <c r="O789" s="1"/>
      <c r="P789" s="1"/>
      <c r="Q789" s="1"/>
      <c r="R789" s="1"/>
      <c r="S789" s="1"/>
    </row>
    <row r="790" spans="1:19" ht="33.75" customHeight="1">
      <c r="A790" s="1" t="s">
        <v>2359</v>
      </c>
      <c r="B790" s="1" t="s">
        <v>1696</v>
      </c>
      <c r="C790" s="1">
        <v>12</v>
      </c>
      <c r="D790" s="4">
        <v>39867.754166666666</v>
      </c>
      <c r="E790" s="1" t="s">
        <v>320</v>
      </c>
      <c r="F790" s="1"/>
      <c r="G790" s="1"/>
      <c r="H790" s="1"/>
      <c r="I790" s="1"/>
      <c r="J790" s="1"/>
      <c r="K790" s="1"/>
      <c r="L790" s="1"/>
      <c r="M790" s="1"/>
      <c r="N790" s="1"/>
      <c r="O790" s="1"/>
      <c r="P790" s="1"/>
      <c r="Q790" s="1"/>
      <c r="R790" s="1"/>
      <c r="S790" s="1"/>
    </row>
    <row r="791" spans="1:19" ht="33.75" customHeight="1">
      <c r="A791" s="1" t="s">
        <v>2362</v>
      </c>
      <c r="B791" s="1" t="s">
        <v>1696</v>
      </c>
      <c r="C791" s="1">
        <v>12</v>
      </c>
      <c r="D791" s="4">
        <v>39867.756249999999</v>
      </c>
      <c r="E791" s="1" t="s">
        <v>320</v>
      </c>
      <c r="F791" s="1"/>
      <c r="G791" s="1"/>
      <c r="H791" s="1"/>
      <c r="I791" s="1"/>
      <c r="J791" s="1"/>
      <c r="K791" s="1"/>
      <c r="L791" s="1"/>
      <c r="M791" s="1"/>
      <c r="N791" s="1"/>
      <c r="O791" s="1"/>
      <c r="P791" s="1"/>
      <c r="Q791" s="1"/>
      <c r="R791" s="1"/>
      <c r="S791" s="1"/>
    </row>
    <row r="792" spans="1:19" ht="33.75" customHeight="1">
      <c r="A792" s="1" t="s">
        <v>2366</v>
      </c>
      <c r="B792" s="1" t="s">
        <v>2335</v>
      </c>
      <c r="C792" s="1">
        <v>15</v>
      </c>
      <c r="D792" s="4">
        <v>39867.758333333331</v>
      </c>
      <c r="E792" s="1" t="s">
        <v>320</v>
      </c>
      <c r="F792" s="1"/>
      <c r="G792" s="1"/>
      <c r="H792" s="1"/>
      <c r="I792" s="1"/>
      <c r="J792" s="1"/>
      <c r="K792" s="1"/>
      <c r="L792" s="1"/>
      <c r="M792" s="1"/>
      <c r="N792" s="1"/>
      <c r="O792" s="1"/>
      <c r="P792" s="1"/>
      <c r="Q792" s="1"/>
      <c r="R792" s="1"/>
      <c r="S792" s="1"/>
    </row>
    <row r="793" spans="1:19" ht="33.75" customHeight="1">
      <c r="A793" s="1" t="s">
        <v>2369</v>
      </c>
      <c r="B793" s="1" t="s">
        <v>2335</v>
      </c>
      <c r="C793" s="1">
        <v>15</v>
      </c>
      <c r="D793" s="4">
        <v>39867.759722222225</v>
      </c>
      <c r="E793" s="1" t="s">
        <v>196</v>
      </c>
      <c r="F793" s="1"/>
      <c r="G793" s="1"/>
      <c r="H793" s="1"/>
      <c r="I793" s="1"/>
      <c r="J793" s="1"/>
      <c r="K793" s="1"/>
      <c r="L793" s="1"/>
      <c r="M793" s="1"/>
      <c r="N793" s="1"/>
      <c r="O793" s="1"/>
      <c r="P793" s="1"/>
      <c r="Q793" s="1"/>
      <c r="R793" s="1"/>
      <c r="S793" s="1"/>
    </row>
    <row r="794" spans="1:19" ht="33.75" customHeight="1">
      <c r="A794" s="1" t="s">
        <v>2372</v>
      </c>
      <c r="B794" s="1" t="s">
        <v>1696</v>
      </c>
      <c r="C794" s="1">
        <v>12</v>
      </c>
      <c r="D794" s="4">
        <v>39867.763194444444</v>
      </c>
      <c r="E794" s="1" t="s">
        <v>14</v>
      </c>
      <c r="F794" s="1"/>
      <c r="G794" s="1"/>
      <c r="H794" s="1"/>
      <c r="I794" s="1"/>
      <c r="J794" s="1"/>
      <c r="K794" s="1"/>
      <c r="L794" s="1"/>
      <c r="M794" s="1"/>
      <c r="N794" s="1"/>
      <c r="O794" s="1"/>
      <c r="P794" s="1"/>
      <c r="Q794" s="1"/>
      <c r="R794" s="1"/>
      <c r="S794" s="1"/>
    </row>
    <row r="795" spans="1:19" ht="33.75" customHeight="1">
      <c r="A795" s="1" t="s">
        <v>2376</v>
      </c>
      <c r="B795" s="1" t="s">
        <v>2335</v>
      </c>
      <c r="C795" s="1">
        <v>15</v>
      </c>
      <c r="D795" s="4">
        <v>39867.769444444442</v>
      </c>
      <c r="E795" s="1" t="s">
        <v>14</v>
      </c>
      <c r="F795" s="1"/>
      <c r="G795" s="1"/>
      <c r="H795" s="1"/>
      <c r="I795" s="1"/>
      <c r="J795" s="1"/>
      <c r="K795" s="1"/>
      <c r="L795" s="1"/>
      <c r="M795" s="1"/>
      <c r="N795" s="1"/>
      <c r="O795" s="1"/>
      <c r="P795" s="1"/>
      <c r="Q795" s="1"/>
      <c r="R795" s="1"/>
      <c r="S795" s="1"/>
    </row>
    <row r="796" spans="1:19" ht="33.75" customHeight="1">
      <c r="A796" s="1" t="s">
        <v>2379</v>
      </c>
      <c r="B796" s="1" t="s">
        <v>2335</v>
      </c>
      <c r="C796" s="1">
        <v>15</v>
      </c>
      <c r="D796" s="4">
        <v>39867.782638888886</v>
      </c>
      <c r="E796" s="1" t="s">
        <v>14</v>
      </c>
      <c r="F796" s="1"/>
      <c r="G796" s="1"/>
      <c r="H796" s="1"/>
      <c r="I796" s="1"/>
      <c r="J796" s="1"/>
      <c r="K796" s="1"/>
      <c r="L796" s="1"/>
      <c r="M796" s="1"/>
      <c r="N796" s="1"/>
      <c r="O796" s="1"/>
      <c r="P796" s="1"/>
      <c r="Q796" s="1"/>
      <c r="R796" s="1"/>
      <c r="S796" s="1"/>
    </row>
    <row r="797" spans="1:19" ht="33.75" customHeight="1">
      <c r="A797" s="1" t="s">
        <v>2381</v>
      </c>
      <c r="B797" s="1" t="s">
        <v>2335</v>
      </c>
      <c r="C797" s="1">
        <v>15</v>
      </c>
      <c r="D797" s="4">
        <v>39867.809027777781</v>
      </c>
      <c r="E797" s="1" t="s">
        <v>14</v>
      </c>
      <c r="F797" s="1"/>
      <c r="G797" s="1"/>
      <c r="H797" s="1"/>
      <c r="I797" s="1"/>
      <c r="J797" s="1"/>
      <c r="K797" s="1"/>
      <c r="L797" s="1"/>
      <c r="M797" s="1"/>
      <c r="N797" s="1"/>
      <c r="O797" s="1"/>
      <c r="P797" s="1"/>
      <c r="Q797" s="1"/>
      <c r="R797" s="1"/>
      <c r="S797" s="1"/>
    </row>
    <row r="798" spans="1:19" ht="33.75" customHeight="1">
      <c r="A798" s="1" t="s">
        <v>2385</v>
      </c>
      <c r="B798" s="1" t="s">
        <v>2335</v>
      </c>
      <c r="C798" s="1">
        <v>15</v>
      </c>
      <c r="D798" s="4">
        <v>39867.836805555555</v>
      </c>
      <c r="E798" s="1" t="s">
        <v>320</v>
      </c>
      <c r="F798" s="1"/>
      <c r="G798" s="1"/>
      <c r="H798" s="1"/>
      <c r="I798" s="1"/>
      <c r="J798" s="1"/>
      <c r="K798" s="1"/>
      <c r="L798" s="1"/>
      <c r="M798" s="1"/>
      <c r="N798" s="1"/>
      <c r="O798" s="1"/>
      <c r="P798" s="1"/>
      <c r="Q798" s="1"/>
      <c r="R798" s="1"/>
      <c r="S798" s="1"/>
    </row>
    <row r="799" spans="1:19" ht="33.75" customHeight="1">
      <c r="A799" s="1" t="s">
        <v>2387</v>
      </c>
      <c r="B799" s="1" t="s">
        <v>2335</v>
      </c>
      <c r="C799" s="1">
        <v>15</v>
      </c>
      <c r="D799" s="4">
        <v>39867.847222222219</v>
      </c>
      <c r="E799" s="1" t="s">
        <v>320</v>
      </c>
      <c r="F799" s="1"/>
      <c r="G799" s="1"/>
      <c r="H799" s="1"/>
      <c r="I799" s="1"/>
      <c r="J799" s="1"/>
      <c r="K799" s="1"/>
      <c r="L799" s="1"/>
      <c r="M799" s="1"/>
      <c r="N799" s="1"/>
      <c r="O799" s="1"/>
      <c r="P799" s="1"/>
      <c r="Q799" s="1"/>
      <c r="R799" s="1"/>
      <c r="S799" s="1"/>
    </row>
    <row r="800" spans="1:19" ht="33.75" customHeight="1">
      <c r="A800" s="1" t="s">
        <v>2390</v>
      </c>
      <c r="B800" s="1" t="s">
        <v>2335</v>
      </c>
      <c r="C800" s="1">
        <v>15</v>
      </c>
      <c r="D800" s="4">
        <v>39867.850694444445</v>
      </c>
      <c r="E800" s="1" t="s">
        <v>320</v>
      </c>
      <c r="F800" s="1"/>
      <c r="G800" s="1"/>
      <c r="H800" s="1"/>
      <c r="I800" s="1"/>
      <c r="J800" s="1"/>
      <c r="K800" s="1"/>
      <c r="L800" s="1"/>
      <c r="M800" s="1"/>
      <c r="N800" s="1"/>
      <c r="O800" s="1"/>
      <c r="P800" s="1"/>
      <c r="Q800" s="1"/>
      <c r="R800" s="1"/>
      <c r="S800" s="1"/>
    </row>
    <row r="801" spans="1:19" ht="33.75" customHeight="1">
      <c r="A801" s="1" t="s">
        <v>2394</v>
      </c>
      <c r="B801" s="1" t="s">
        <v>2335</v>
      </c>
      <c r="C801" s="1">
        <v>15</v>
      </c>
      <c r="D801" s="4">
        <v>39867.870833333334</v>
      </c>
      <c r="E801" s="1" t="s">
        <v>255</v>
      </c>
      <c r="F801" s="1"/>
      <c r="G801" s="1"/>
      <c r="H801" s="1"/>
      <c r="I801" s="1"/>
      <c r="J801" s="1"/>
      <c r="K801" s="1"/>
      <c r="L801" s="1"/>
      <c r="M801" s="1"/>
      <c r="N801" s="1"/>
      <c r="O801" s="1"/>
      <c r="P801" s="1"/>
      <c r="Q801" s="1"/>
      <c r="R801" s="1"/>
      <c r="S801" s="1"/>
    </row>
    <row r="802" spans="1:19" ht="33.75" customHeight="1">
      <c r="A802" s="1" t="s">
        <v>2397</v>
      </c>
      <c r="B802" s="1" t="s">
        <v>2335</v>
      </c>
      <c r="C802" s="1">
        <v>15</v>
      </c>
      <c r="D802" s="4">
        <v>39867.921527777777</v>
      </c>
      <c r="E802" s="1" t="s">
        <v>54</v>
      </c>
      <c r="F802" s="1"/>
      <c r="G802" s="1"/>
      <c r="H802" s="1"/>
      <c r="I802" s="1"/>
      <c r="J802" s="1"/>
      <c r="K802" s="1"/>
      <c r="L802" s="1"/>
      <c r="M802" s="1"/>
      <c r="N802" s="1"/>
      <c r="O802" s="1"/>
      <c r="P802" s="1"/>
      <c r="Q802" s="1"/>
      <c r="R802" s="1"/>
      <c r="S802" s="1"/>
    </row>
    <row r="803" spans="1:19" ht="33.75" customHeight="1">
      <c r="A803" s="1" t="s">
        <v>2400</v>
      </c>
      <c r="B803" s="1" t="s">
        <v>2335</v>
      </c>
      <c r="C803" s="1">
        <v>15</v>
      </c>
      <c r="D803" s="4">
        <v>39867.94027777778</v>
      </c>
      <c r="E803" s="1" t="s">
        <v>14</v>
      </c>
      <c r="F803" s="1"/>
      <c r="G803" s="1"/>
      <c r="H803" s="1"/>
      <c r="I803" s="1"/>
      <c r="J803" s="1"/>
      <c r="K803" s="1"/>
      <c r="L803" s="1"/>
      <c r="M803" s="1"/>
      <c r="N803" s="1"/>
      <c r="O803" s="1"/>
      <c r="P803" s="1"/>
      <c r="Q803" s="1"/>
      <c r="R803" s="1"/>
      <c r="S803" s="1"/>
    </row>
    <row r="804" spans="1:19" ht="33.75" customHeight="1">
      <c r="A804" s="1" t="s">
        <v>2403</v>
      </c>
      <c r="B804" s="1" t="s">
        <v>2335</v>
      </c>
      <c r="C804" s="1">
        <v>15</v>
      </c>
      <c r="D804" s="4">
        <v>39867.96875</v>
      </c>
      <c r="E804" s="1" t="s">
        <v>54</v>
      </c>
      <c r="F804" s="1"/>
      <c r="G804" s="1"/>
      <c r="H804" s="1"/>
      <c r="I804" s="1"/>
      <c r="J804" s="1"/>
      <c r="K804" s="1"/>
      <c r="L804" s="1"/>
      <c r="M804" s="1"/>
      <c r="N804" s="1"/>
      <c r="O804" s="1"/>
      <c r="P804" s="1"/>
      <c r="Q804" s="1"/>
      <c r="R804" s="1"/>
      <c r="S804" s="1"/>
    </row>
    <row r="805" spans="1:19" ht="33.75" customHeight="1">
      <c r="A805" s="1" t="s">
        <v>2408</v>
      </c>
      <c r="B805" s="1" t="s">
        <v>2335</v>
      </c>
      <c r="C805" s="1">
        <v>15</v>
      </c>
      <c r="D805" s="4">
        <v>39867.973611111112</v>
      </c>
      <c r="E805" s="1" t="s">
        <v>54</v>
      </c>
      <c r="F805" s="1"/>
      <c r="G805" s="1"/>
      <c r="H805" s="1"/>
      <c r="I805" s="1"/>
      <c r="J805" s="1"/>
      <c r="K805" s="1"/>
      <c r="L805" s="1"/>
      <c r="M805" s="1"/>
      <c r="N805" s="1"/>
      <c r="O805" s="1"/>
      <c r="P805" s="1"/>
      <c r="Q805" s="1"/>
      <c r="R805" s="1"/>
      <c r="S805" s="1"/>
    </row>
    <row r="806" spans="1:19" ht="33.75" customHeight="1">
      <c r="A806" s="1" t="s">
        <v>2412</v>
      </c>
      <c r="B806" s="1" t="s">
        <v>2335</v>
      </c>
      <c r="C806" s="1">
        <v>15</v>
      </c>
      <c r="D806" s="4">
        <v>39867.974999999999</v>
      </c>
      <c r="E806" s="1" t="s">
        <v>54</v>
      </c>
      <c r="F806" s="1"/>
      <c r="G806" s="1"/>
      <c r="H806" s="1"/>
      <c r="I806" s="1"/>
      <c r="J806" s="1"/>
      <c r="K806" s="1"/>
      <c r="L806" s="1"/>
      <c r="M806" s="1"/>
      <c r="N806" s="1"/>
      <c r="O806" s="1"/>
      <c r="P806" s="1"/>
      <c r="Q806" s="1"/>
      <c r="R806" s="1"/>
      <c r="S806" s="1"/>
    </row>
    <row r="807" spans="1:19" ht="33.75" customHeight="1">
      <c r="A807" s="1" t="s">
        <v>2415</v>
      </c>
      <c r="B807" s="1" t="s">
        <v>2335</v>
      </c>
      <c r="C807" s="1">
        <v>15</v>
      </c>
      <c r="D807" s="4">
        <v>39867.980555555558</v>
      </c>
      <c r="E807" s="1" t="s">
        <v>320</v>
      </c>
      <c r="F807" s="1"/>
      <c r="G807" s="1"/>
      <c r="H807" s="1"/>
      <c r="I807" s="1"/>
      <c r="J807" s="1"/>
      <c r="K807" s="1"/>
      <c r="L807" s="1"/>
      <c r="M807" s="1"/>
      <c r="N807" s="1"/>
      <c r="O807" s="1"/>
      <c r="P807" s="1"/>
      <c r="Q807" s="1"/>
      <c r="R807" s="1"/>
      <c r="S807" s="1"/>
    </row>
    <row r="808" spans="1:19" ht="33.75" customHeight="1">
      <c r="A808" s="1" t="s">
        <v>2417</v>
      </c>
      <c r="B808" s="1" t="s">
        <v>2335</v>
      </c>
      <c r="C808" s="1">
        <v>15</v>
      </c>
      <c r="D808" s="4">
        <v>39867.988194444442</v>
      </c>
      <c r="E808" s="1" t="s">
        <v>320</v>
      </c>
      <c r="F808" s="1"/>
      <c r="G808" s="1"/>
      <c r="H808" s="1"/>
      <c r="I808" s="1"/>
      <c r="J808" s="1"/>
      <c r="K808" s="1"/>
      <c r="L808" s="1"/>
      <c r="M808" s="1"/>
      <c r="N808" s="1"/>
      <c r="O808" s="1"/>
      <c r="P808" s="1"/>
      <c r="Q808" s="1"/>
      <c r="R808" s="1"/>
      <c r="S808" s="1"/>
    </row>
    <row r="809" spans="1:19" ht="33.75" customHeight="1">
      <c r="A809" s="1" t="s">
        <v>2420</v>
      </c>
      <c r="B809" s="1" t="s">
        <v>2335</v>
      </c>
      <c r="C809" s="1">
        <v>15</v>
      </c>
      <c r="D809" s="4">
        <v>39868.000694444447</v>
      </c>
      <c r="E809" s="1" t="s">
        <v>320</v>
      </c>
      <c r="F809" s="1"/>
      <c r="G809" s="1"/>
      <c r="H809" s="1"/>
      <c r="I809" s="1"/>
      <c r="J809" s="1"/>
      <c r="K809" s="1"/>
      <c r="L809" s="1"/>
      <c r="M809" s="1"/>
      <c r="N809" s="1"/>
      <c r="O809" s="1"/>
      <c r="P809" s="1"/>
      <c r="Q809" s="1"/>
      <c r="R809" s="1"/>
      <c r="S809" s="1"/>
    </row>
    <row r="810" spans="1:19" ht="33.75" customHeight="1">
      <c r="A810" s="1" t="s">
        <v>2422</v>
      </c>
      <c r="B810" s="1" t="s">
        <v>2335</v>
      </c>
      <c r="C810" s="1">
        <v>15</v>
      </c>
      <c r="D810" s="4">
        <v>39868.003472222219</v>
      </c>
      <c r="E810" s="1" t="s">
        <v>14</v>
      </c>
      <c r="F810" s="1"/>
      <c r="G810" s="1"/>
      <c r="H810" s="1"/>
      <c r="I810" s="1"/>
      <c r="J810" s="1"/>
      <c r="K810" s="1"/>
      <c r="L810" s="1"/>
      <c r="M810" s="1"/>
      <c r="N810" s="1"/>
      <c r="O810" s="1"/>
      <c r="P810" s="1"/>
      <c r="Q810" s="1"/>
      <c r="R810" s="1"/>
      <c r="S810" s="1"/>
    </row>
    <row r="811" spans="1:19" ht="33.75" customHeight="1">
      <c r="A811" s="1" t="s">
        <v>2425</v>
      </c>
      <c r="B811" s="1" t="s">
        <v>2335</v>
      </c>
      <c r="C811" s="1">
        <v>15</v>
      </c>
      <c r="D811" s="4">
        <v>39868.005555555559</v>
      </c>
      <c r="E811" s="1" t="s">
        <v>320</v>
      </c>
      <c r="F811" s="1"/>
      <c r="G811" s="1"/>
      <c r="H811" s="1"/>
      <c r="I811" s="1"/>
      <c r="J811" s="1"/>
      <c r="K811" s="1"/>
      <c r="L811" s="1"/>
      <c r="M811" s="1"/>
      <c r="N811" s="1"/>
      <c r="O811" s="1"/>
      <c r="P811" s="1"/>
      <c r="Q811" s="1"/>
      <c r="R811" s="1"/>
      <c r="S811" s="1"/>
    </row>
    <row r="812" spans="1:19" ht="33.75" customHeight="1">
      <c r="A812" s="1" t="s">
        <v>2429</v>
      </c>
      <c r="B812" s="1" t="s">
        <v>2335</v>
      </c>
      <c r="C812" s="1">
        <v>15</v>
      </c>
      <c r="D812" s="4">
        <v>39868.040972222225</v>
      </c>
      <c r="E812" s="1" t="s">
        <v>255</v>
      </c>
      <c r="F812" s="1"/>
      <c r="G812" s="1"/>
      <c r="H812" s="1"/>
      <c r="I812" s="1"/>
      <c r="J812" s="1"/>
      <c r="K812" s="1"/>
      <c r="L812" s="1"/>
      <c r="M812" s="1"/>
      <c r="N812" s="1"/>
      <c r="O812" s="1"/>
      <c r="P812" s="1"/>
      <c r="Q812" s="1"/>
      <c r="R812" s="1"/>
      <c r="S812" s="1"/>
    </row>
    <row r="813" spans="1:19" ht="33.75" customHeight="1">
      <c r="A813" s="1" t="s">
        <v>2431</v>
      </c>
      <c r="B813" s="1" t="s">
        <v>2335</v>
      </c>
      <c r="C813" s="1">
        <v>15</v>
      </c>
      <c r="D813" s="4">
        <v>39868.050694444442</v>
      </c>
      <c r="E813" s="1" t="s">
        <v>255</v>
      </c>
      <c r="F813" s="1"/>
      <c r="G813" s="1"/>
      <c r="H813" s="1"/>
      <c r="I813" s="1"/>
      <c r="J813" s="1"/>
      <c r="K813" s="1"/>
      <c r="L813" s="1"/>
      <c r="M813" s="1"/>
      <c r="N813" s="1"/>
      <c r="O813" s="1"/>
      <c r="P813" s="1"/>
      <c r="Q813" s="1"/>
      <c r="R813" s="1"/>
      <c r="S813" s="1"/>
    </row>
    <row r="814" spans="1:19" ht="33.75" customHeight="1">
      <c r="A814" s="1" t="s">
        <v>2434</v>
      </c>
      <c r="B814" s="1" t="s">
        <v>2335</v>
      </c>
      <c r="C814" s="1">
        <v>15</v>
      </c>
      <c r="D814" s="4">
        <v>39868.075694444444</v>
      </c>
      <c r="E814" s="1" t="s">
        <v>54</v>
      </c>
      <c r="F814" s="1"/>
      <c r="G814" s="1"/>
      <c r="H814" s="1"/>
      <c r="I814" s="1"/>
      <c r="J814" s="1"/>
      <c r="K814" s="1"/>
      <c r="L814" s="1"/>
      <c r="M814" s="1"/>
      <c r="N814" s="1"/>
      <c r="O814" s="1"/>
      <c r="P814" s="1"/>
      <c r="Q814" s="1"/>
      <c r="R814" s="1"/>
      <c r="S814" s="1"/>
    </row>
    <row r="815" spans="1:19" ht="33.75" customHeight="1">
      <c r="A815" s="1" t="s">
        <v>2436</v>
      </c>
      <c r="B815" s="1" t="s">
        <v>2280</v>
      </c>
      <c r="C815" s="1">
        <v>14</v>
      </c>
      <c r="D815" s="4">
        <v>39868.188194444447</v>
      </c>
      <c r="E815" s="1" t="s">
        <v>2437</v>
      </c>
      <c r="F815" s="1"/>
      <c r="G815" s="1"/>
      <c r="H815" s="1"/>
      <c r="I815" s="1"/>
      <c r="J815" s="1"/>
      <c r="K815" s="1"/>
      <c r="L815" s="1"/>
      <c r="M815" s="1"/>
      <c r="N815" s="1"/>
      <c r="O815" s="1"/>
      <c r="P815" s="1"/>
      <c r="Q815" s="1"/>
      <c r="R815" s="1"/>
      <c r="S815" s="1"/>
    </row>
    <row r="816" spans="1:19" ht="33.75" customHeight="1">
      <c r="A816" s="1" t="s">
        <v>2440</v>
      </c>
      <c r="B816" s="1" t="s">
        <v>2335</v>
      </c>
      <c r="C816" s="1">
        <v>15</v>
      </c>
      <c r="D816" s="4">
        <v>39869.712500000001</v>
      </c>
      <c r="E816" s="1" t="s">
        <v>1528</v>
      </c>
      <c r="F816" s="1"/>
      <c r="G816" s="1"/>
      <c r="H816" s="1"/>
      <c r="I816" s="1"/>
      <c r="J816" s="1"/>
      <c r="K816" s="1"/>
      <c r="L816" s="1"/>
      <c r="M816" s="1"/>
      <c r="N816" s="1"/>
      <c r="O816" s="1"/>
      <c r="P816" s="1"/>
      <c r="Q816" s="1"/>
      <c r="R816" s="1"/>
      <c r="S816" s="1"/>
    </row>
    <row r="817" spans="1:19" ht="33.75" customHeight="1">
      <c r="A817" s="1" t="s">
        <v>2444</v>
      </c>
      <c r="B817" s="1" t="s">
        <v>2335</v>
      </c>
      <c r="C817" s="1">
        <v>15</v>
      </c>
      <c r="D817" s="4">
        <v>39868.237500000003</v>
      </c>
      <c r="E817" s="1" t="s">
        <v>320</v>
      </c>
      <c r="F817" s="1"/>
      <c r="G817" s="1"/>
      <c r="H817" s="1"/>
      <c r="I817" s="1"/>
      <c r="J817" s="1"/>
      <c r="K817" s="1"/>
      <c r="L817" s="1"/>
      <c r="M817" s="1"/>
      <c r="N817" s="1"/>
      <c r="O817" s="1"/>
      <c r="P817" s="1"/>
      <c r="Q817" s="1"/>
      <c r="R817" s="1"/>
      <c r="S817" s="1"/>
    </row>
    <row r="818" spans="1:19" ht="33.75" customHeight="1">
      <c r="A818" s="1" t="s">
        <v>2446</v>
      </c>
      <c r="B818" s="1" t="s">
        <v>2335</v>
      </c>
      <c r="C818" s="1">
        <v>15</v>
      </c>
      <c r="D818" s="4">
        <v>39868.254861111112</v>
      </c>
      <c r="E818" s="1" t="s">
        <v>54</v>
      </c>
      <c r="F818" s="1"/>
      <c r="G818" s="1"/>
      <c r="H818" s="1"/>
      <c r="I818" s="1"/>
      <c r="J818" s="1"/>
      <c r="K818" s="1"/>
      <c r="L818" s="1"/>
      <c r="M818" s="1"/>
      <c r="N818" s="1"/>
      <c r="O818" s="1"/>
      <c r="P818" s="1"/>
      <c r="Q818" s="1"/>
      <c r="R818" s="1"/>
      <c r="S818" s="1"/>
    </row>
    <row r="819" spans="1:19" ht="33.75" customHeight="1">
      <c r="A819" s="1" t="s">
        <v>2448</v>
      </c>
      <c r="B819" s="1" t="s">
        <v>2335</v>
      </c>
      <c r="C819" s="1">
        <v>15</v>
      </c>
      <c r="D819" s="4">
        <v>39868.268750000003</v>
      </c>
      <c r="E819" s="1" t="s">
        <v>54</v>
      </c>
      <c r="F819" s="1"/>
      <c r="G819" s="1"/>
      <c r="H819" s="1"/>
      <c r="I819" s="1"/>
      <c r="J819" s="1"/>
      <c r="K819" s="1"/>
      <c r="L819" s="1"/>
      <c r="M819" s="1"/>
      <c r="N819" s="1"/>
      <c r="O819" s="1"/>
      <c r="P819" s="1"/>
      <c r="Q819" s="1"/>
      <c r="R819" s="1"/>
      <c r="S819" s="1"/>
    </row>
    <row r="820" spans="1:19" ht="33.75" customHeight="1">
      <c r="A820" s="1" t="s">
        <v>2451</v>
      </c>
      <c r="B820" s="1" t="s">
        <v>2335</v>
      </c>
      <c r="C820" s="1">
        <v>15</v>
      </c>
      <c r="D820" s="4">
        <v>39868.286805555559</v>
      </c>
      <c r="E820" s="1" t="s">
        <v>2452</v>
      </c>
      <c r="F820" s="1"/>
      <c r="G820" s="1"/>
      <c r="H820" s="1"/>
      <c r="I820" s="1"/>
      <c r="J820" s="1"/>
      <c r="K820" s="1"/>
      <c r="L820" s="1"/>
      <c r="M820" s="1"/>
      <c r="N820" s="1"/>
      <c r="O820" s="1"/>
      <c r="P820" s="1"/>
      <c r="Q820" s="1"/>
      <c r="R820" s="1"/>
      <c r="S820" s="1"/>
    </row>
    <row r="821" spans="1:19" ht="33.75" customHeight="1">
      <c r="A821" s="1" t="s">
        <v>2455</v>
      </c>
      <c r="B821" s="1" t="s">
        <v>2335</v>
      </c>
      <c r="C821" s="1">
        <v>15</v>
      </c>
      <c r="D821" s="4">
        <v>39868.494444444441</v>
      </c>
      <c r="E821" s="1" t="s">
        <v>14</v>
      </c>
      <c r="F821" s="1"/>
      <c r="G821" s="1"/>
      <c r="H821" s="1"/>
      <c r="I821" s="1"/>
      <c r="J821" s="1"/>
      <c r="K821" s="1"/>
      <c r="L821" s="1"/>
      <c r="M821" s="1"/>
      <c r="N821" s="1"/>
      <c r="O821" s="1"/>
      <c r="P821" s="1"/>
      <c r="Q821" s="1"/>
      <c r="R821" s="1"/>
      <c r="S821" s="1"/>
    </row>
    <row r="822" spans="1:19" ht="33.75" customHeight="1">
      <c r="A822" s="1" t="s">
        <v>2457</v>
      </c>
      <c r="B822" s="1" t="s">
        <v>2335</v>
      </c>
      <c r="C822" s="1">
        <v>15</v>
      </c>
      <c r="D822" s="4">
        <v>39868.563888888886</v>
      </c>
      <c r="E822" s="1" t="s">
        <v>14</v>
      </c>
      <c r="F822" s="1"/>
      <c r="G822" s="1"/>
      <c r="H822" s="1"/>
      <c r="I822" s="1"/>
      <c r="J822" s="1"/>
      <c r="K822" s="1"/>
      <c r="L822" s="1"/>
      <c r="M822" s="1"/>
      <c r="N822" s="1"/>
      <c r="O822" s="1"/>
      <c r="P822" s="1"/>
      <c r="Q822" s="1"/>
      <c r="R822" s="1"/>
      <c r="S822" s="1"/>
    </row>
    <row r="823" spans="1:19" ht="33.75" customHeight="1">
      <c r="A823" s="1" t="s">
        <v>2461</v>
      </c>
      <c r="B823" s="1" t="s">
        <v>2335</v>
      </c>
      <c r="C823" s="1">
        <v>15</v>
      </c>
      <c r="D823" s="4">
        <v>39868.576388888891</v>
      </c>
      <c r="E823" s="1" t="s">
        <v>474</v>
      </c>
      <c r="F823" s="1"/>
      <c r="G823" s="1"/>
      <c r="H823" s="1"/>
      <c r="I823" s="1"/>
      <c r="J823" s="1"/>
      <c r="K823" s="1"/>
      <c r="L823" s="1"/>
      <c r="M823" s="1"/>
      <c r="N823" s="1"/>
      <c r="O823" s="1"/>
      <c r="P823" s="1"/>
      <c r="Q823" s="1"/>
      <c r="R823" s="1"/>
      <c r="S823" s="1"/>
    </row>
    <row r="824" spans="1:19" ht="33.75" customHeight="1">
      <c r="A824" s="1" t="s">
        <v>2464</v>
      </c>
      <c r="B824" s="1" t="s">
        <v>2335</v>
      </c>
      <c r="C824" s="1">
        <v>15</v>
      </c>
      <c r="D824" s="4">
        <v>39868.67083333333</v>
      </c>
      <c r="E824" s="1" t="s">
        <v>2452</v>
      </c>
      <c r="F824" s="1"/>
      <c r="G824" s="1"/>
      <c r="H824" s="1"/>
      <c r="I824" s="1"/>
      <c r="J824" s="1"/>
      <c r="K824" s="1"/>
      <c r="L824" s="1"/>
      <c r="M824" s="1"/>
      <c r="N824" s="1"/>
      <c r="O824" s="1"/>
      <c r="P824" s="1"/>
      <c r="Q824" s="1"/>
      <c r="R824" s="1"/>
      <c r="S824" s="1"/>
    </row>
    <row r="825" spans="1:19" ht="33.75" customHeight="1">
      <c r="A825" s="1" t="s">
        <v>2466</v>
      </c>
      <c r="B825" s="1" t="s">
        <v>2335</v>
      </c>
      <c r="C825" s="1">
        <v>15</v>
      </c>
      <c r="D825" s="4">
        <v>39868.674305555556</v>
      </c>
      <c r="E825" s="1" t="s">
        <v>2452</v>
      </c>
      <c r="F825" s="1"/>
      <c r="G825" s="1"/>
      <c r="H825" s="1"/>
      <c r="I825" s="1"/>
      <c r="J825" s="1"/>
      <c r="K825" s="1"/>
      <c r="L825" s="1"/>
      <c r="M825" s="1"/>
      <c r="N825" s="1"/>
      <c r="O825" s="1"/>
      <c r="P825" s="1"/>
      <c r="Q825" s="1"/>
      <c r="R825" s="1"/>
      <c r="S825" s="1"/>
    </row>
    <row r="826" spans="1:19" ht="33.75" customHeight="1">
      <c r="A826" s="1" t="s">
        <v>2469</v>
      </c>
      <c r="B826" s="1" t="s">
        <v>2335</v>
      </c>
      <c r="C826" s="1">
        <v>15</v>
      </c>
      <c r="D826" s="4">
        <v>39868.685416666667</v>
      </c>
      <c r="E826" s="1" t="s">
        <v>2452</v>
      </c>
      <c r="F826" s="1"/>
      <c r="G826" s="1"/>
      <c r="H826" s="1"/>
      <c r="I826" s="1"/>
      <c r="J826" s="1"/>
      <c r="K826" s="1"/>
      <c r="L826" s="1"/>
      <c r="M826" s="1"/>
      <c r="N826" s="1"/>
      <c r="O826" s="1"/>
      <c r="P826" s="1"/>
      <c r="Q826" s="1"/>
      <c r="R826" s="1"/>
      <c r="S826" s="1"/>
    </row>
    <row r="827" spans="1:19" ht="33.75" customHeight="1">
      <c r="A827" s="1" t="s">
        <v>2472</v>
      </c>
      <c r="B827" s="1" t="s">
        <v>2335</v>
      </c>
      <c r="C827" s="1">
        <v>15</v>
      </c>
      <c r="D827" s="4">
        <v>39868.689583333333</v>
      </c>
      <c r="E827" s="1" t="s">
        <v>2452</v>
      </c>
      <c r="F827" s="1"/>
      <c r="G827" s="1"/>
      <c r="H827" s="1"/>
      <c r="I827" s="1"/>
      <c r="J827" s="1"/>
      <c r="K827" s="1"/>
      <c r="L827" s="1"/>
      <c r="M827" s="1"/>
      <c r="N827" s="1"/>
      <c r="O827" s="1"/>
      <c r="P827" s="1"/>
      <c r="Q827" s="1"/>
      <c r="R827" s="1"/>
      <c r="S827" s="1"/>
    </row>
    <row r="828" spans="1:19" ht="33.75" customHeight="1">
      <c r="A828" s="1" t="s">
        <v>2474</v>
      </c>
      <c r="B828" s="1" t="s">
        <v>2335</v>
      </c>
      <c r="C828" s="1">
        <v>15</v>
      </c>
      <c r="D828" s="4">
        <v>39868.715277777781</v>
      </c>
      <c r="E828" s="1" t="s">
        <v>2452</v>
      </c>
      <c r="F828" s="1"/>
      <c r="G828" s="1"/>
      <c r="H828" s="1"/>
      <c r="I828" s="1"/>
      <c r="J828" s="1"/>
      <c r="K828" s="1"/>
      <c r="L828" s="1"/>
      <c r="M828" s="1"/>
      <c r="N828" s="1"/>
      <c r="O828" s="1"/>
      <c r="P828" s="1"/>
      <c r="Q828" s="1"/>
      <c r="R828" s="1"/>
      <c r="S828" s="1"/>
    </row>
    <row r="829" spans="1:19" ht="33.75" customHeight="1">
      <c r="A829" s="1" t="s">
        <v>2477</v>
      </c>
      <c r="B829" s="1" t="s">
        <v>2335</v>
      </c>
      <c r="C829" s="1">
        <v>15</v>
      </c>
      <c r="D829" s="4">
        <v>39868.74722222222</v>
      </c>
      <c r="E829" s="1" t="s">
        <v>2452</v>
      </c>
      <c r="F829" s="1"/>
      <c r="G829" s="1"/>
      <c r="H829" s="1"/>
      <c r="I829" s="1"/>
      <c r="J829" s="1"/>
      <c r="K829" s="1"/>
      <c r="L829" s="1"/>
      <c r="M829" s="1"/>
      <c r="N829" s="1"/>
      <c r="O829" s="1"/>
      <c r="P829" s="1"/>
      <c r="Q829" s="1"/>
      <c r="R829" s="1"/>
      <c r="S829" s="1"/>
    </row>
    <row r="830" spans="1:19" ht="33.75" customHeight="1">
      <c r="A830" s="1" t="s">
        <v>2481</v>
      </c>
      <c r="B830" s="1" t="s">
        <v>2335</v>
      </c>
      <c r="C830" s="1">
        <v>15</v>
      </c>
      <c r="D830" s="4">
        <v>39868.782638888886</v>
      </c>
      <c r="E830" s="1" t="s">
        <v>14</v>
      </c>
      <c r="F830" s="1"/>
      <c r="G830" s="1"/>
      <c r="H830" s="1"/>
      <c r="I830" s="1"/>
      <c r="J830" s="1"/>
      <c r="K830" s="1"/>
      <c r="L830" s="1"/>
      <c r="M830" s="1"/>
      <c r="N830" s="1"/>
      <c r="O830" s="1"/>
      <c r="P830" s="1"/>
      <c r="Q830" s="1"/>
      <c r="R830" s="1"/>
      <c r="S830" s="1"/>
    </row>
    <row r="831" spans="1:19" ht="33.75" customHeight="1">
      <c r="A831" s="1" t="s">
        <v>2485</v>
      </c>
      <c r="B831" s="1" t="s">
        <v>2335</v>
      </c>
      <c r="C831" s="1">
        <v>15</v>
      </c>
      <c r="D831" s="4">
        <v>39868.840277777781</v>
      </c>
      <c r="E831" s="1" t="s">
        <v>54</v>
      </c>
      <c r="F831" s="1"/>
      <c r="G831" s="1"/>
      <c r="H831" s="1"/>
      <c r="I831" s="1"/>
      <c r="J831" s="1"/>
      <c r="K831" s="1"/>
      <c r="L831" s="1"/>
      <c r="M831" s="1"/>
      <c r="N831" s="1"/>
      <c r="O831" s="1"/>
      <c r="P831" s="1"/>
      <c r="Q831" s="1"/>
      <c r="R831" s="1"/>
      <c r="S831" s="1"/>
    </row>
    <row r="832" spans="1:19" ht="33.75" customHeight="1">
      <c r="A832" s="1" t="s">
        <v>2487</v>
      </c>
      <c r="B832" s="1" t="s">
        <v>2335</v>
      </c>
      <c r="C832" s="1">
        <v>15</v>
      </c>
      <c r="D832" s="4">
        <v>39868.852083333331</v>
      </c>
      <c r="E832" s="1" t="s">
        <v>2452</v>
      </c>
      <c r="F832" s="1"/>
      <c r="G832" s="1"/>
      <c r="H832" s="1"/>
      <c r="I832" s="1"/>
      <c r="J832" s="1"/>
      <c r="K832" s="1"/>
      <c r="L832" s="1"/>
      <c r="M832" s="1"/>
      <c r="N832" s="1"/>
      <c r="O832" s="1"/>
      <c r="P832" s="1"/>
      <c r="Q832" s="1"/>
      <c r="R832" s="1"/>
      <c r="S832" s="1"/>
    </row>
    <row r="833" spans="1:19" ht="33.75" customHeight="1">
      <c r="A833" s="1" t="s">
        <v>2441</v>
      </c>
      <c r="B833" s="1" t="s">
        <v>2335</v>
      </c>
      <c r="C833" s="1">
        <v>15</v>
      </c>
      <c r="D833" s="4">
        <v>39869.107638888891</v>
      </c>
      <c r="E833" s="1" t="s">
        <v>54</v>
      </c>
      <c r="F833" s="1"/>
      <c r="G833" s="1"/>
      <c r="H833" s="1"/>
      <c r="I833" s="1"/>
      <c r="J833" s="1"/>
      <c r="K833" s="1"/>
      <c r="L833" s="1"/>
      <c r="M833" s="1"/>
      <c r="N833" s="1"/>
      <c r="O833" s="1"/>
      <c r="P833" s="1"/>
      <c r="Q833" s="1"/>
      <c r="R833" s="1"/>
      <c r="S833" s="1"/>
    </row>
    <row r="834" spans="1:19" ht="33.75" customHeight="1">
      <c r="A834" s="1" t="s">
        <v>2491</v>
      </c>
      <c r="B834" s="1" t="s">
        <v>2335</v>
      </c>
      <c r="C834" s="1">
        <v>15</v>
      </c>
      <c r="D834" s="4">
        <v>39869.203472222223</v>
      </c>
      <c r="E834" s="1" t="s">
        <v>2452</v>
      </c>
      <c r="F834" s="1"/>
      <c r="G834" s="1"/>
      <c r="H834" s="1"/>
      <c r="I834" s="1"/>
      <c r="J834" s="1"/>
      <c r="K834" s="1"/>
      <c r="L834" s="1"/>
      <c r="M834" s="1"/>
      <c r="N834" s="1"/>
      <c r="O834" s="1"/>
      <c r="P834" s="1"/>
      <c r="Q834" s="1"/>
      <c r="R834" s="1"/>
      <c r="S834" s="1"/>
    </row>
    <row r="835" spans="1:19" ht="33.75" customHeight="1">
      <c r="A835" s="1" t="s">
        <v>2495</v>
      </c>
      <c r="B835" s="1" t="s">
        <v>1814</v>
      </c>
      <c r="C835" s="1">
        <v>13</v>
      </c>
      <c r="D835" s="4">
        <v>39869.407638888886</v>
      </c>
      <c r="E835" s="1" t="s">
        <v>54</v>
      </c>
      <c r="F835" s="1"/>
      <c r="G835" s="1"/>
      <c r="H835" s="1"/>
      <c r="I835" s="1"/>
      <c r="J835" s="1"/>
      <c r="K835" s="1"/>
      <c r="L835" s="1"/>
      <c r="M835" s="1"/>
      <c r="N835" s="1"/>
      <c r="O835" s="1"/>
      <c r="P835" s="1"/>
      <c r="Q835" s="1"/>
      <c r="R835" s="1"/>
      <c r="S835" s="1"/>
    </row>
    <row r="836" spans="1:19" ht="33.75" customHeight="1">
      <c r="A836" s="1" t="s">
        <v>2497</v>
      </c>
      <c r="B836" s="1" t="s">
        <v>1814</v>
      </c>
      <c r="C836" s="1">
        <v>13</v>
      </c>
      <c r="D836" s="4">
        <v>39869.409722222219</v>
      </c>
      <c r="E836" s="1" t="s">
        <v>84</v>
      </c>
      <c r="F836" s="1"/>
      <c r="G836" s="1"/>
      <c r="H836" s="1"/>
      <c r="I836" s="1"/>
      <c r="J836" s="1"/>
      <c r="K836" s="1"/>
      <c r="L836" s="1"/>
      <c r="M836" s="1"/>
      <c r="N836" s="1"/>
      <c r="O836" s="1"/>
      <c r="P836" s="1"/>
      <c r="Q836" s="1"/>
      <c r="R836" s="1"/>
      <c r="S836" s="1"/>
    </row>
    <row r="837" spans="1:19" ht="33.75" customHeight="1">
      <c r="A837" s="1" t="s">
        <v>2500</v>
      </c>
      <c r="B837" s="1" t="s">
        <v>1519</v>
      </c>
      <c r="C837" s="1">
        <v>11</v>
      </c>
      <c r="D837" s="4">
        <v>39869.484027777777</v>
      </c>
      <c r="E837" s="1" t="s">
        <v>54</v>
      </c>
      <c r="F837" s="1"/>
      <c r="G837" s="1"/>
      <c r="H837" s="1"/>
      <c r="I837" s="1"/>
      <c r="J837" s="1"/>
      <c r="K837" s="1"/>
      <c r="L837" s="1"/>
      <c r="M837" s="1"/>
      <c r="N837" s="1"/>
      <c r="O837" s="1"/>
      <c r="P837" s="1"/>
      <c r="Q837" s="1"/>
      <c r="R837" s="1"/>
      <c r="S837" s="1"/>
    </row>
    <row r="838" spans="1:19" ht="33.75" customHeight="1">
      <c r="A838" s="1" t="s">
        <v>2503</v>
      </c>
      <c r="B838" s="1" t="s">
        <v>1814</v>
      </c>
      <c r="C838" s="1">
        <v>13</v>
      </c>
      <c r="D838" s="4">
        <v>39869.607638888891</v>
      </c>
      <c r="E838" s="1" t="s">
        <v>772</v>
      </c>
      <c r="F838" s="1"/>
      <c r="G838" s="1"/>
      <c r="H838" s="1"/>
      <c r="I838" s="1"/>
      <c r="J838" s="1"/>
      <c r="K838" s="1"/>
      <c r="L838" s="1"/>
      <c r="M838" s="1"/>
      <c r="N838" s="1"/>
      <c r="O838" s="1"/>
      <c r="P838" s="1"/>
      <c r="Q838" s="1"/>
      <c r="R838" s="1"/>
      <c r="S838" s="1"/>
    </row>
    <row r="839" spans="1:19" ht="33.75" customHeight="1">
      <c r="A839" s="1" t="s">
        <v>2505</v>
      </c>
      <c r="B839" s="1" t="s">
        <v>1814</v>
      </c>
      <c r="C839" s="1">
        <v>13</v>
      </c>
      <c r="D839" s="4">
        <v>39869.633333333331</v>
      </c>
      <c r="E839" s="1" t="s">
        <v>54</v>
      </c>
      <c r="F839" s="1"/>
      <c r="G839" s="1"/>
      <c r="H839" s="1"/>
      <c r="I839" s="1"/>
      <c r="J839" s="1"/>
      <c r="K839" s="1"/>
      <c r="L839" s="1"/>
      <c r="M839" s="1"/>
      <c r="N839" s="1"/>
      <c r="O839" s="1"/>
      <c r="P839" s="1"/>
      <c r="Q839" s="1"/>
      <c r="R839" s="1"/>
      <c r="S839" s="1"/>
    </row>
    <row r="840" spans="1:19" ht="33.75" customHeight="1">
      <c r="A840" s="1" t="s">
        <v>2507</v>
      </c>
      <c r="B840" s="1" t="s">
        <v>2335</v>
      </c>
      <c r="C840" s="1">
        <v>15</v>
      </c>
      <c r="D840" s="4">
        <v>39871.936111111114</v>
      </c>
      <c r="E840" s="1" t="s">
        <v>1528</v>
      </c>
      <c r="F840" s="1"/>
      <c r="G840" s="1"/>
      <c r="H840" s="1"/>
      <c r="I840" s="1"/>
      <c r="J840" s="1"/>
      <c r="K840" s="1"/>
      <c r="L840" s="1"/>
      <c r="M840" s="1"/>
      <c r="N840" s="1"/>
      <c r="O840" s="1"/>
      <c r="P840" s="1"/>
      <c r="Q840" s="1"/>
      <c r="R840" s="1"/>
      <c r="S840" s="1"/>
    </row>
    <row r="841" spans="1:19" ht="33.75" customHeight="1">
      <c r="A841" s="1" t="s">
        <v>2510</v>
      </c>
      <c r="B841" s="1" t="s">
        <v>2335</v>
      </c>
      <c r="C841" s="1">
        <v>15</v>
      </c>
      <c r="D841" s="4">
        <v>39869.780555555553</v>
      </c>
      <c r="E841" s="1" t="s">
        <v>14</v>
      </c>
      <c r="F841" s="1"/>
      <c r="G841" s="1"/>
      <c r="H841" s="1"/>
      <c r="I841" s="1"/>
      <c r="J841" s="1"/>
      <c r="K841" s="1"/>
      <c r="L841" s="1"/>
      <c r="M841" s="1"/>
      <c r="N841" s="1"/>
      <c r="O841" s="1"/>
      <c r="P841" s="1"/>
      <c r="Q841" s="1"/>
      <c r="R841" s="1"/>
      <c r="S841" s="1"/>
    </row>
    <row r="842" spans="1:19" ht="33.75" customHeight="1">
      <c r="A842" s="1" t="s">
        <v>2512</v>
      </c>
      <c r="B842" s="1" t="s">
        <v>1814</v>
      </c>
      <c r="C842" s="1">
        <v>13</v>
      </c>
      <c r="D842" s="4">
        <v>39869.789583333331</v>
      </c>
      <c r="E842" s="1" t="s">
        <v>1089</v>
      </c>
      <c r="F842" s="1"/>
      <c r="G842" s="1"/>
      <c r="H842" s="1"/>
      <c r="I842" s="1"/>
      <c r="J842" s="1"/>
      <c r="K842" s="1"/>
      <c r="L842" s="1"/>
      <c r="M842" s="1"/>
      <c r="N842" s="1"/>
      <c r="O842" s="1"/>
      <c r="P842" s="1"/>
      <c r="Q842" s="1"/>
      <c r="R842" s="1"/>
      <c r="S842" s="1"/>
    </row>
    <row r="843" spans="1:19" ht="33.75" customHeight="1">
      <c r="A843" s="1" t="s">
        <v>2514</v>
      </c>
      <c r="B843" s="1" t="s">
        <v>2335</v>
      </c>
      <c r="C843" s="1">
        <v>15</v>
      </c>
      <c r="D843" s="4">
        <v>39869.859722222223</v>
      </c>
      <c r="E843" s="1" t="s">
        <v>54</v>
      </c>
      <c r="F843" s="1"/>
      <c r="G843" s="1"/>
      <c r="H843" s="1"/>
      <c r="I843" s="1"/>
      <c r="J843" s="1"/>
      <c r="K843" s="1"/>
      <c r="L843" s="1"/>
      <c r="M843" s="1"/>
      <c r="N843" s="1"/>
      <c r="O843" s="1"/>
      <c r="P843" s="1"/>
      <c r="Q843" s="1"/>
      <c r="R843" s="1"/>
      <c r="S843" s="1"/>
    </row>
    <row r="844" spans="1:19" ht="33.75" customHeight="1">
      <c r="A844" s="1" t="s">
        <v>2517</v>
      </c>
      <c r="B844" s="1" t="s">
        <v>2335</v>
      </c>
      <c r="C844" s="1">
        <v>15</v>
      </c>
      <c r="D844" s="4">
        <v>39869.868055555555</v>
      </c>
      <c r="E844" s="1" t="s">
        <v>54</v>
      </c>
      <c r="F844" s="1"/>
      <c r="G844" s="1"/>
      <c r="H844" s="1"/>
      <c r="I844" s="1"/>
      <c r="J844" s="1"/>
      <c r="K844" s="1"/>
      <c r="L844" s="1"/>
      <c r="M844" s="1"/>
      <c r="N844" s="1"/>
      <c r="O844" s="1"/>
      <c r="P844" s="1"/>
      <c r="Q844" s="1"/>
      <c r="R844" s="1"/>
      <c r="S844" s="1"/>
    </row>
    <row r="845" spans="1:19" ht="33.75" customHeight="1">
      <c r="A845" s="1" t="s">
        <v>2519</v>
      </c>
      <c r="B845" s="1" t="s">
        <v>2335</v>
      </c>
      <c r="C845" s="1">
        <v>15</v>
      </c>
      <c r="D845" s="4">
        <v>39869.92291666667</v>
      </c>
      <c r="E845" s="1" t="s">
        <v>2452</v>
      </c>
      <c r="F845" s="1"/>
      <c r="G845" s="1"/>
      <c r="H845" s="1"/>
      <c r="I845" s="1"/>
      <c r="J845" s="1"/>
      <c r="K845" s="1"/>
      <c r="L845" s="1"/>
      <c r="M845" s="1"/>
      <c r="N845" s="1"/>
      <c r="O845" s="1"/>
      <c r="P845" s="1"/>
      <c r="Q845" s="1"/>
      <c r="R845" s="1"/>
      <c r="S845" s="1"/>
    </row>
    <row r="846" spans="1:19" ht="33.75" customHeight="1">
      <c r="A846" s="1" t="s">
        <v>2521</v>
      </c>
      <c r="B846" s="1" t="s">
        <v>2335</v>
      </c>
      <c r="C846" s="1">
        <v>15</v>
      </c>
      <c r="D846" s="4">
        <v>39869.924305555556</v>
      </c>
      <c r="E846" s="1" t="s">
        <v>2452</v>
      </c>
      <c r="F846" s="1"/>
      <c r="G846" s="1"/>
      <c r="H846" s="1"/>
      <c r="I846" s="1"/>
      <c r="J846" s="1"/>
      <c r="K846" s="1"/>
      <c r="L846" s="1"/>
      <c r="M846" s="1"/>
      <c r="N846" s="1"/>
      <c r="O846" s="1"/>
      <c r="P846" s="1"/>
      <c r="Q846" s="1"/>
      <c r="R846" s="1"/>
      <c r="S846" s="1"/>
    </row>
    <row r="847" spans="1:19" ht="33.75" customHeight="1">
      <c r="A847" s="1" t="s">
        <v>2523</v>
      </c>
      <c r="B847" s="1" t="s">
        <v>2335</v>
      </c>
      <c r="C847" s="1">
        <v>15</v>
      </c>
      <c r="D847" s="4">
        <v>39869.925000000003</v>
      </c>
      <c r="E847" s="1" t="s">
        <v>2452</v>
      </c>
      <c r="F847" s="1"/>
      <c r="G847" s="1"/>
      <c r="H847" s="1"/>
      <c r="I847" s="1"/>
      <c r="J847" s="1"/>
      <c r="K847" s="1"/>
      <c r="L847" s="1"/>
      <c r="M847" s="1"/>
      <c r="N847" s="1"/>
      <c r="O847" s="1"/>
      <c r="P847" s="1"/>
      <c r="Q847" s="1"/>
      <c r="R847" s="1"/>
      <c r="S847" s="1"/>
    </row>
    <row r="848" spans="1:19" ht="33.75" customHeight="1">
      <c r="A848" s="1" t="s">
        <v>2525</v>
      </c>
      <c r="B848" s="1" t="s">
        <v>2335</v>
      </c>
      <c r="C848" s="1">
        <v>15</v>
      </c>
      <c r="D848" s="4">
        <v>39869.949999999997</v>
      </c>
      <c r="E848" s="1" t="s">
        <v>54</v>
      </c>
      <c r="F848" s="1"/>
      <c r="G848" s="1"/>
      <c r="H848" s="1"/>
      <c r="I848" s="1"/>
      <c r="J848" s="1"/>
      <c r="K848" s="1"/>
      <c r="L848" s="1"/>
      <c r="M848" s="1"/>
      <c r="N848" s="1"/>
      <c r="O848" s="1"/>
      <c r="P848" s="1"/>
      <c r="Q848" s="1"/>
      <c r="R848" s="1"/>
      <c r="S848" s="1"/>
    </row>
    <row r="849" spans="1:19" ht="33.75" customHeight="1">
      <c r="A849" s="1" t="s">
        <v>2528</v>
      </c>
      <c r="B849" s="1" t="s">
        <v>2335</v>
      </c>
      <c r="C849" s="1">
        <v>15</v>
      </c>
      <c r="D849" s="4">
        <v>39870.041666666664</v>
      </c>
      <c r="E849" s="1" t="s">
        <v>2452</v>
      </c>
      <c r="F849" s="1"/>
      <c r="G849" s="1"/>
      <c r="H849" s="1"/>
      <c r="I849" s="1"/>
      <c r="J849" s="1"/>
      <c r="K849" s="1"/>
      <c r="L849" s="1"/>
      <c r="M849" s="1"/>
      <c r="N849" s="1"/>
      <c r="O849" s="1"/>
      <c r="P849" s="1"/>
      <c r="Q849" s="1"/>
      <c r="R849" s="1"/>
      <c r="S849" s="1"/>
    </row>
    <row r="850" spans="1:19" ht="33.75" customHeight="1">
      <c r="A850" s="1" t="s">
        <v>2530</v>
      </c>
      <c r="B850" s="1" t="s">
        <v>2335</v>
      </c>
      <c r="C850" s="1">
        <v>15</v>
      </c>
      <c r="D850" s="4">
        <v>39870.043055555558</v>
      </c>
      <c r="E850" s="1" t="s">
        <v>2452</v>
      </c>
      <c r="F850" s="1"/>
      <c r="G850" s="1"/>
      <c r="H850" s="1"/>
      <c r="I850" s="1"/>
      <c r="J850" s="1"/>
      <c r="K850" s="1"/>
      <c r="L850" s="1"/>
      <c r="M850" s="1"/>
      <c r="N850" s="1"/>
      <c r="O850" s="1"/>
      <c r="P850" s="1"/>
      <c r="Q850" s="1"/>
      <c r="R850" s="1"/>
      <c r="S850" s="1"/>
    </row>
    <row r="851" spans="1:19" ht="33.75" customHeight="1">
      <c r="A851" s="1" t="s">
        <v>2532</v>
      </c>
      <c r="B851" s="1" t="s">
        <v>1814</v>
      </c>
      <c r="C851" s="1">
        <v>13</v>
      </c>
      <c r="D851" s="4">
        <v>39870.06527777778</v>
      </c>
      <c r="E851" s="1" t="s">
        <v>1089</v>
      </c>
      <c r="F851" s="1"/>
      <c r="G851" s="1"/>
      <c r="H851" s="1"/>
      <c r="I851" s="1"/>
      <c r="J851" s="1"/>
      <c r="K851" s="1"/>
      <c r="L851" s="1"/>
      <c r="M851" s="1"/>
      <c r="N851" s="1"/>
      <c r="O851" s="1"/>
      <c r="P851" s="1"/>
      <c r="Q851" s="1"/>
      <c r="R851" s="1"/>
      <c r="S851" s="1"/>
    </row>
    <row r="852" spans="1:19" ht="33.75" customHeight="1">
      <c r="A852" s="1" t="s">
        <v>2536</v>
      </c>
      <c r="B852" s="1" t="s">
        <v>2335</v>
      </c>
      <c r="C852" s="1">
        <v>15</v>
      </c>
      <c r="D852" s="4">
        <v>39870.287499999999</v>
      </c>
      <c r="E852" s="1" t="s">
        <v>320</v>
      </c>
      <c r="F852" s="1"/>
      <c r="G852" s="1"/>
      <c r="H852" s="1"/>
      <c r="I852" s="1"/>
      <c r="J852" s="1"/>
      <c r="K852" s="1"/>
      <c r="L852" s="1"/>
      <c r="M852" s="1"/>
      <c r="N852" s="1"/>
      <c r="O852" s="1"/>
      <c r="P852" s="1"/>
      <c r="Q852" s="1"/>
      <c r="R852" s="1"/>
      <c r="S852" s="1"/>
    </row>
    <row r="853" spans="1:19" ht="33.75" customHeight="1">
      <c r="A853" s="1" t="s">
        <v>2539</v>
      </c>
      <c r="B853" s="1" t="s">
        <v>1814</v>
      </c>
      <c r="C853" s="1">
        <v>13</v>
      </c>
      <c r="D853" s="4">
        <v>39870.322916666664</v>
      </c>
      <c r="E853" s="1" t="s">
        <v>54</v>
      </c>
      <c r="F853" s="1"/>
      <c r="G853" s="1"/>
      <c r="H853" s="1"/>
      <c r="I853" s="1"/>
      <c r="J853" s="1"/>
      <c r="K853" s="1"/>
      <c r="L853" s="1"/>
      <c r="M853" s="1"/>
      <c r="N853" s="1"/>
      <c r="O853" s="1"/>
      <c r="P853" s="1"/>
      <c r="Q853" s="1"/>
      <c r="R853" s="1"/>
      <c r="S853" s="1"/>
    </row>
    <row r="854" spans="1:19" ht="33.75" customHeight="1">
      <c r="A854" s="1" t="s">
        <v>2541</v>
      </c>
      <c r="B854" s="1" t="s">
        <v>2335</v>
      </c>
      <c r="C854" s="1">
        <v>15</v>
      </c>
      <c r="D854" s="4">
        <v>39870.426388888889</v>
      </c>
      <c r="E854" s="1" t="s">
        <v>14</v>
      </c>
      <c r="F854" s="1"/>
      <c r="G854" s="1"/>
      <c r="H854" s="1"/>
      <c r="I854" s="1"/>
      <c r="J854" s="1"/>
      <c r="K854" s="1"/>
      <c r="L854" s="1"/>
      <c r="M854" s="1"/>
      <c r="N854" s="1"/>
      <c r="O854" s="1"/>
      <c r="P854" s="1"/>
      <c r="Q854" s="1"/>
      <c r="R854" s="1"/>
      <c r="S854" s="1"/>
    </row>
    <row r="855" spans="1:19" ht="33.75" customHeight="1">
      <c r="A855" s="1" t="s">
        <v>2543</v>
      </c>
      <c r="B855" s="1" t="s">
        <v>2335</v>
      </c>
      <c r="C855" s="1">
        <v>15</v>
      </c>
      <c r="D855" s="4">
        <v>39870.491666666669</v>
      </c>
      <c r="E855" s="1" t="s">
        <v>14</v>
      </c>
      <c r="F855" s="1"/>
      <c r="G855" s="1"/>
      <c r="H855" s="1"/>
      <c r="I855" s="1"/>
      <c r="J855" s="1"/>
      <c r="K855" s="1"/>
      <c r="L855" s="1"/>
      <c r="M855" s="1"/>
      <c r="N855" s="1"/>
      <c r="O855" s="1"/>
      <c r="P855" s="1"/>
      <c r="Q855" s="1"/>
      <c r="R855" s="1"/>
      <c r="S855" s="1"/>
    </row>
    <row r="856" spans="1:19" ht="33.75" customHeight="1">
      <c r="A856" s="1" t="s">
        <v>2546</v>
      </c>
      <c r="B856" s="1" t="s">
        <v>1814</v>
      </c>
      <c r="C856" s="1">
        <v>13</v>
      </c>
      <c r="D856" s="4">
        <v>39870.604166666664</v>
      </c>
      <c r="E856" s="1" t="s">
        <v>54</v>
      </c>
      <c r="F856" s="1"/>
      <c r="G856" s="1"/>
      <c r="H856" s="1"/>
      <c r="I856" s="1"/>
      <c r="J856" s="1"/>
      <c r="K856" s="1"/>
      <c r="L856" s="1"/>
      <c r="M856" s="1"/>
      <c r="N856" s="1"/>
      <c r="O856" s="1"/>
      <c r="P856" s="1"/>
      <c r="Q856" s="1"/>
      <c r="R856" s="1"/>
      <c r="S856" s="1"/>
    </row>
    <row r="857" spans="1:19" ht="33.75" customHeight="1">
      <c r="A857" s="1" t="s">
        <v>2548</v>
      </c>
      <c r="B857" s="1" t="s">
        <v>2335</v>
      </c>
      <c r="C857" s="1">
        <v>15</v>
      </c>
      <c r="D857" s="4">
        <v>39870.730555555558</v>
      </c>
      <c r="E857" s="1" t="s">
        <v>14</v>
      </c>
      <c r="F857" s="1"/>
      <c r="G857" s="1"/>
      <c r="H857" s="1"/>
      <c r="I857" s="1"/>
      <c r="J857" s="1"/>
      <c r="K857" s="1"/>
      <c r="L857" s="1"/>
      <c r="M857" s="1"/>
      <c r="N857" s="1"/>
      <c r="O857" s="1"/>
      <c r="P857" s="1"/>
      <c r="Q857" s="1"/>
      <c r="R857" s="1"/>
      <c r="S857" s="1"/>
    </row>
    <row r="858" spans="1:19" ht="33.75" customHeight="1">
      <c r="A858" s="1" t="s">
        <v>2550</v>
      </c>
      <c r="B858" s="1" t="s">
        <v>2335</v>
      </c>
      <c r="C858" s="1">
        <v>15</v>
      </c>
      <c r="D858" s="4">
        <v>39870.788888888892</v>
      </c>
      <c r="E858" s="1" t="s">
        <v>320</v>
      </c>
      <c r="F858" s="1"/>
      <c r="G858" s="1"/>
      <c r="H858" s="1"/>
      <c r="I858" s="1"/>
      <c r="J858" s="1"/>
      <c r="K858" s="1"/>
      <c r="L858" s="1"/>
      <c r="M858" s="1"/>
      <c r="N858" s="1"/>
      <c r="O858" s="1"/>
      <c r="P858" s="1"/>
      <c r="Q858" s="1"/>
      <c r="R858" s="1"/>
      <c r="S858" s="1"/>
    </row>
    <row r="859" spans="1:19" ht="33.75" customHeight="1">
      <c r="A859" s="1" t="s">
        <v>2552</v>
      </c>
      <c r="B859" s="1" t="s">
        <v>2335</v>
      </c>
      <c r="C859" s="1">
        <v>15</v>
      </c>
      <c r="D859" s="4">
        <v>39871.03125</v>
      </c>
      <c r="E859" s="1" t="s">
        <v>54</v>
      </c>
      <c r="F859" s="1"/>
      <c r="G859" s="1"/>
      <c r="H859" s="1"/>
      <c r="I859" s="1"/>
      <c r="J859" s="1"/>
      <c r="K859" s="1"/>
      <c r="L859" s="1"/>
      <c r="M859" s="1"/>
      <c r="N859" s="1"/>
      <c r="O859" s="1"/>
      <c r="P859" s="1"/>
      <c r="Q859" s="1"/>
      <c r="R859" s="1"/>
      <c r="S859" s="1"/>
    </row>
    <row r="860" spans="1:19" ht="33.75" customHeight="1">
      <c r="A860" s="1" t="s">
        <v>2554</v>
      </c>
      <c r="B860" s="1" t="s">
        <v>2335</v>
      </c>
      <c r="C860" s="1">
        <v>15</v>
      </c>
      <c r="D860" s="4">
        <v>39871.031944444447</v>
      </c>
      <c r="E860" s="1" t="s">
        <v>54</v>
      </c>
      <c r="F860" s="1"/>
      <c r="G860" s="1"/>
      <c r="H860" s="1"/>
      <c r="I860" s="1"/>
      <c r="J860" s="1"/>
      <c r="K860" s="1"/>
      <c r="L860" s="1"/>
      <c r="M860" s="1"/>
      <c r="N860" s="1"/>
      <c r="O860" s="1"/>
      <c r="P860" s="1"/>
      <c r="Q860" s="1"/>
      <c r="R860" s="1"/>
      <c r="S860" s="1"/>
    </row>
    <row r="861" spans="1:19" ht="33.75" customHeight="1">
      <c r="A861" s="1" t="s">
        <v>2556</v>
      </c>
      <c r="B861" s="1" t="s">
        <v>2335</v>
      </c>
      <c r="C861" s="1">
        <v>15</v>
      </c>
      <c r="D861" s="4">
        <v>39871.050000000003</v>
      </c>
      <c r="E861" s="1" t="s">
        <v>14</v>
      </c>
      <c r="F861" s="1"/>
      <c r="G861" s="1"/>
      <c r="H861" s="1"/>
      <c r="I861" s="1"/>
      <c r="J861" s="1"/>
      <c r="K861" s="1"/>
      <c r="L861" s="1"/>
      <c r="M861" s="1"/>
      <c r="N861" s="1"/>
      <c r="O861" s="1"/>
      <c r="P861" s="1"/>
      <c r="Q861" s="1"/>
      <c r="R861" s="1"/>
      <c r="S861" s="1"/>
    </row>
    <row r="862" spans="1:19" ht="33.75" customHeight="1">
      <c r="A862" s="1" t="s">
        <v>2558</v>
      </c>
      <c r="B862" s="1" t="s">
        <v>1814</v>
      </c>
      <c r="C862" s="1">
        <v>13</v>
      </c>
      <c r="D862" s="4">
        <v>39871.332638888889</v>
      </c>
      <c r="E862" s="1" t="s">
        <v>381</v>
      </c>
      <c r="F862" s="1"/>
      <c r="G862" s="1"/>
      <c r="H862" s="1"/>
      <c r="I862" s="1"/>
      <c r="J862" s="1"/>
      <c r="K862" s="1"/>
      <c r="L862" s="1"/>
      <c r="M862" s="1"/>
      <c r="N862" s="1"/>
      <c r="O862" s="1"/>
      <c r="P862" s="1"/>
      <c r="Q862" s="1"/>
      <c r="R862" s="1"/>
      <c r="S862" s="1"/>
    </row>
    <row r="863" spans="1:19" ht="33.75" customHeight="1">
      <c r="A863" s="1" t="s">
        <v>2561</v>
      </c>
      <c r="B863" s="1" t="s">
        <v>2335</v>
      </c>
      <c r="C863" s="1">
        <v>15</v>
      </c>
      <c r="D863" s="4">
        <v>39871.572222222225</v>
      </c>
      <c r="E863" s="1" t="s">
        <v>14</v>
      </c>
      <c r="F863" s="1"/>
      <c r="G863" s="1"/>
      <c r="H863" s="1"/>
      <c r="I863" s="1"/>
      <c r="J863" s="1"/>
      <c r="K863" s="1"/>
      <c r="L863" s="1"/>
      <c r="M863" s="1"/>
      <c r="N863" s="1"/>
      <c r="O863" s="1"/>
      <c r="P863" s="1"/>
      <c r="Q863" s="1"/>
      <c r="R863" s="1"/>
      <c r="S863" s="1"/>
    </row>
    <row r="864" spans="1:19" ht="33.75" customHeight="1">
      <c r="A864" s="1" t="s">
        <v>2564</v>
      </c>
      <c r="B864" s="1" t="s">
        <v>1814</v>
      </c>
      <c r="C864" s="1">
        <v>13</v>
      </c>
      <c r="D864" s="4">
        <v>39871.579861111109</v>
      </c>
      <c r="E864" s="1" t="s">
        <v>772</v>
      </c>
      <c r="F864" s="1"/>
      <c r="G864" s="1"/>
      <c r="H864" s="1"/>
      <c r="I864" s="1"/>
      <c r="J864" s="1"/>
      <c r="K864" s="1"/>
      <c r="L864" s="1"/>
      <c r="M864" s="1"/>
      <c r="N864" s="1"/>
      <c r="O864" s="1"/>
      <c r="P864" s="1"/>
      <c r="Q864" s="1"/>
      <c r="R864" s="1"/>
      <c r="S864" s="1"/>
    </row>
    <row r="865" spans="1:19" ht="33.75" customHeight="1">
      <c r="A865" s="1" t="s">
        <v>2566</v>
      </c>
      <c r="B865" s="1" t="s">
        <v>2335</v>
      </c>
      <c r="C865" s="1">
        <v>15</v>
      </c>
      <c r="D865" s="4">
        <v>39871.68472222222</v>
      </c>
      <c r="E865" s="1" t="s">
        <v>320</v>
      </c>
      <c r="F865" s="1"/>
      <c r="G865" s="1"/>
      <c r="H865" s="1"/>
      <c r="I865" s="1"/>
      <c r="J865" s="1"/>
      <c r="K865" s="1"/>
      <c r="L865" s="1"/>
      <c r="M865" s="1"/>
      <c r="N865" s="1"/>
      <c r="O865" s="1"/>
      <c r="P865" s="1"/>
      <c r="Q865" s="1"/>
      <c r="R865" s="1"/>
      <c r="S865" s="1"/>
    </row>
    <row r="866" spans="1:19" ht="33.75" customHeight="1">
      <c r="A866" s="1" t="s">
        <v>2569</v>
      </c>
      <c r="B866" s="1" t="s">
        <v>2335</v>
      </c>
      <c r="C866" s="1">
        <v>15</v>
      </c>
      <c r="D866" s="4">
        <v>39871.701388888891</v>
      </c>
      <c r="E866" s="1" t="s">
        <v>14</v>
      </c>
      <c r="F866" s="1"/>
      <c r="G866" s="1"/>
      <c r="H866" s="1"/>
      <c r="I866" s="1"/>
      <c r="J866" s="1"/>
      <c r="K866" s="1"/>
      <c r="L866" s="1"/>
      <c r="M866" s="1"/>
      <c r="N866" s="1"/>
      <c r="O866" s="1"/>
      <c r="P866" s="1"/>
      <c r="Q866" s="1"/>
      <c r="R866" s="1"/>
      <c r="S866" s="1"/>
    </row>
    <row r="867" spans="1:19" ht="33.75" customHeight="1">
      <c r="A867" s="1" t="s">
        <v>2571</v>
      </c>
      <c r="B867" s="1" t="s">
        <v>2335</v>
      </c>
      <c r="C867" s="1">
        <v>15</v>
      </c>
      <c r="D867" s="4">
        <v>39871.728472222225</v>
      </c>
      <c r="E867" s="1" t="s">
        <v>54</v>
      </c>
      <c r="F867" s="1"/>
      <c r="G867" s="1"/>
      <c r="H867" s="1"/>
      <c r="I867" s="1"/>
      <c r="J867" s="1"/>
      <c r="K867" s="1"/>
      <c r="L867" s="1"/>
      <c r="M867" s="1"/>
      <c r="N867" s="1"/>
      <c r="O867" s="1"/>
      <c r="P867" s="1"/>
      <c r="Q867" s="1"/>
      <c r="R867" s="1"/>
      <c r="S867" s="1"/>
    </row>
    <row r="868" spans="1:19" ht="33.75" customHeight="1">
      <c r="A868" s="1" t="s">
        <v>2574</v>
      </c>
      <c r="B868" s="1" t="s">
        <v>2335</v>
      </c>
      <c r="C868" s="1">
        <v>15</v>
      </c>
      <c r="D868" s="4">
        <v>39871.731249999997</v>
      </c>
      <c r="E868" s="1" t="s">
        <v>54</v>
      </c>
      <c r="F868" s="1"/>
      <c r="G868" s="1"/>
      <c r="H868" s="1"/>
      <c r="I868" s="1"/>
      <c r="J868" s="1"/>
      <c r="K868" s="1"/>
      <c r="L868" s="1"/>
      <c r="M868" s="1"/>
      <c r="N868" s="1"/>
      <c r="O868" s="1"/>
      <c r="P868" s="1"/>
      <c r="Q868" s="1"/>
      <c r="R868" s="1"/>
      <c r="S868" s="1"/>
    </row>
    <row r="869" spans="1:19" ht="33.75" customHeight="1">
      <c r="A869" s="1" t="s">
        <v>2576</v>
      </c>
      <c r="B869" s="1" t="s">
        <v>2335</v>
      </c>
      <c r="C869" s="1">
        <v>15</v>
      </c>
      <c r="D869" s="4">
        <v>39871.744444444441</v>
      </c>
      <c r="E869" s="1" t="s">
        <v>320</v>
      </c>
      <c r="F869" s="1"/>
      <c r="G869" s="1"/>
      <c r="H869" s="1"/>
      <c r="I869" s="1"/>
      <c r="J869" s="1"/>
      <c r="K869" s="1"/>
      <c r="L869" s="1"/>
      <c r="M869" s="1"/>
      <c r="N869" s="1"/>
      <c r="O869" s="1"/>
      <c r="P869" s="1"/>
      <c r="Q869" s="1"/>
      <c r="R869" s="1"/>
      <c r="S869" s="1"/>
    </row>
    <row r="870" spans="1:19" ht="33.75" customHeight="1">
      <c r="A870" s="1" t="s">
        <v>2578</v>
      </c>
      <c r="B870" s="1" t="s">
        <v>2335</v>
      </c>
      <c r="C870" s="1">
        <v>15</v>
      </c>
      <c r="D870" s="4">
        <v>39871.775694444441</v>
      </c>
      <c r="E870" s="1" t="s">
        <v>14</v>
      </c>
      <c r="F870" s="1"/>
      <c r="G870" s="1"/>
      <c r="H870" s="1"/>
      <c r="I870" s="1"/>
      <c r="J870" s="1"/>
      <c r="K870" s="1"/>
      <c r="L870" s="1"/>
      <c r="M870" s="1"/>
      <c r="N870" s="1"/>
      <c r="O870" s="1"/>
      <c r="P870" s="1"/>
      <c r="Q870" s="1"/>
      <c r="R870" s="1"/>
      <c r="S870" s="1"/>
    </row>
    <row r="871" spans="1:19" ht="33.75" customHeight="1">
      <c r="A871" s="1" t="s">
        <v>2581</v>
      </c>
      <c r="B871" s="1" t="s">
        <v>2335</v>
      </c>
      <c r="C871" s="1">
        <v>15</v>
      </c>
      <c r="D871" s="4">
        <v>39871.826388888891</v>
      </c>
      <c r="E871" s="1" t="s">
        <v>320</v>
      </c>
      <c r="F871" s="1"/>
      <c r="G871" s="1"/>
      <c r="H871" s="1"/>
      <c r="I871" s="1"/>
      <c r="J871" s="1"/>
      <c r="K871" s="1"/>
      <c r="L871" s="1"/>
      <c r="M871" s="1"/>
      <c r="N871" s="1"/>
      <c r="O871" s="1"/>
      <c r="P871" s="1"/>
      <c r="Q871" s="1"/>
      <c r="R871" s="1"/>
      <c r="S871" s="1"/>
    </row>
    <row r="872" spans="1:19" ht="33.75" customHeight="1">
      <c r="A872" s="1" t="s">
        <v>2583</v>
      </c>
      <c r="B872" s="1" t="s">
        <v>2335</v>
      </c>
      <c r="C872" s="1">
        <v>15</v>
      </c>
      <c r="D872" s="4">
        <v>39871.843055555553</v>
      </c>
      <c r="E872" s="1" t="s">
        <v>14</v>
      </c>
      <c r="F872" s="1"/>
      <c r="G872" s="1"/>
      <c r="H872" s="1"/>
      <c r="I872" s="1"/>
      <c r="J872" s="1"/>
      <c r="K872" s="1"/>
      <c r="L872" s="1"/>
      <c r="M872" s="1"/>
      <c r="N872" s="1"/>
      <c r="O872" s="1"/>
      <c r="P872" s="1"/>
      <c r="Q872" s="1"/>
      <c r="R872" s="1"/>
      <c r="S872" s="1"/>
    </row>
    <row r="873" spans="1:19" ht="33.75" customHeight="1">
      <c r="A873" s="1" t="s">
        <v>2586</v>
      </c>
      <c r="B873" s="1" t="s">
        <v>1814</v>
      </c>
      <c r="C873" s="1">
        <v>13</v>
      </c>
      <c r="D873" s="4">
        <v>39871.867361111108</v>
      </c>
      <c r="E873" s="1" t="s">
        <v>54</v>
      </c>
      <c r="F873" s="1"/>
      <c r="G873" s="1"/>
      <c r="H873" s="1"/>
      <c r="I873" s="1"/>
      <c r="J873" s="1"/>
      <c r="K873" s="1"/>
      <c r="L873" s="1"/>
      <c r="M873" s="1"/>
      <c r="N873" s="1"/>
      <c r="O873" s="1"/>
      <c r="P873" s="1"/>
      <c r="Q873" s="1"/>
      <c r="R873" s="1"/>
      <c r="S873" s="1"/>
    </row>
    <row r="874" spans="1:19" ht="33.75" customHeight="1">
      <c r="A874" s="1" t="s">
        <v>2589</v>
      </c>
      <c r="B874" s="1" t="s">
        <v>2335</v>
      </c>
      <c r="C874" s="1">
        <v>15</v>
      </c>
      <c r="D874" s="4">
        <v>39871.962500000001</v>
      </c>
      <c r="E874" s="1" t="s">
        <v>1528</v>
      </c>
      <c r="F874" s="1"/>
      <c r="G874" s="1"/>
      <c r="H874" s="1"/>
      <c r="I874" s="1"/>
      <c r="J874" s="1"/>
      <c r="K874" s="1"/>
      <c r="L874" s="1"/>
      <c r="M874" s="1"/>
      <c r="N874" s="1"/>
      <c r="O874" s="1"/>
      <c r="P874" s="1"/>
      <c r="Q874" s="1"/>
      <c r="R874" s="1"/>
      <c r="S874" s="1"/>
    </row>
    <row r="875" spans="1:19" ht="33.75" customHeight="1">
      <c r="A875" s="1" t="s">
        <v>2592</v>
      </c>
      <c r="B875" s="1" t="s">
        <v>2335</v>
      </c>
      <c r="C875" s="1">
        <v>15</v>
      </c>
      <c r="D875" s="4">
        <v>39871.941666666666</v>
      </c>
      <c r="E875" s="1" t="s">
        <v>320</v>
      </c>
      <c r="F875" s="1"/>
      <c r="G875" s="1"/>
      <c r="H875" s="1"/>
      <c r="I875" s="1"/>
      <c r="J875" s="1"/>
      <c r="K875" s="1"/>
      <c r="L875" s="1"/>
      <c r="M875" s="1"/>
      <c r="N875" s="1"/>
      <c r="O875" s="1"/>
      <c r="P875" s="1"/>
      <c r="Q875" s="1"/>
      <c r="R875" s="1"/>
      <c r="S875" s="1"/>
    </row>
    <row r="876" spans="1:19" ht="33.75" customHeight="1">
      <c r="A876" s="1" t="s">
        <v>2594</v>
      </c>
      <c r="B876" s="1" t="s">
        <v>2335</v>
      </c>
      <c r="C876" s="1">
        <v>15</v>
      </c>
      <c r="D876" s="4">
        <v>39871.954861111109</v>
      </c>
      <c r="E876" s="1" t="s">
        <v>54</v>
      </c>
      <c r="F876" s="1"/>
      <c r="G876" s="1"/>
      <c r="H876" s="1"/>
      <c r="I876" s="1"/>
      <c r="J876" s="1"/>
      <c r="K876" s="1"/>
      <c r="L876" s="1"/>
      <c r="M876" s="1"/>
      <c r="N876" s="1"/>
      <c r="O876" s="1"/>
      <c r="P876" s="1"/>
      <c r="Q876" s="1"/>
      <c r="R876" s="1"/>
      <c r="S876" s="1"/>
    </row>
    <row r="877" spans="1:19" ht="33.75" customHeight="1">
      <c r="A877" s="1" t="s">
        <v>2598</v>
      </c>
      <c r="B877" s="1" t="s">
        <v>2335</v>
      </c>
      <c r="C877" s="1">
        <v>15</v>
      </c>
      <c r="D877" s="4">
        <v>39871.957638888889</v>
      </c>
      <c r="E877" s="1" t="s">
        <v>54</v>
      </c>
      <c r="F877" s="1"/>
      <c r="G877" s="1"/>
      <c r="H877" s="1"/>
      <c r="I877" s="1"/>
      <c r="J877" s="1"/>
      <c r="K877" s="1"/>
      <c r="L877" s="1"/>
      <c r="M877" s="1"/>
      <c r="N877" s="1"/>
      <c r="O877" s="1"/>
      <c r="P877" s="1"/>
      <c r="Q877" s="1"/>
      <c r="R877" s="1"/>
      <c r="S877" s="1"/>
    </row>
    <row r="878" spans="1:19" ht="33.75" customHeight="1">
      <c r="A878" s="1" t="s">
        <v>2600</v>
      </c>
      <c r="B878" s="1" t="s">
        <v>2335</v>
      </c>
      <c r="C878" s="1">
        <v>15</v>
      </c>
      <c r="D878" s="4">
        <v>39871.962500000001</v>
      </c>
      <c r="E878" s="1" t="s">
        <v>84</v>
      </c>
      <c r="F878" s="1"/>
      <c r="G878" s="1"/>
      <c r="H878" s="1"/>
      <c r="I878" s="1"/>
      <c r="J878" s="1"/>
      <c r="K878" s="1"/>
      <c r="L878" s="1"/>
      <c r="M878" s="1"/>
      <c r="N878" s="1"/>
      <c r="O878" s="1"/>
      <c r="P878" s="1"/>
      <c r="Q878" s="1"/>
      <c r="R878" s="1"/>
      <c r="S878" s="1"/>
    </row>
    <row r="879" spans="1:19" ht="33.75" customHeight="1">
      <c r="A879" s="1" t="s">
        <v>2602</v>
      </c>
      <c r="B879" s="1" t="s">
        <v>2335</v>
      </c>
      <c r="C879" s="1">
        <v>15</v>
      </c>
      <c r="D879" s="4">
        <v>39872.724999999999</v>
      </c>
      <c r="E879" s="1" t="s">
        <v>1528</v>
      </c>
      <c r="F879" s="1"/>
      <c r="G879" s="1"/>
      <c r="H879" s="1"/>
      <c r="I879" s="1"/>
      <c r="J879" s="1"/>
      <c r="K879" s="1"/>
      <c r="L879" s="1"/>
      <c r="M879" s="1"/>
      <c r="N879" s="1"/>
      <c r="O879" s="1"/>
      <c r="P879" s="1"/>
      <c r="Q879" s="1"/>
      <c r="R879" s="1"/>
      <c r="S879" s="1"/>
    </row>
    <row r="880" spans="1:19" ht="33.75" customHeight="1">
      <c r="A880" s="1" t="s">
        <v>2605</v>
      </c>
      <c r="B880" s="1" t="s">
        <v>2335</v>
      </c>
      <c r="C880" s="1">
        <v>15</v>
      </c>
      <c r="D880" s="4">
        <v>39871.976388888892</v>
      </c>
      <c r="E880" s="1" t="s">
        <v>84</v>
      </c>
      <c r="F880" s="1"/>
      <c r="G880" s="1"/>
      <c r="H880" s="1"/>
      <c r="I880" s="1"/>
      <c r="J880" s="1"/>
      <c r="K880" s="1"/>
      <c r="L880" s="1"/>
      <c r="M880" s="1"/>
      <c r="N880" s="1"/>
      <c r="O880" s="1"/>
      <c r="P880" s="1"/>
      <c r="Q880" s="1"/>
      <c r="R880" s="1"/>
      <c r="S880" s="1"/>
    </row>
    <row r="881" spans="1:19" ht="33.75" customHeight="1">
      <c r="A881" s="1" t="s">
        <v>2607</v>
      </c>
      <c r="B881" s="1" t="s">
        <v>2335</v>
      </c>
      <c r="C881" s="1">
        <v>15</v>
      </c>
      <c r="D881" s="4">
        <v>39871.978472222225</v>
      </c>
      <c r="E881" s="1" t="s">
        <v>84</v>
      </c>
      <c r="F881" s="1"/>
      <c r="G881" s="1"/>
      <c r="H881" s="1"/>
      <c r="I881" s="1"/>
      <c r="J881" s="1"/>
      <c r="K881" s="1"/>
      <c r="L881" s="1"/>
      <c r="M881" s="1"/>
      <c r="N881" s="1"/>
      <c r="O881" s="1"/>
      <c r="P881" s="1"/>
      <c r="Q881" s="1"/>
      <c r="R881" s="1"/>
      <c r="S881" s="1"/>
    </row>
    <row r="882" spans="1:19" ht="33.75" customHeight="1">
      <c r="A882" s="1" t="s">
        <v>2610</v>
      </c>
      <c r="B882" s="1" t="s">
        <v>2335</v>
      </c>
      <c r="C882" s="1">
        <v>15</v>
      </c>
      <c r="D882" s="4">
        <v>39871.98541666667</v>
      </c>
      <c r="E882" s="1" t="s">
        <v>54</v>
      </c>
      <c r="F882" s="1"/>
      <c r="G882" s="1"/>
      <c r="H882" s="1"/>
      <c r="I882" s="1"/>
      <c r="J882" s="1"/>
      <c r="K882" s="1"/>
      <c r="L882" s="1"/>
      <c r="M882" s="1"/>
      <c r="N882" s="1"/>
      <c r="O882" s="1"/>
      <c r="P882" s="1"/>
      <c r="Q882" s="1"/>
      <c r="R882" s="1"/>
      <c r="S882" s="1"/>
    </row>
    <row r="883" spans="1:19" ht="33.75" customHeight="1">
      <c r="A883" s="1" t="s">
        <v>2613</v>
      </c>
      <c r="B883" s="1" t="s">
        <v>1814</v>
      </c>
      <c r="C883" s="1">
        <v>13</v>
      </c>
      <c r="D883" s="4">
        <v>39872.034722222219</v>
      </c>
      <c r="E883" s="1" t="s">
        <v>1241</v>
      </c>
      <c r="F883" s="1"/>
      <c r="G883" s="1"/>
      <c r="H883" s="1"/>
      <c r="I883" s="1"/>
      <c r="J883" s="1"/>
      <c r="K883" s="1"/>
      <c r="L883" s="1"/>
      <c r="M883" s="1"/>
      <c r="N883" s="1"/>
      <c r="O883" s="1"/>
      <c r="P883" s="1"/>
      <c r="Q883" s="1"/>
      <c r="R883" s="1"/>
      <c r="S883" s="1"/>
    </row>
    <row r="884" spans="1:19" ht="33.75" customHeight="1">
      <c r="A884" s="1" t="s">
        <v>2615</v>
      </c>
      <c r="B884" s="1" t="s">
        <v>2335</v>
      </c>
      <c r="C884" s="1">
        <v>15</v>
      </c>
      <c r="D884" s="4">
        <v>39872.069444444445</v>
      </c>
      <c r="E884" s="1" t="s">
        <v>14</v>
      </c>
      <c r="F884" s="1"/>
      <c r="G884" s="1"/>
      <c r="H884" s="1"/>
      <c r="I884" s="1"/>
      <c r="J884" s="1"/>
      <c r="K884" s="1"/>
      <c r="L884" s="1"/>
      <c r="M884" s="1"/>
      <c r="N884" s="1"/>
      <c r="O884" s="1"/>
      <c r="P884" s="1"/>
      <c r="Q884" s="1"/>
      <c r="R884" s="1"/>
      <c r="S884" s="1"/>
    </row>
    <row r="885" spans="1:19" ht="33.75" customHeight="1">
      <c r="A885" s="1"/>
      <c r="B885" s="1" t="s">
        <v>2335</v>
      </c>
      <c r="C885" s="1">
        <v>15</v>
      </c>
      <c r="D885" s="4">
        <v>39872.213194444441</v>
      </c>
      <c r="E885" s="1" t="s">
        <v>54</v>
      </c>
      <c r="F885" s="1"/>
      <c r="G885" s="1"/>
      <c r="H885" s="1"/>
      <c r="I885" s="1"/>
      <c r="J885" s="1"/>
      <c r="K885" s="1"/>
      <c r="L885" s="1"/>
      <c r="M885" s="1"/>
      <c r="N885" s="1"/>
      <c r="O885" s="1"/>
      <c r="P885" s="1"/>
      <c r="Q885" s="1"/>
      <c r="R885" s="1"/>
      <c r="S885" s="1"/>
    </row>
    <row r="886" spans="1:19" ht="33.75" customHeight="1">
      <c r="A886" s="1" t="s">
        <v>2619</v>
      </c>
      <c r="B886" s="1" t="s">
        <v>2335</v>
      </c>
      <c r="C886" s="1">
        <v>15</v>
      </c>
      <c r="D886" s="4">
        <v>39872.399305555555</v>
      </c>
      <c r="E886" s="1" t="s">
        <v>14</v>
      </c>
      <c r="F886" s="1"/>
      <c r="G886" s="1"/>
      <c r="H886" s="1"/>
      <c r="I886" s="1"/>
      <c r="J886" s="1"/>
      <c r="K886" s="1"/>
      <c r="L886" s="1"/>
      <c r="M886" s="1"/>
      <c r="N886" s="1"/>
      <c r="O886" s="1"/>
      <c r="P886" s="1"/>
      <c r="Q886" s="1"/>
      <c r="R886" s="1"/>
      <c r="S886" s="1"/>
    </row>
    <row r="887" spans="1:19" ht="33.75" customHeight="1">
      <c r="A887" s="1" t="s">
        <v>2622</v>
      </c>
      <c r="B887" s="1" t="s">
        <v>2335</v>
      </c>
      <c r="C887" s="1">
        <v>15</v>
      </c>
      <c r="D887" s="4">
        <v>39872.484027777777</v>
      </c>
      <c r="E887" s="1" t="s">
        <v>14</v>
      </c>
      <c r="F887" s="1"/>
      <c r="G887" s="1"/>
      <c r="H887" s="1"/>
      <c r="I887" s="1"/>
      <c r="J887" s="1"/>
      <c r="K887" s="1"/>
      <c r="L887" s="1"/>
      <c r="M887" s="1"/>
      <c r="N887" s="1"/>
      <c r="O887" s="1"/>
      <c r="P887" s="1"/>
      <c r="Q887" s="1"/>
      <c r="R887" s="1"/>
      <c r="S887" s="1"/>
    </row>
    <row r="888" spans="1:19" ht="33.75" customHeight="1">
      <c r="A888" s="1" t="s">
        <v>2624</v>
      </c>
      <c r="B888" s="1" t="s">
        <v>1814</v>
      </c>
      <c r="C888" s="1">
        <v>13</v>
      </c>
      <c r="D888" s="4">
        <v>39872.493055555555</v>
      </c>
      <c r="E888" s="1" t="s">
        <v>1887</v>
      </c>
      <c r="F888" s="1"/>
      <c r="G888" s="1"/>
      <c r="H888" s="1"/>
      <c r="I888" s="1"/>
      <c r="J888" s="1"/>
      <c r="K888" s="1"/>
      <c r="L888" s="1"/>
      <c r="M888" s="1"/>
      <c r="N888" s="1"/>
      <c r="O888" s="1"/>
      <c r="P888" s="1"/>
      <c r="Q888" s="1"/>
      <c r="R888" s="1"/>
      <c r="S888" s="1"/>
    </row>
    <row r="889" spans="1:19" ht="33.75" customHeight="1">
      <c r="A889" s="1" t="s">
        <v>2626</v>
      </c>
      <c r="B889" s="1" t="s">
        <v>1814</v>
      </c>
      <c r="C889" s="1">
        <v>13</v>
      </c>
      <c r="D889" s="4">
        <v>39872.54791666667</v>
      </c>
      <c r="E889" s="1" t="s">
        <v>54</v>
      </c>
      <c r="F889" s="1"/>
      <c r="G889" s="1"/>
      <c r="H889" s="1"/>
      <c r="I889" s="1"/>
      <c r="J889" s="1"/>
      <c r="K889" s="1"/>
      <c r="L889" s="1"/>
      <c r="M889" s="1"/>
      <c r="N889" s="1"/>
      <c r="O889" s="1"/>
      <c r="P889" s="1"/>
      <c r="Q889" s="1"/>
      <c r="R889" s="1"/>
      <c r="S889" s="1"/>
    </row>
    <row r="890" spans="1:19" ht="33.75" customHeight="1">
      <c r="A890" s="1" t="s">
        <v>2629</v>
      </c>
      <c r="B890" s="1" t="s">
        <v>1814</v>
      </c>
      <c r="C890" s="1">
        <v>13</v>
      </c>
      <c r="D890" s="4">
        <v>39872.651388888888</v>
      </c>
      <c r="E890" s="1" t="s">
        <v>1887</v>
      </c>
      <c r="F890" s="1"/>
      <c r="G890" s="1"/>
      <c r="H890" s="1"/>
      <c r="I890" s="1"/>
      <c r="J890" s="1"/>
      <c r="K890" s="1"/>
      <c r="L890" s="1"/>
      <c r="M890" s="1"/>
      <c r="N890" s="1"/>
      <c r="O890" s="1"/>
      <c r="P890" s="1"/>
      <c r="Q890" s="1"/>
      <c r="R890" s="1"/>
      <c r="S890" s="1"/>
    </row>
    <row r="891" spans="1:19" ht="33.75" customHeight="1">
      <c r="A891" s="1" t="s">
        <v>2631</v>
      </c>
      <c r="B891" s="1" t="s">
        <v>2335</v>
      </c>
      <c r="C891" s="1">
        <v>15</v>
      </c>
      <c r="D891" s="4">
        <v>39872.682638888888</v>
      </c>
      <c r="E891" s="1" t="s">
        <v>84</v>
      </c>
      <c r="F891" s="1"/>
      <c r="G891" s="1"/>
      <c r="H891" s="1"/>
      <c r="I891" s="1"/>
      <c r="J891" s="1"/>
      <c r="K891" s="1"/>
      <c r="L891" s="1"/>
      <c r="M891" s="1"/>
      <c r="N891" s="1"/>
      <c r="O891" s="1"/>
      <c r="P891" s="1"/>
      <c r="Q891" s="1"/>
      <c r="R891" s="1"/>
      <c r="S891" s="1"/>
    </row>
    <row r="892" spans="1:19" ht="33.75" customHeight="1">
      <c r="A892" s="1" t="s">
        <v>2633</v>
      </c>
      <c r="B892" s="1" t="s">
        <v>2335</v>
      </c>
      <c r="C892" s="1">
        <v>15</v>
      </c>
      <c r="D892" s="4">
        <v>39872.711111111108</v>
      </c>
      <c r="E892" s="1" t="s">
        <v>14</v>
      </c>
      <c r="F892" s="1"/>
      <c r="G892" s="1"/>
      <c r="H892" s="1"/>
      <c r="I892" s="1"/>
      <c r="J892" s="1"/>
      <c r="K892" s="1"/>
      <c r="L892" s="1"/>
      <c r="M892" s="1"/>
      <c r="N892" s="1"/>
      <c r="O892" s="1"/>
      <c r="P892" s="1"/>
      <c r="Q892" s="1"/>
      <c r="R892" s="1"/>
      <c r="S892" s="1"/>
    </row>
    <row r="893" spans="1:19" ht="33.75" customHeight="1">
      <c r="A893" s="1" t="s">
        <v>2635</v>
      </c>
      <c r="B893" s="1" t="s">
        <v>2636</v>
      </c>
      <c r="C893" s="1">
        <v>16</v>
      </c>
      <c r="D893" s="4">
        <v>39874.866666666669</v>
      </c>
      <c r="E893" s="1" t="s">
        <v>1528</v>
      </c>
      <c r="F893" s="1"/>
      <c r="G893" s="1"/>
      <c r="H893" s="1"/>
      <c r="I893" s="1"/>
      <c r="J893" s="1"/>
      <c r="K893" s="1"/>
      <c r="L893" s="1"/>
      <c r="M893" s="1"/>
      <c r="N893" s="1"/>
      <c r="O893" s="1"/>
      <c r="P893" s="1"/>
      <c r="Q893" s="1"/>
      <c r="R893" s="1"/>
      <c r="S893" s="1"/>
    </row>
    <row r="894" spans="1:19" ht="33.75" customHeight="1">
      <c r="A894" s="1" t="s">
        <v>2639</v>
      </c>
      <c r="B894" s="1" t="s">
        <v>2335</v>
      </c>
      <c r="C894" s="1">
        <v>15</v>
      </c>
      <c r="D894" s="4">
        <v>39872.724999999999</v>
      </c>
      <c r="E894" s="1" t="s">
        <v>14</v>
      </c>
      <c r="F894" s="1"/>
      <c r="G894" s="1"/>
      <c r="H894" s="1"/>
      <c r="I894" s="1"/>
      <c r="J894" s="1"/>
      <c r="K894" s="1"/>
      <c r="L894" s="1"/>
      <c r="M894" s="1"/>
      <c r="N894" s="1"/>
      <c r="O894" s="1"/>
      <c r="P894" s="1"/>
      <c r="Q894" s="1"/>
      <c r="R894" s="1"/>
      <c r="S894" s="1"/>
    </row>
    <row r="895" spans="1:19" ht="33.75" customHeight="1">
      <c r="A895" s="1" t="s">
        <v>2642</v>
      </c>
      <c r="B895" s="1" t="s">
        <v>2335</v>
      </c>
      <c r="C895" s="1">
        <v>15</v>
      </c>
      <c r="D895" s="4">
        <v>39872.741666666669</v>
      </c>
      <c r="E895" s="1" t="s">
        <v>14</v>
      </c>
      <c r="F895" s="1"/>
      <c r="G895" s="1"/>
      <c r="H895" s="1"/>
      <c r="I895" s="1"/>
      <c r="J895" s="1"/>
      <c r="K895" s="1"/>
      <c r="L895" s="1"/>
      <c r="M895" s="1"/>
      <c r="N895" s="1"/>
      <c r="O895" s="1"/>
      <c r="P895" s="1"/>
      <c r="Q895" s="1"/>
      <c r="R895" s="1"/>
      <c r="S895" s="1"/>
    </row>
    <row r="896" spans="1:19" ht="33.75" customHeight="1">
      <c r="A896" s="1" t="s">
        <v>2644</v>
      </c>
      <c r="B896" s="1" t="s">
        <v>2335</v>
      </c>
      <c r="C896" s="1">
        <v>15</v>
      </c>
      <c r="D896" s="4">
        <v>39872.8125</v>
      </c>
      <c r="E896" s="1" t="s">
        <v>54</v>
      </c>
      <c r="F896" s="1"/>
      <c r="G896" s="1"/>
      <c r="H896" s="1"/>
      <c r="I896" s="1"/>
      <c r="J896" s="1"/>
      <c r="K896" s="1"/>
      <c r="L896" s="1"/>
      <c r="M896" s="1"/>
      <c r="N896" s="1"/>
      <c r="O896" s="1"/>
      <c r="P896" s="1"/>
      <c r="Q896" s="1"/>
      <c r="R896" s="1"/>
      <c r="S896" s="1"/>
    </row>
    <row r="897" spans="1:19" ht="33.75" customHeight="1">
      <c r="A897" s="1" t="s">
        <v>2647</v>
      </c>
      <c r="B897" s="1" t="s">
        <v>2335</v>
      </c>
      <c r="C897" s="1">
        <v>15</v>
      </c>
      <c r="D897" s="4">
        <v>39872.820833333331</v>
      </c>
      <c r="E897" s="1" t="s">
        <v>54</v>
      </c>
      <c r="F897" s="1"/>
      <c r="G897" s="1"/>
      <c r="H897" s="1"/>
      <c r="I897" s="1"/>
      <c r="J897" s="1"/>
      <c r="K897" s="1"/>
      <c r="L897" s="1"/>
      <c r="M897" s="1"/>
      <c r="N897" s="1"/>
      <c r="O897" s="1"/>
      <c r="P897" s="1"/>
      <c r="Q897" s="1"/>
      <c r="R897" s="1"/>
      <c r="S897" s="1"/>
    </row>
    <row r="898" spans="1:19" ht="33.75" customHeight="1">
      <c r="A898" s="1" t="s">
        <v>2649</v>
      </c>
      <c r="B898" s="1" t="s">
        <v>2335</v>
      </c>
      <c r="C898" s="1">
        <v>15</v>
      </c>
      <c r="D898" s="4">
        <v>39872.822222222225</v>
      </c>
      <c r="E898" s="1" t="s">
        <v>84</v>
      </c>
      <c r="F898" s="1"/>
      <c r="G898" s="1"/>
      <c r="H898" s="1"/>
      <c r="I898" s="1"/>
      <c r="J898" s="1"/>
      <c r="K898" s="1"/>
      <c r="L898" s="1"/>
      <c r="M898" s="1"/>
      <c r="N898" s="1"/>
      <c r="O898" s="1"/>
      <c r="P898" s="1"/>
      <c r="Q898" s="1"/>
      <c r="R898" s="1"/>
      <c r="S898" s="1"/>
    </row>
    <row r="899" spans="1:19" ht="33.75" customHeight="1">
      <c r="A899" s="1" t="s">
        <v>2652</v>
      </c>
      <c r="B899" s="1" t="s">
        <v>2335</v>
      </c>
      <c r="C899" s="1">
        <v>15</v>
      </c>
      <c r="D899" s="4">
        <v>39872.82708333333</v>
      </c>
      <c r="E899" s="1" t="s">
        <v>54</v>
      </c>
      <c r="F899" s="1"/>
      <c r="G899" s="1"/>
      <c r="H899" s="1"/>
      <c r="I899" s="1"/>
      <c r="J899" s="1"/>
      <c r="K899" s="1"/>
      <c r="L899" s="1"/>
      <c r="M899" s="1"/>
      <c r="N899" s="1"/>
      <c r="O899" s="1"/>
      <c r="P899" s="1"/>
      <c r="Q899" s="1"/>
      <c r="R899" s="1"/>
      <c r="S899" s="1"/>
    </row>
    <row r="900" spans="1:19" ht="33.75" customHeight="1">
      <c r="A900" s="1" t="s">
        <v>2656</v>
      </c>
      <c r="B900" s="1" t="s">
        <v>2335</v>
      </c>
      <c r="C900" s="1">
        <v>15</v>
      </c>
      <c r="D900" s="4">
        <v>39872.827777777777</v>
      </c>
      <c r="E900" s="1" t="s">
        <v>54</v>
      </c>
      <c r="F900" s="1"/>
      <c r="G900" s="1"/>
      <c r="H900" s="1"/>
      <c r="I900" s="1"/>
      <c r="J900" s="1"/>
      <c r="K900" s="1"/>
      <c r="L900" s="1"/>
      <c r="M900" s="1"/>
      <c r="N900" s="1"/>
      <c r="O900" s="1"/>
      <c r="P900" s="1"/>
      <c r="Q900" s="1"/>
      <c r="R900" s="1"/>
      <c r="S900" s="1"/>
    </row>
    <row r="901" spans="1:19" ht="33.75" customHeight="1">
      <c r="A901" s="1" t="s">
        <v>2660</v>
      </c>
      <c r="B901" s="1" t="s">
        <v>2335</v>
      </c>
      <c r="C901" s="1">
        <v>15</v>
      </c>
      <c r="D901" s="4">
        <v>39872.840277777781</v>
      </c>
      <c r="E901" s="1" t="s">
        <v>54</v>
      </c>
      <c r="F901" s="1"/>
      <c r="G901" s="1"/>
      <c r="H901" s="1"/>
      <c r="I901" s="1"/>
      <c r="J901" s="1"/>
      <c r="K901" s="1"/>
      <c r="L901" s="1"/>
      <c r="M901" s="1"/>
      <c r="N901" s="1"/>
      <c r="O901" s="1"/>
      <c r="P901" s="1"/>
      <c r="Q901" s="1"/>
      <c r="R901" s="1"/>
      <c r="S901" s="1"/>
    </row>
    <row r="902" spans="1:19" ht="33.75" customHeight="1">
      <c r="A902" s="1" t="s">
        <v>2662</v>
      </c>
      <c r="B902" s="1" t="s">
        <v>2335</v>
      </c>
      <c r="C902" s="1">
        <v>15</v>
      </c>
      <c r="D902" s="4">
        <v>39872.845833333333</v>
      </c>
      <c r="E902" s="1" t="s">
        <v>54</v>
      </c>
      <c r="F902" s="1"/>
      <c r="G902" s="1"/>
      <c r="H902" s="1"/>
      <c r="I902" s="1"/>
      <c r="J902" s="1"/>
      <c r="K902" s="1"/>
      <c r="L902" s="1"/>
      <c r="M902" s="1"/>
      <c r="N902" s="1"/>
      <c r="O902" s="1"/>
      <c r="P902" s="1"/>
      <c r="Q902" s="1"/>
      <c r="R902" s="1"/>
      <c r="S902" s="1"/>
    </row>
    <row r="903" spans="1:19" ht="33.75" customHeight="1">
      <c r="A903" s="1" t="s">
        <v>2664</v>
      </c>
      <c r="B903" s="1" t="s">
        <v>2335</v>
      </c>
      <c r="C903" s="1">
        <v>15</v>
      </c>
      <c r="D903" s="4">
        <v>39872.898611111108</v>
      </c>
      <c r="E903" s="1" t="s">
        <v>320</v>
      </c>
      <c r="F903" s="1"/>
      <c r="G903" s="1"/>
      <c r="H903" s="1"/>
      <c r="I903" s="1"/>
      <c r="J903" s="1"/>
      <c r="K903" s="1"/>
      <c r="L903" s="1"/>
      <c r="M903" s="1"/>
      <c r="N903" s="1"/>
      <c r="O903" s="1"/>
      <c r="P903" s="1"/>
      <c r="Q903" s="1"/>
      <c r="R903" s="1"/>
      <c r="S903" s="1"/>
    </row>
    <row r="904" spans="1:19" ht="33.75" customHeight="1">
      <c r="A904" s="1" t="s">
        <v>2667</v>
      </c>
      <c r="B904" s="1" t="s">
        <v>2335</v>
      </c>
      <c r="C904" s="1">
        <v>15</v>
      </c>
      <c r="D904" s="4">
        <v>39872.949999999997</v>
      </c>
      <c r="E904" s="1" t="s">
        <v>320</v>
      </c>
      <c r="F904" s="1"/>
      <c r="G904" s="1"/>
      <c r="H904" s="1"/>
      <c r="I904" s="1"/>
      <c r="J904" s="1"/>
      <c r="K904" s="1"/>
      <c r="L904" s="1"/>
      <c r="M904" s="1"/>
      <c r="N904" s="1"/>
      <c r="O904" s="1"/>
      <c r="P904" s="1"/>
      <c r="Q904" s="1"/>
      <c r="R904" s="1"/>
      <c r="S904" s="1"/>
    </row>
    <row r="905" spans="1:19" ht="33.75" customHeight="1">
      <c r="A905" s="1" t="s">
        <v>2669</v>
      </c>
      <c r="B905" s="1" t="s">
        <v>2335</v>
      </c>
      <c r="C905" s="1">
        <v>15</v>
      </c>
      <c r="D905" s="4">
        <v>39872.950694444444</v>
      </c>
      <c r="E905" s="1" t="s">
        <v>320</v>
      </c>
      <c r="F905" s="1"/>
      <c r="G905" s="1"/>
      <c r="H905" s="1"/>
      <c r="I905" s="1"/>
      <c r="J905" s="1"/>
      <c r="K905" s="1"/>
      <c r="L905" s="1"/>
      <c r="M905" s="1"/>
      <c r="N905" s="1"/>
      <c r="O905" s="1"/>
      <c r="P905" s="1"/>
      <c r="Q905" s="1"/>
      <c r="R905" s="1"/>
      <c r="S905" s="1"/>
    </row>
    <row r="906" spans="1:19" ht="33.75" customHeight="1">
      <c r="A906" s="1" t="s">
        <v>2671</v>
      </c>
      <c r="B906" s="1" t="s">
        <v>2335</v>
      </c>
      <c r="C906" s="1">
        <v>15</v>
      </c>
      <c r="D906" s="4">
        <v>39872.960416666669</v>
      </c>
      <c r="E906" s="1" t="s">
        <v>54</v>
      </c>
      <c r="F906" s="1"/>
      <c r="G906" s="1"/>
      <c r="H906" s="1"/>
      <c r="I906" s="1"/>
      <c r="J906" s="1"/>
      <c r="K906" s="1"/>
      <c r="L906" s="1"/>
      <c r="M906" s="1"/>
      <c r="N906" s="1"/>
      <c r="O906" s="1"/>
      <c r="P906" s="1"/>
      <c r="Q906" s="1"/>
      <c r="R906" s="1"/>
      <c r="S906" s="1"/>
    </row>
    <row r="907" spans="1:19" ht="33.75" customHeight="1">
      <c r="A907" s="1" t="s">
        <v>2673</v>
      </c>
      <c r="B907" s="1" t="s">
        <v>2335</v>
      </c>
      <c r="C907" s="1">
        <v>15</v>
      </c>
      <c r="D907" s="4">
        <v>39872.961111111108</v>
      </c>
      <c r="E907" s="1" t="s">
        <v>320</v>
      </c>
      <c r="F907" s="1"/>
      <c r="G907" s="1"/>
      <c r="H907" s="1"/>
      <c r="I907" s="1"/>
      <c r="J907" s="1"/>
      <c r="K907" s="1"/>
      <c r="L907" s="1"/>
      <c r="M907" s="1"/>
      <c r="N907" s="1"/>
      <c r="O907" s="1"/>
      <c r="P907" s="1"/>
      <c r="Q907" s="1"/>
      <c r="R907" s="1"/>
      <c r="S907" s="1"/>
    </row>
    <row r="908" spans="1:19" ht="33.75" customHeight="1">
      <c r="A908" s="1" t="s">
        <v>2676</v>
      </c>
      <c r="B908" s="1" t="s">
        <v>2335</v>
      </c>
      <c r="C908" s="1">
        <v>15</v>
      </c>
      <c r="D908" s="4">
        <v>39872.962500000001</v>
      </c>
      <c r="E908" s="1" t="s">
        <v>54</v>
      </c>
      <c r="F908" s="1"/>
      <c r="G908" s="1"/>
      <c r="H908" s="1"/>
      <c r="I908" s="1"/>
      <c r="J908" s="1"/>
      <c r="K908" s="1"/>
      <c r="L908" s="1"/>
      <c r="M908" s="1"/>
      <c r="N908" s="1"/>
      <c r="O908" s="1"/>
      <c r="P908" s="1"/>
      <c r="Q908" s="1"/>
      <c r="R908" s="1"/>
      <c r="S908" s="1"/>
    </row>
    <row r="909" spans="1:19" ht="33.75" customHeight="1">
      <c r="A909" s="1" t="s">
        <v>2679</v>
      </c>
      <c r="B909" s="1" t="s">
        <v>2335</v>
      </c>
      <c r="C909" s="1">
        <v>15</v>
      </c>
      <c r="D909" s="4">
        <v>39872.974305555559</v>
      </c>
      <c r="E909" s="1" t="s">
        <v>320</v>
      </c>
      <c r="F909" s="1"/>
      <c r="G909" s="1"/>
      <c r="H909" s="1"/>
      <c r="I909" s="1"/>
      <c r="J909" s="1"/>
      <c r="K909" s="1"/>
      <c r="L909" s="1"/>
      <c r="M909" s="1"/>
      <c r="N909" s="1"/>
      <c r="O909" s="1"/>
      <c r="P909" s="1"/>
      <c r="Q909" s="1"/>
      <c r="R909" s="1"/>
      <c r="S909" s="1"/>
    </row>
    <row r="910" spans="1:19" ht="33.75" customHeight="1">
      <c r="A910" s="1" t="s">
        <v>2682</v>
      </c>
      <c r="B910" s="1" t="s">
        <v>2335</v>
      </c>
      <c r="C910" s="1">
        <v>15</v>
      </c>
      <c r="D910" s="4">
        <v>39873.291666666664</v>
      </c>
      <c r="E910" s="1" t="s">
        <v>314</v>
      </c>
      <c r="F910" s="1"/>
      <c r="G910" s="1"/>
      <c r="H910" s="1"/>
      <c r="I910" s="1"/>
      <c r="J910" s="1"/>
      <c r="K910" s="1"/>
      <c r="L910" s="1"/>
      <c r="M910" s="1"/>
      <c r="N910" s="1"/>
      <c r="O910" s="1"/>
      <c r="P910" s="1"/>
      <c r="Q910" s="1"/>
      <c r="R910" s="1"/>
      <c r="S910" s="1"/>
    </row>
    <row r="911" spans="1:19" ht="33.75" customHeight="1">
      <c r="A911" s="1" t="s">
        <v>2685</v>
      </c>
      <c r="B911" s="1" t="s">
        <v>1814</v>
      </c>
      <c r="C911" s="1">
        <v>13</v>
      </c>
      <c r="D911" s="4">
        <v>39873.42291666667</v>
      </c>
      <c r="E911" s="1" t="s">
        <v>1887</v>
      </c>
      <c r="F911" s="1"/>
      <c r="G911" s="1"/>
      <c r="H911" s="1"/>
      <c r="I911" s="1"/>
      <c r="J911" s="1"/>
      <c r="K911" s="1"/>
      <c r="L911" s="1"/>
      <c r="M911" s="1"/>
      <c r="N911" s="1"/>
      <c r="O911" s="1"/>
      <c r="P911" s="1"/>
      <c r="Q911" s="1"/>
      <c r="R911" s="1"/>
      <c r="S911" s="1"/>
    </row>
    <row r="912" spans="1:19" ht="33.75" customHeight="1">
      <c r="A912" s="1" t="s">
        <v>2688</v>
      </c>
      <c r="B912" s="1" t="s">
        <v>2335</v>
      </c>
      <c r="C912" s="1">
        <v>15</v>
      </c>
      <c r="D912" s="4">
        <v>39873.49722222222</v>
      </c>
      <c r="E912" s="1" t="s">
        <v>14</v>
      </c>
      <c r="F912" s="1"/>
      <c r="G912" s="1"/>
      <c r="H912" s="1"/>
      <c r="I912" s="1"/>
      <c r="J912" s="1"/>
      <c r="K912" s="1"/>
      <c r="L912" s="1"/>
      <c r="M912" s="1"/>
      <c r="N912" s="1"/>
      <c r="O912" s="1"/>
      <c r="P912" s="1"/>
      <c r="Q912" s="1"/>
      <c r="R912" s="1"/>
      <c r="S912" s="1"/>
    </row>
    <row r="913" spans="1:19" ht="33.75" customHeight="1">
      <c r="A913" s="1" t="s">
        <v>2691</v>
      </c>
      <c r="B913" s="1" t="s">
        <v>2335</v>
      </c>
      <c r="C913" s="1">
        <v>15</v>
      </c>
      <c r="D913" s="4">
        <v>39873.5</v>
      </c>
      <c r="E913" s="1" t="s">
        <v>14</v>
      </c>
      <c r="F913" s="1"/>
      <c r="G913" s="1"/>
      <c r="H913" s="1"/>
      <c r="I913" s="1"/>
      <c r="J913" s="1"/>
      <c r="K913" s="1"/>
      <c r="L913" s="1"/>
      <c r="M913" s="1"/>
      <c r="N913" s="1"/>
      <c r="O913" s="1"/>
      <c r="P913" s="1"/>
      <c r="Q913" s="1"/>
      <c r="R913" s="1"/>
      <c r="S913" s="1"/>
    </row>
    <row r="914" spans="1:19" ht="33.75" customHeight="1">
      <c r="A914" s="1" t="s">
        <v>2695</v>
      </c>
      <c r="B914" s="1" t="s">
        <v>2335</v>
      </c>
      <c r="C914" s="1">
        <v>15</v>
      </c>
      <c r="D914" s="4">
        <v>39873.519444444442</v>
      </c>
      <c r="E914" s="1" t="s">
        <v>14</v>
      </c>
      <c r="F914" s="1"/>
      <c r="G914" s="1"/>
      <c r="H914" s="1"/>
      <c r="I914" s="1"/>
      <c r="J914" s="1"/>
      <c r="K914" s="1"/>
      <c r="L914" s="1"/>
      <c r="M914" s="1"/>
      <c r="N914" s="1"/>
      <c r="O914" s="1"/>
      <c r="P914" s="1"/>
      <c r="Q914" s="1"/>
      <c r="R914" s="1"/>
      <c r="S914" s="1"/>
    </row>
    <row r="915" spans="1:19" ht="33.75" customHeight="1">
      <c r="A915" s="1" t="s">
        <v>2698</v>
      </c>
      <c r="B915" s="1" t="s">
        <v>1814</v>
      </c>
      <c r="C915" s="1">
        <v>13</v>
      </c>
      <c r="D915" s="4">
        <v>39873.561805555553</v>
      </c>
      <c r="E915" s="1" t="s">
        <v>772</v>
      </c>
      <c r="F915" s="1"/>
      <c r="G915" s="1"/>
      <c r="H915" s="1"/>
      <c r="I915" s="1"/>
      <c r="J915" s="1"/>
      <c r="K915" s="1"/>
      <c r="L915" s="1"/>
      <c r="M915" s="1"/>
      <c r="N915" s="1"/>
      <c r="O915" s="1"/>
      <c r="P915" s="1"/>
      <c r="Q915" s="1"/>
      <c r="R915" s="1"/>
      <c r="S915" s="1"/>
    </row>
    <row r="916" spans="1:19" ht="33.75" customHeight="1">
      <c r="A916" s="1" t="s">
        <v>2700</v>
      </c>
      <c r="B916" s="1" t="s">
        <v>1814</v>
      </c>
      <c r="C916" s="1">
        <v>13</v>
      </c>
      <c r="D916" s="4">
        <v>39873.674305555556</v>
      </c>
      <c r="E916" s="1" t="s">
        <v>54</v>
      </c>
      <c r="F916" s="1"/>
      <c r="G916" s="1"/>
      <c r="H916" s="1"/>
      <c r="I916" s="1"/>
      <c r="J916" s="1"/>
      <c r="K916" s="1"/>
      <c r="L916" s="1"/>
      <c r="M916" s="1"/>
      <c r="N916" s="1"/>
      <c r="O916" s="1"/>
      <c r="P916" s="1"/>
      <c r="Q916" s="1"/>
      <c r="R916" s="1"/>
      <c r="S916" s="1"/>
    </row>
    <row r="917" spans="1:19" ht="33.75" customHeight="1">
      <c r="A917" s="1" t="s">
        <v>2702</v>
      </c>
      <c r="B917" s="1" t="s">
        <v>2335</v>
      </c>
      <c r="C917" s="1">
        <v>15</v>
      </c>
      <c r="D917" s="4">
        <v>39873.725694444445</v>
      </c>
      <c r="E917" s="1" t="s">
        <v>320</v>
      </c>
      <c r="F917" s="1"/>
      <c r="G917" s="1"/>
      <c r="H917" s="1"/>
      <c r="I917" s="1"/>
      <c r="J917" s="1"/>
      <c r="K917" s="1"/>
      <c r="L917" s="1"/>
      <c r="M917" s="1"/>
      <c r="N917" s="1"/>
      <c r="O917" s="1"/>
      <c r="P917" s="1"/>
      <c r="Q917" s="1"/>
      <c r="R917" s="1"/>
      <c r="S917" s="1"/>
    </row>
    <row r="918" spans="1:19" ht="33.75" customHeight="1">
      <c r="A918" s="1" t="s">
        <v>2706</v>
      </c>
      <c r="B918" s="1" t="s">
        <v>2335</v>
      </c>
      <c r="C918" s="1">
        <v>15</v>
      </c>
      <c r="D918" s="4">
        <v>39873.728472222225</v>
      </c>
      <c r="E918" s="1" t="s">
        <v>320</v>
      </c>
      <c r="F918" s="1"/>
      <c r="G918" s="1"/>
      <c r="H918" s="1"/>
      <c r="I918" s="1"/>
      <c r="J918" s="1"/>
      <c r="K918" s="1"/>
      <c r="L918" s="1"/>
      <c r="M918" s="1"/>
      <c r="N918" s="1"/>
      <c r="O918" s="1"/>
      <c r="P918" s="1"/>
      <c r="Q918" s="1"/>
      <c r="R918" s="1"/>
      <c r="S918" s="1"/>
    </row>
    <row r="919" spans="1:19" ht="33.75" customHeight="1">
      <c r="A919" s="1" t="s">
        <v>2708</v>
      </c>
      <c r="B919" s="1" t="s">
        <v>2335</v>
      </c>
      <c r="C919" s="1">
        <v>15</v>
      </c>
      <c r="D919" s="4">
        <v>39873.748611111114</v>
      </c>
      <c r="E919" s="1" t="s">
        <v>54</v>
      </c>
      <c r="F919" s="1"/>
      <c r="G919" s="1"/>
      <c r="H919" s="1"/>
      <c r="I919" s="1"/>
      <c r="J919" s="1"/>
      <c r="K919" s="1"/>
      <c r="L919" s="1"/>
      <c r="M919" s="1"/>
      <c r="N919" s="1"/>
      <c r="O919" s="1"/>
      <c r="P919" s="1"/>
      <c r="Q919" s="1"/>
      <c r="R919" s="1"/>
      <c r="S919" s="1"/>
    </row>
    <row r="920" spans="1:19" ht="33.75" customHeight="1">
      <c r="A920" s="1" t="s">
        <v>2711</v>
      </c>
      <c r="B920" s="1" t="s">
        <v>1814</v>
      </c>
      <c r="C920" s="1">
        <v>13</v>
      </c>
      <c r="D920" s="4">
        <v>39873.763194444444</v>
      </c>
      <c r="E920" s="1" t="s">
        <v>1089</v>
      </c>
      <c r="F920" s="1"/>
      <c r="G920" s="1"/>
      <c r="H920" s="1"/>
      <c r="I920" s="1"/>
      <c r="J920" s="1"/>
      <c r="K920" s="1"/>
      <c r="L920" s="1"/>
      <c r="M920" s="1"/>
      <c r="N920" s="1"/>
      <c r="O920" s="1"/>
      <c r="P920" s="1"/>
      <c r="Q920" s="1"/>
      <c r="R920" s="1"/>
      <c r="S920" s="1"/>
    </row>
    <row r="921" spans="1:19" ht="33.75" customHeight="1">
      <c r="A921" s="1" t="s">
        <v>2713</v>
      </c>
      <c r="B921" s="1" t="s">
        <v>2335</v>
      </c>
      <c r="C921" s="1">
        <v>15</v>
      </c>
      <c r="D921" s="4">
        <v>39873.79583333333</v>
      </c>
      <c r="E921" s="1" t="s">
        <v>196</v>
      </c>
      <c r="F921" s="1"/>
      <c r="G921" s="1"/>
      <c r="H921" s="1"/>
      <c r="I921" s="1"/>
      <c r="J921" s="1"/>
      <c r="K921" s="1"/>
      <c r="L921" s="1"/>
      <c r="M921" s="1"/>
      <c r="N921" s="1"/>
      <c r="O921" s="1"/>
      <c r="P921" s="1"/>
      <c r="Q921" s="1"/>
      <c r="R921" s="1"/>
      <c r="S921" s="1"/>
    </row>
    <row r="922" spans="1:19" ht="33.75" customHeight="1">
      <c r="A922" s="1" t="s">
        <v>2715</v>
      </c>
      <c r="B922" s="1" t="s">
        <v>2335</v>
      </c>
      <c r="C922" s="1">
        <v>15</v>
      </c>
      <c r="D922" s="4">
        <v>39873.799305555556</v>
      </c>
      <c r="E922" s="1" t="s">
        <v>196</v>
      </c>
      <c r="F922" s="1"/>
      <c r="G922" s="1"/>
      <c r="H922" s="1"/>
      <c r="I922" s="1"/>
      <c r="J922" s="1"/>
      <c r="K922" s="1"/>
      <c r="L922" s="1"/>
      <c r="M922" s="1"/>
      <c r="N922" s="1"/>
      <c r="O922" s="1"/>
      <c r="P922" s="1"/>
      <c r="Q922" s="1"/>
      <c r="R922" s="1"/>
      <c r="S922" s="1"/>
    </row>
    <row r="923" spans="1:19" ht="33.75" customHeight="1">
      <c r="A923" s="1" t="s">
        <v>2717</v>
      </c>
      <c r="B923" s="1" t="s">
        <v>2335</v>
      </c>
      <c r="C923" s="1">
        <v>15</v>
      </c>
      <c r="D923" s="4">
        <v>39873.80972222222</v>
      </c>
      <c r="E923" s="1" t="s">
        <v>196</v>
      </c>
      <c r="F923" s="1"/>
      <c r="G923" s="1"/>
      <c r="H923" s="1"/>
      <c r="I923" s="1"/>
      <c r="J923" s="1"/>
      <c r="K923" s="1"/>
      <c r="L923" s="1"/>
      <c r="M923" s="1"/>
      <c r="N923" s="1"/>
      <c r="O923" s="1"/>
      <c r="P923" s="1"/>
      <c r="Q923" s="1"/>
      <c r="R923" s="1"/>
      <c r="S923" s="1"/>
    </row>
    <row r="924" spans="1:19" ht="33.75" customHeight="1">
      <c r="A924" s="1" t="s">
        <v>2719</v>
      </c>
      <c r="B924" s="1" t="s">
        <v>2335</v>
      </c>
      <c r="C924" s="1">
        <v>15</v>
      </c>
      <c r="D924" s="4">
        <v>39873.811805555553</v>
      </c>
      <c r="E924" s="1" t="s">
        <v>196</v>
      </c>
      <c r="F924" s="1"/>
      <c r="G924" s="1"/>
      <c r="H924" s="1"/>
      <c r="I924" s="1"/>
      <c r="J924" s="1"/>
      <c r="K924" s="1"/>
      <c r="L924" s="1"/>
      <c r="M924" s="1"/>
      <c r="N924" s="1"/>
      <c r="O924" s="1"/>
      <c r="P924" s="1"/>
      <c r="Q924" s="1"/>
      <c r="R924" s="1"/>
      <c r="S924" s="1"/>
    </row>
    <row r="925" spans="1:19" ht="33.75" customHeight="1">
      <c r="A925" s="1" t="s">
        <v>2721</v>
      </c>
      <c r="B925" s="1" t="s">
        <v>2335</v>
      </c>
      <c r="C925" s="1">
        <v>15</v>
      </c>
      <c r="D925" s="4">
        <v>39873.816666666666</v>
      </c>
      <c r="E925" s="1" t="s">
        <v>320</v>
      </c>
      <c r="F925" s="1"/>
      <c r="G925" s="1"/>
      <c r="H925" s="1"/>
      <c r="I925" s="1"/>
      <c r="J925" s="1"/>
      <c r="K925" s="1"/>
      <c r="L925" s="1"/>
      <c r="M925" s="1"/>
      <c r="N925" s="1"/>
      <c r="O925" s="1"/>
      <c r="P925" s="1"/>
      <c r="Q925" s="1"/>
      <c r="R925" s="1"/>
      <c r="S925" s="1"/>
    </row>
    <row r="926" spans="1:19" ht="33.75" customHeight="1">
      <c r="A926" s="1" t="s">
        <v>2724</v>
      </c>
      <c r="B926" s="1" t="s">
        <v>1814</v>
      </c>
      <c r="C926" s="1">
        <v>13</v>
      </c>
      <c r="D926" s="4">
        <v>39873.822916666664</v>
      </c>
      <c r="E926" s="1" t="s">
        <v>54</v>
      </c>
      <c r="F926" s="1"/>
      <c r="G926" s="1"/>
      <c r="H926" s="1"/>
      <c r="I926" s="1"/>
      <c r="J926" s="1"/>
      <c r="K926" s="1"/>
      <c r="L926" s="1"/>
      <c r="M926" s="1"/>
      <c r="N926" s="1"/>
      <c r="O926" s="1"/>
      <c r="P926" s="1"/>
      <c r="Q926" s="1"/>
      <c r="R926" s="1"/>
      <c r="S926" s="1"/>
    </row>
    <row r="927" spans="1:19" ht="33.75" customHeight="1">
      <c r="A927" s="1" t="s">
        <v>2726</v>
      </c>
      <c r="B927" s="1" t="s">
        <v>2335</v>
      </c>
      <c r="C927" s="1">
        <v>15</v>
      </c>
      <c r="D927" s="4">
        <v>39873.830555555556</v>
      </c>
      <c r="E927" s="1" t="s">
        <v>196</v>
      </c>
      <c r="F927" s="1"/>
      <c r="G927" s="1"/>
      <c r="H927" s="1"/>
      <c r="I927" s="1"/>
      <c r="J927" s="1"/>
      <c r="K927" s="1"/>
      <c r="L927" s="1"/>
      <c r="M927" s="1"/>
      <c r="N927" s="1"/>
      <c r="O927" s="1"/>
      <c r="P927" s="1"/>
      <c r="Q927" s="1"/>
      <c r="R927" s="1"/>
      <c r="S927" s="1"/>
    </row>
    <row r="928" spans="1:19" ht="33.75" customHeight="1">
      <c r="A928" s="1" t="s">
        <v>2728</v>
      </c>
      <c r="B928" s="1" t="s">
        <v>2335</v>
      </c>
      <c r="C928" s="1">
        <v>15</v>
      </c>
      <c r="D928" s="4">
        <v>39873.895138888889</v>
      </c>
      <c r="E928" s="1" t="s">
        <v>196</v>
      </c>
      <c r="F928" s="1"/>
      <c r="G928" s="1"/>
      <c r="H928" s="1"/>
      <c r="I928" s="1"/>
      <c r="J928" s="1"/>
      <c r="K928" s="1"/>
      <c r="L928" s="1"/>
      <c r="M928" s="1"/>
      <c r="N928" s="1"/>
      <c r="O928" s="1"/>
      <c r="P928" s="1"/>
      <c r="Q928" s="1"/>
      <c r="R928" s="1"/>
      <c r="S928" s="1"/>
    </row>
    <row r="929" spans="1:19" ht="33.75" customHeight="1">
      <c r="A929" s="1" t="s">
        <v>2730</v>
      </c>
      <c r="B929" s="1" t="s">
        <v>2335</v>
      </c>
      <c r="C929" s="1">
        <v>15</v>
      </c>
      <c r="D929" s="4">
        <v>39873.945138888892</v>
      </c>
      <c r="E929" s="1" t="s">
        <v>196</v>
      </c>
      <c r="F929" s="1"/>
      <c r="G929" s="1"/>
      <c r="H929" s="1"/>
      <c r="I929" s="1"/>
      <c r="J929" s="1"/>
      <c r="K929" s="1"/>
      <c r="L929" s="1"/>
      <c r="M929" s="1"/>
      <c r="N929" s="1"/>
      <c r="O929" s="1"/>
      <c r="P929" s="1"/>
      <c r="Q929" s="1"/>
      <c r="R929" s="1"/>
      <c r="S929" s="1"/>
    </row>
    <row r="930" spans="1:19" ht="33.75" customHeight="1">
      <c r="A930" s="1" t="s">
        <v>12</v>
      </c>
      <c r="B930" s="1" t="s">
        <v>2636</v>
      </c>
      <c r="C930" s="1">
        <v>16</v>
      </c>
      <c r="D930" s="4">
        <v>39873.984710648147</v>
      </c>
      <c r="E930" s="1" t="s">
        <v>14</v>
      </c>
      <c r="F930" s="1"/>
      <c r="G930" s="1"/>
      <c r="H930" s="1"/>
      <c r="I930" s="1"/>
      <c r="J930" s="1"/>
      <c r="K930" s="1"/>
      <c r="L930" s="1"/>
      <c r="M930" s="1"/>
      <c r="N930" s="1"/>
      <c r="O930" s="1"/>
      <c r="P930" s="1"/>
      <c r="Q930" s="1"/>
      <c r="R930" s="1"/>
      <c r="S930" s="1"/>
    </row>
    <row r="931" spans="1:19" ht="33.75" customHeight="1">
      <c r="A931" s="1" t="s">
        <v>2735</v>
      </c>
      <c r="B931" s="1" t="s">
        <v>2335</v>
      </c>
      <c r="C931" s="1">
        <v>15</v>
      </c>
      <c r="D931" s="4">
        <v>39874.012499999997</v>
      </c>
      <c r="E931" s="1" t="s">
        <v>14</v>
      </c>
      <c r="F931" s="1"/>
      <c r="G931" s="1"/>
      <c r="H931" s="1"/>
      <c r="I931" s="1"/>
      <c r="J931" s="1"/>
      <c r="K931" s="1"/>
      <c r="L931" s="1"/>
      <c r="M931" s="1"/>
      <c r="N931" s="1"/>
      <c r="O931" s="1"/>
      <c r="P931" s="1"/>
      <c r="Q931" s="1"/>
      <c r="R931" s="1"/>
      <c r="S931" s="1"/>
    </row>
    <row r="932" spans="1:19" ht="33.75" customHeight="1">
      <c r="A932" s="1" t="s">
        <v>2738</v>
      </c>
      <c r="B932" s="1" t="s">
        <v>2335</v>
      </c>
      <c r="C932" s="1">
        <v>15</v>
      </c>
      <c r="D932" s="4">
        <v>39874.013194444444</v>
      </c>
      <c r="E932" s="1" t="s">
        <v>14</v>
      </c>
      <c r="F932" s="1"/>
      <c r="G932" s="1"/>
      <c r="H932" s="1"/>
      <c r="I932" s="1"/>
      <c r="J932" s="1"/>
      <c r="K932" s="1"/>
      <c r="L932" s="1"/>
      <c r="M932" s="1"/>
      <c r="N932" s="1"/>
      <c r="O932" s="1"/>
      <c r="P932" s="1"/>
      <c r="Q932" s="1"/>
      <c r="R932" s="1"/>
      <c r="S932" s="1"/>
    </row>
    <row r="933" spans="1:19" ht="33.75" customHeight="1">
      <c r="A933" s="1" t="s">
        <v>2741</v>
      </c>
      <c r="B933" s="1" t="s">
        <v>2335</v>
      </c>
      <c r="C933" s="1">
        <v>15</v>
      </c>
      <c r="D933" s="4">
        <v>39874.013888888891</v>
      </c>
      <c r="E933" s="1" t="s">
        <v>14</v>
      </c>
      <c r="F933" s="1"/>
      <c r="G933" s="1"/>
      <c r="H933" s="1"/>
      <c r="I933" s="1"/>
      <c r="J933" s="1"/>
      <c r="K933" s="1"/>
      <c r="L933" s="1"/>
      <c r="M933" s="1"/>
      <c r="N933" s="1"/>
      <c r="O933" s="1"/>
      <c r="P933" s="1"/>
      <c r="Q933" s="1"/>
      <c r="R933" s="1"/>
      <c r="S933" s="1"/>
    </row>
    <row r="934" spans="1:19" ht="33.75" customHeight="1">
      <c r="A934" s="1" t="s">
        <v>2743</v>
      </c>
      <c r="B934" s="1" t="s">
        <v>2335</v>
      </c>
      <c r="C934" s="1">
        <v>15</v>
      </c>
      <c r="D934" s="4">
        <v>39874.015277777777</v>
      </c>
      <c r="E934" s="1" t="s">
        <v>14</v>
      </c>
      <c r="F934" s="1"/>
      <c r="G934" s="1"/>
      <c r="H934" s="1"/>
      <c r="I934" s="1"/>
      <c r="J934" s="1"/>
      <c r="K934" s="1"/>
      <c r="L934" s="1"/>
      <c r="M934" s="1"/>
      <c r="N934" s="1"/>
      <c r="O934" s="1"/>
      <c r="P934" s="1"/>
      <c r="Q934" s="1"/>
      <c r="R934" s="1"/>
      <c r="S934" s="1"/>
    </row>
    <row r="935" spans="1:19" ht="33.75" customHeight="1">
      <c r="A935" s="1" t="s">
        <v>2745</v>
      </c>
      <c r="B935" s="1" t="s">
        <v>2636</v>
      </c>
      <c r="C935" s="1">
        <v>16</v>
      </c>
      <c r="D935" s="4">
        <v>39874.085416666669</v>
      </c>
      <c r="E935" s="1" t="s">
        <v>54</v>
      </c>
      <c r="F935" s="1"/>
      <c r="G935" s="1"/>
      <c r="H935" s="1"/>
      <c r="I935" s="1"/>
      <c r="J935" s="1"/>
      <c r="K935" s="1"/>
      <c r="L935" s="1"/>
      <c r="M935" s="1"/>
      <c r="N935" s="1"/>
      <c r="O935" s="1"/>
      <c r="P935" s="1"/>
      <c r="Q935" s="1"/>
      <c r="R935" s="1"/>
      <c r="S935" s="1"/>
    </row>
    <row r="936" spans="1:19" ht="33.75" customHeight="1">
      <c r="A936" s="1" t="s">
        <v>2747</v>
      </c>
      <c r="B936" s="1" t="s">
        <v>2636</v>
      </c>
      <c r="C936" s="1">
        <v>16</v>
      </c>
      <c r="D936" s="4">
        <v>39874.087500000001</v>
      </c>
      <c r="E936" s="1" t="s">
        <v>54</v>
      </c>
      <c r="F936" s="1"/>
      <c r="G936" s="1"/>
      <c r="H936" s="1"/>
      <c r="I936" s="1"/>
      <c r="J936" s="1"/>
      <c r="K936" s="1"/>
      <c r="L936" s="1"/>
      <c r="M936" s="1"/>
      <c r="N936" s="1"/>
      <c r="O936" s="1"/>
      <c r="P936" s="1"/>
      <c r="Q936" s="1"/>
      <c r="R936" s="1"/>
      <c r="S936" s="1"/>
    </row>
    <row r="937" spans="1:19" ht="33.75" customHeight="1">
      <c r="A937" s="1" t="s">
        <v>2749</v>
      </c>
      <c r="B937" s="1" t="s">
        <v>2636</v>
      </c>
      <c r="C937" s="1">
        <v>16</v>
      </c>
      <c r="D937" s="4">
        <v>39874.172222222223</v>
      </c>
      <c r="E937" s="1" t="s">
        <v>320</v>
      </c>
      <c r="F937" s="1"/>
      <c r="G937" s="1"/>
      <c r="H937" s="1"/>
      <c r="I937" s="1"/>
      <c r="J937" s="1"/>
      <c r="K937" s="1"/>
      <c r="L937" s="1"/>
      <c r="M937" s="1"/>
      <c r="N937" s="1"/>
      <c r="O937" s="1"/>
      <c r="P937" s="1"/>
      <c r="Q937" s="1"/>
      <c r="R937" s="1"/>
      <c r="S937" s="1"/>
    </row>
    <row r="938" spans="1:19" ht="33.75" customHeight="1">
      <c r="A938" s="1" t="s">
        <v>2751</v>
      </c>
      <c r="B938" s="1" t="s">
        <v>2636</v>
      </c>
      <c r="C938" s="1">
        <v>16</v>
      </c>
      <c r="D938" s="4">
        <v>39874.261805555558</v>
      </c>
      <c r="E938" s="1" t="s">
        <v>54</v>
      </c>
      <c r="F938" s="1"/>
      <c r="G938" s="1"/>
      <c r="H938" s="1"/>
      <c r="I938" s="1"/>
      <c r="J938" s="1"/>
      <c r="K938" s="1"/>
      <c r="L938" s="1"/>
      <c r="M938" s="1"/>
      <c r="N938" s="1"/>
      <c r="O938" s="1"/>
      <c r="P938" s="1"/>
      <c r="Q938" s="1"/>
      <c r="R938" s="1"/>
      <c r="S938" s="1"/>
    </row>
    <row r="939" spans="1:19" ht="33.75" customHeight="1">
      <c r="A939" s="1" t="s">
        <v>2754</v>
      </c>
      <c r="B939" s="1" t="s">
        <v>2636</v>
      </c>
      <c r="C939" s="1">
        <v>16</v>
      </c>
      <c r="D939" s="4">
        <v>39874.336805555555</v>
      </c>
      <c r="E939" s="1" t="s">
        <v>54</v>
      </c>
      <c r="F939" s="1"/>
      <c r="G939" s="1"/>
      <c r="H939" s="1"/>
      <c r="I939" s="1"/>
      <c r="J939" s="1"/>
      <c r="K939" s="1"/>
      <c r="L939" s="1"/>
      <c r="M939" s="1"/>
      <c r="N939" s="1"/>
      <c r="O939" s="1"/>
      <c r="P939" s="1"/>
      <c r="Q939" s="1"/>
      <c r="R939" s="1"/>
      <c r="S939" s="1"/>
    </row>
    <row r="940" spans="1:19" ht="33.75" customHeight="1">
      <c r="A940" s="1" t="s">
        <v>2756</v>
      </c>
      <c r="B940" s="1" t="s">
        <v>2636</v>
      </c>
      <c r="C940" s="1">
        <v>16</v>
      </c>
      <c r="D940" s="4">
        <v>39874.37777777778</v>
      </c>
      <c r="E940" s="1" t="s">
        <v>14</v>
      </c>
      <c r="F940" s="1"/>
      <c r="G940" s="1"/>
      <c r="H940" s="1"/>
      <c r="I940" s="1"/>
      <c r="J940" s="1"/>
      <c r="K940" s="1"/>
      <c r="L940" s="1"/>
      <c r="M940" s="1"/>
      <c r="N940" s="1"/>
      <c r="O940" s="1"/>
      <c r="P940" s="1"/>
      <c r="Q940" s="1"/>
      <c r="R940" s="1"/>
      <c r="S940" s="1"/>
    </row>
    <row r="941" spans="1:19" ht="33.75" customHeight="1">
      <c r="A941" s="1" t="s">
        <v>2758</v>
      </c>
      <c r="B941" s="1" t="s">
        <v>2636</v>
      </c>
      <c r="C941" s="1">
        <v>16</v>
      </c>
      <c r="D941" s="4">
        <v>39874.42291666667</v>
      </c>
      <c r="E941" s="1" t="s">
        <v>14</v>
      </c>
      <c r="F941" s="1"/>
      <c r="G941" s="1"/>
      <c r="H941" s="1"/>
      <c r="I941" s="1"/>
      <c r="J941" s="1"/>
      <c r="K941" s="1"/>
      <c r="L941" s="1"/>
      <c r="M941" s="1"/>
      <c r="N941" s="1"/>
      <c r="O941" s="1"/>
      <c r="P941" s="1"/>
      <c r="Q941" s="1"/>
      <c r="R941" s="1"/>
      <c r="S941" s="1"/>
    </row>
    <row r="942" spans="1:19" ht="33.75" customHeight="1">
      <c r="A942" s="1" t="s">
        <v>2760</v>
      </c>
      <c r="B942" s="1" t="s">
        <v>2636</v>
      </c>
      <c r="C942" s="1">
        <v>16</v>
      </c>
      <c r="D942" s="4">
        <v>39874.427777777775</v>
      </c>
      <c r="E942" s="1" t="s">
        <v>14</v>
      </c>
      <c r="F942" s="1"/>
      <c r="G942" s="1"/>
      <c r="H942" s="1"/>
      <c r="I942" s="1"/>
      <c r="J942" s="1"/>
      <c r="K942" s="1"/>
      <c r="L942" s="1"/>
      <c r="M942" s="1"/>
      <c r="N942" s="1"/>
      <c r="O942" s="1"/>
      <c r="P942" s="1"/>
      <c r="Q942" s="1"/>
      <c r="R942" s="1"/>
      <c r="S942" s="1"/>
    </row>
    <row r="943" spans="1:19" ht="33.75" customHeight="1">
      <c r="A943" s="1"/>
      <c r="B943" s="1" t="s">
        <v>2636</v>
      </c>
      <c r="C943" s="1">
        <v>16</v>
      </c>
      <c r="D943" s="4">
        <v>39874.772916666669</v>
      </c>
      <c r="E943" s="1" t="s">
        <v>14</v>
      </c>
      <c r="F943" s="1"/>
      <c r="G943" s="1"/>
      <c r="H943" s="1"/>
      <c r="I943" s="1"/>
      <c r="J943" s="1"/>
      <c r="K943" s="1"/>
      <c r="L943" s="1"/>
      <c r="M943" s="1"/>
      <c r="N943" s="1"/>
      <c r="O943" s="1"/>
      <c r="P943" s="1"/>
      <c r="Q943" s="1"/>
      <c r="R943" s="1"/>
      <c r="S943" s="1"/>
    </row>
    <row r="944" spans="1:19" ht="33.75" customHeight="1">
      <c r="A944" s="1" t="s">
        <v>2765</v>
      </c>
      <c r="B944" s="1" t="s">
        <v>2636</v>
      </c>
      <c r="C944" s="1">
        <v>16</v>
      </c>
      <c r="D944" s="4">
        <v>39874.779166666667</v>
      </c>
      <c r="E944" s="1" t="s">
        <v>320</v>
      </c>
      <c r="F944" s="1"/>
      <c r="G944" s="1"/>
      <c r="H944" s="1"/>
      <c r="I944" s="1"/>
      <c r="J944" s="1"/>
      <c r="K944" s="1"/>
      <c r="L944" s="1"/>
      <c r="M944" s="1"/>
      <c r="N944" s="1"/>
      <c r="O944" s="1"/>
      <c r="P944" s="1"/>
      <c r="Q944" s="1"/>
      <c r="R944" s="1"/>
      <c r="S944" s="1"/>
    </row>
    <row r="945" spans="1:19" ht="33.75" customHeight="1">
      <c r="A945" s="1" t="s">
        <v>2767</v>
      </c>
      <c r="B945" s="1" t="s">
        <v>2636</v>
      </c>
      <c r="C945" s="1">
        <v>16</v>
      </c>
      <c r="D945" s="4">
        <v>39874.779861111114</v>
      </c>
      <c r="E945" s="1" t="s">
        <v>320</v>
      </c>
      <c r="F945" s="1"/>
      <c r="G945" s="1"/>
      <c r="H945" s="1"/>
      <c r="I945" s="1"/>
      <c r="J945" s="1"/>
      <c r="K945" s="1"/>
      <c r="L945" s="1"/>
      <c r="M945" s="1"/>
      <c r="N945" s="1"/>
      <c r="O945" s="1"/>
      <c r="P945" s="1"/>
      <c r="Q945" s="1"/>
      <c r="R945" s="1"/>
      <c r="S945" s="1"/>
    </row>
    <row r="946" spans="1:19" ht="33.75" customHeight="1">
      <c r="A946" s="1" t="s">
        <v>2769</v>
      </c>
      <c r="B946" s="1" t="s">
        <v>2636</v>
      </c>
      <c r="C946" s="1">
        <v>16</v>
      </c>
      <c r="D946" s="4">
        <v>39874.783333333333</v>
      </c>
      <c r="E946" s="1" t="s">
        <v>320</v>
      </c>
      <c r="F946" s="1"/>
      <c r="G946" s="1"/>
      <c r="H946" s="1"/>
      <c r="I946" s="1"/>
      <c r="J946" s="1"/>
      <c r="K946" s="1"/>
      <c r="L946" s="1"/>
      <c r="M946" s="1"/>
      <c r="N946" s="1"/>
      <c r="O946" s="1"/>
      <c r="P946" s="1"/>
      <c r="Q946" s="1"/>
      <c r="R946" s="1"/>
      <c r="S946" s="1"/>
    </row>
    <row r="947" spans="1:19" ht="33.75" customHeight="1">
      <c r="A947" s="1" t="s">
        <v>2773</v>
      </c>
      <c r="B947" s="1" t="s">
        <v>2636</v>
      </c>
      <c r="C947" s="1">
        <v>16</v>
      </c>
      <c r="D947" s="4">
        <v>39874.821527777778</v>
      </c>
      <c r="E947" s="1" t="s">
        <v>14</v>
      </c>
      <c r="F947" s="1"/>
      <c r="G947" s="1"/>
      <c r="H947" s="1"/>
      <c r="I947" s="1"/>
      <c r="J947" s="1"/>
      <c r="K947" s="1"/>
      <c r="L947" s="1"/>
      <c r="M947" s="1"/>
      <c r="N947" s="1"/>
      <c r="O947" s="1"/>
      <c r="P947" s="1"/>
      <c r="Q947" s="1"/>
      <c r="R947" s="1"/>
      <c r="S947" s="1"/>
    </row>
    <row r="948" spans="1:19" ht="33.75" customHeight="1">
      <c r="A948" s="1" t="s">
        <v>2775</v>
      </c>
      <c r="B948" s="1" t="s">
        <v>2636</v>
      </c>
      <c r="C948" s="1">
        <v>16</v>
      </c>
      <c r="D948" s="4">
        <v>39874.857638888891</v>
      </c>
      <c r="E948" s="1" t="s">
        <v>14</v>
      </c>
      <c r="F948" s="1"/>
      <c r="G948" s="1"/>
      <c r="H948" s="1"/>
      <c r="I948" s="1"/>
      <c r="J948" s="1"/>
      <c r="K948" s="1"/>
      <c r="L948" s="1"/>
      <c r="M948" s="1"/>
      <c r="N948" s="1"/>
      <c r="O948" s="1"/>
      <c r="P948" s="1"/>
      <c r="Q948" s="1"/>
      <c r="R948" s="1"/>
      <c r="S948" s="1"/>
    </row>
    <row r="949" spans="1:19" ht="33.75" customHeight="1">
      <c r="A949" s="1" t="s">
        <v>2777</v>
      </c>
      <c r="B949" s="1" t="s">
        <v>2636</v>
      </c>
      <c r="C949" s="1">
        <v>16</v>
      </c>
      <c r="D949" s="4">
        <v>39874.863888888889</v>
      </c>
      <c r="E949" s="1" t="s">
        <v>54</v>
      </c>
      <c r="F949" s="1"/>
      <c r="G949" s="1"/>
      <c r="H949" s="1"/>
      <c r="I949" s="1"/>
      <c r="J949" s="1"/>
      <c r="K949" s="1"/>
      <c r="L949" s="1"/>
      <c r="M949" s="1"/>
      <c r="N949" s="1"/>
      <c r="O949" s="1"/>
      <c r="P949" s="1"/>
      <c r="Q949" s="1"/>
      <c r="R949" s="1"/>
      <c r="S949" s="1"/>
    </row>
    <row r="950" spans="1:19" ht="33.75" customHeight="1">
      <c r="A950" s="1" t="s">
        <v>2780</v>
      </c>
      <c r="B950" s="1" t="s">
        <v>2636</v>
      </c>
      <c r="C950" s="1">
        <v>16</v>
      </c>
      <c r="D950" s="4">
        <v>39875.864583333336</v>
      </c>
      <c r="E950" s="1" t="s">
        <v>1528</v>
      </c>
      <c r="F950" s="1"/>
      <c r="G950" s="1"/>
      <c r="H950" s="1"/>
      <c r="I950" s="1"/>
      <c r="J950" s="1"/>
      <c r="K950" s="1"/>
      <c r="L950" s="1"/>
      <c r="M950" s="1"/>
      <c r="N950" s="1"/>
      <c r="O950" s="1"/>
      <c r="P950" s="1"/>
      <c r="Q950" s="1"/>
      <c r="R950" s="1"/>
      <c r="S950" s="1"/>
    </row>
    <row r="951" spans="1:19" ht="33.75" customHeight="1">
      <c r="A951" s="1" t="s">
        <v>2782</v>
      </c>
      <c r="B951" s="1" t="s">
        <v>2636</v>
      </c>
      <c r="C951" s="1">
        <v>16</v>
      </c>
      <c r="D951" s="4">
        <v>39874.868750000001</v>
      </c>
      <c r="E951" s="1" t="s">
        <v>54</v>
      </c>
      <c r="F951" s="1"/>
      <c r="G951" s="1"/>
      <c r="H951" s="1"/>
      <c r="I951" s="1"/>
      <c r="J951" s="1"/>
      <c r="K951" s="1"/>
      <c r="L951" s="1"/>
      <c r="M951" s="1"/>
      <c r="N951" s="1"/>
      <c r="O951" s="1"/>
      <c r="P951" s="1"/>
      <c r="Q951" s="1"/>
      <c r="R951" s="1"/>
      <c r="S951" s="1"/>
    </row>
    <row r="952" spans="1:19" ht="33.75" customHeight="1">
      <c r="A952" s="1" t="s">
        <v>2785</v>
      </c>
      <c r="B952" s="1" t="s">
        <v>2636</v>
      </c>
      <c r="C952" s="1">
        <v>16</v>
      </c>
      <c r="D952" s="4">
        <v>39874.873611111114</v>
      </c>
      <c r="E952" s="1" t="s">
        <v>54</v>
      </c>
      <c r="F952" s="1"/>
      <c r="G952" s="1"/>
      <c r="H952" s="1"/>
      <c r="I952" s="1"/>
      <c r="J952" s="1"/>
      <c r="K952" s="1"/>
      <c r="L952" s="1"/>
      <c r="M952" s="1"/>
      <c r="N952" s="1"/>
      <c r="O952" s="1"/>
      <c r="P952" s="1"/>
      <c r="Q952" s="1"/>
      <c r="R952" s="1"/>
      <c r="S952" s="1"/>
    </row>
    <row r="953" spans="1:19" ht="33.75" customHeight="1">
      <c r="A953" s="1" t="s">
        <v>2787</v>
      </c>
      <c r="B953" s="1" t="s">
        <v>2636</v>
      </c>
      <c r="C953" s="1">
        <v>16</v>
      </c>
      <c r="D953" s="4">
        <v>39874.875</v>
      </c>
      <c r="E953" s="1" t="s">
        <v>54</v>
      </c>
      <c r="F953" s="1"/>
      <c r="G953" s="1"/>
      <c r="H953" s="1"/>
      <c r="I953" s="1"/>
      <c r="J953" s="1"/>
      <c r="K953" s="1"/>
      <c r="L953" s="1"/>
      <c r="M953" s="1"/>
      <c r="N953" s="1"/>
      <c r="O953" s="1"/>
      <c r="P953" s="1"/>
      <c r="Q953" s="1"/>
      <c r="R953" s="1"/>
      <c r="S953" s="1"/>
    </row>
    <row r="954" spans="1:19" ht="33.75" customHeight="1">
      <c r="A954" s="1" t="s">
        <v>2790</v>
      </c>
      <c r="B954" s="1" t="s">
        <v>2636</v>
      </c>
      <c r="C954" s="1">
        <v>16</v>
      </c>
      <c r="D954" s="4">
        <v>39874.880555555559</v>
      </c>
      <c r="E954" s="1" t="s">
        <v>54</v>
      </c>
      <c r="F954" s="1"/>
      <c r="G954" s="1"/>
      <c r="H954" s="1"/>
      <c r="I954" s="1"/>
      <c r="J954" s="1"/>
      <c r="K954" s="1"/>
      <c r="L954" s="1"/>
      <c r="M954" s="1"/>
      <c r="N954" s="1"/>
      <c r="O954" s="1"/>
      <c r="P954" s="1"/>
      <c r="Q954" s="1"/>
      <c r="R954" s="1"/>
      <c r="S954" s="1"/>
    </row>
    <row r="955" spans="1:19" ht="33.75" customHeight="1">
      <c r="A955" s="1" t="s">
        <v>2792</v>
      </c>
      <c r="B955" s="1" t="s">
        <v>2636</v>
      </c>
      <c r="C955" s="1">
        <v>16</v>
      </c>
      <c r="D955" s="4">
        <v>39874.943749999999</v>
      </c>
      <c r="E955" s="1" t="s">
        <v>196</v>
      </c>
      <c r="F955" s="1"/>
      <c r="G955" s="1"/>
      <c r="H955" s="1"/>
      <c r="I955" s="1"/>
      <c r="J955" s="1"/>
      <c r="K955" s="1"/>
      <c r="L955" s="1"/>
      <c r="M955" s="1"/>
      <c r="N955" s="1"/>
      <c r="O955" s="1"/>
      <c r="P955" s="1"/>
      <c r="Q955" s="1"/>
      <c r="R955" s="1"/>
      <c r="S955" s="1"/>
    </row>
    <row r="956" spans="1:19" ht="33.75" customHeight="1">
      <c r="A956" s="1" t="s">
        <v>2794</v>
      </c>
      <c r="B956" s="1" t="s">
        <v>2636</v>
      </c>
      <c r="C956" s="1">
        <v>16</v>
      </c>
      <c r="D956" s="4">
        <v>39874.966666666667</v>
      </c>
      <c r="E956" s="1" t="s">
        <v>54</v>
      </c>
      <c r="F956" s="1"/>
      <c r="G956" s="1"/>
      <c r="H956" s="1"/>
      <c r="I956" s="1"/>
      <c r="J956" s="1"/>
      <c r="K956" s="1"/>
      <c r="L956" s="1"/>
      <c r="M956" s="1"/>
      <c r="N956" s="1"/>
      <c r="O956" s="1"/>
      <c r="P956" s="1"/>
      <c r="Q956" s="1"/>
      <c r="R956" s="1"/>
      <c r="S956" s="1"/>
    </row>
    <row r="957" spans="1:19" ht="33.75" customHeight="1">
      <c r="A957" s="1" t="s">
        <v>2796</v>
      </c>
      <c r="B957" s="1" t="s">
        <v>2636</v>
      </c>
      <c r="C957" s="1">
        <v>16</v>
      </c>
      <c r="D957" s="4">
        <v>39874.980555555558</v>
      </c>
      <c r="E957" s="1" t="s">
        <v>196</v>
      </c>
      <c r="F957" s="1"/>
      <c r="G957" s="1"/>
      <c r="H957" s="1"/>
      <c r="I957" s="1"/>
      <c r="J957" s="1"/>
      <c r="K957" s="1"/>
      <c r="L957" s="1"/>
      <c r="M957" s="1"/>
      <c r="N957" s="1"/>
      <c r="O957" s="1"/>
      <c r="P957" s="1"/>
      <c r="Q957" s="1"/>
      <c r="R957" s="1"/>
      <c r="S957" s="1"/>
    </row>
    <row r="958" spans="1:19" ht="33.75" customHeight="1">
      <c r="A958" s="1" t="s">
        <v>2798</v>
      </c>
      <c r="B958" s="1" t="s">
        <v>2636</v>
      </c>
      <c r="C958" s="1">
        <v>16</v>
      </c>
      <c r="D958" s="4">
        <v>39875.004166666666</v>
      </c>
      <c r="E958" s="1" t="s">
        <v>14</v>
      </c>
      <c r="F958" s="1"/>
      <c r="G958" s="1"/>
      <c r="H958" s="1"/>
      <c r="I958" s="1"/>
      <c r="J958" s="1"/>
      <c r="K958" s="1"/>
      <c r="L958" s="1"/>
      <c r="M958" s="1"/>
      <c r="N958" s="1"/>
      <c r="O958" s="1"/>
      <c r="P958" s="1"/>
      <c r="Q958" s="1"/>
      <c r="R958" s="1"/>
      <c r="S958" s="1"/>
    </row>
    <row r="959" spans="1:19" ht="33.75" customHeight="1">
      <c r="A959" s="1" t="s">
        <v>2800</v>
      </c>
      <c r="B959" s="1" t="s">
        <v>2636</v>
      </c>
      <c r="C959" s="1">
        <v>16</v>
      </c>
      <c r="D959" s="4">
        <v>39875.024305555555</v>
      </c>
      <c r="E959" s="1" t="s">
        <v>54</v>
      </c>
      <c r="F959" s="1"/>
      <c r="G959" s="1"/>
      <c r="H959" s="1"/>
      <c r="I959" s="1"/>
      <c r="J959" s="1"/>
      <c r="K959" s="1"/>
      <c r="L959" s="1"/>
      <c r="M959" s="1"/>
      <c r="N959" s="1"/>
      <c r="O959" s="1"/>
      <c r="P959" s="1"/>
      <c r="Q959" s="1"/>
      <c r="R959" s="1"/>
      <c r="S959" s="1"/>
    </row>
    <row r="960" spans="1:19" ht="33.75" customHeight="1">
      <c r="A960" s="1" t="s">
        <v>2802</v>
      </c>
      <c r="B960" s="1" t="s">
        <v>2636</v>
      </c>
      <c r="C960" s="1">
        <v>16</v>
      </c>
      <c r="D960" s="4">
        <v>39875.02847222222</v>
      </c>
      <c r="E960" s="1" t="s">
        <v>54</v>
      </c>
      <c r="F960" s="1"/>
      <c r="G960" s="1"/>
      <c r="H960" s="1"/>
      <c r="I960" s="1"/>
      <c r="J960" s="1"/>
      <c r="K960" s="1"/>
      <c r="L960" s="1"/>
      <c r="M960" s="1"/>
      <c r="N960" s="1"/>
      <c r="O960" s="1"/>
      <c r="P960" s="1"/>
      <c r="Q960" s="1"/>
      <c r="R960" s="1"/>
      <c r="S960" s="1"/>
    </row>
    <row r="961" spans="1:19" ht="33.75" customHeight="1">
      <c r="A961" s="1" t="s">
        <v>2805</v>
      </c>
      <c r="B961" s="1" t="s">
        <v>2636</v>
      </c>
      <c r="C961" s="1">
        <v>16</v>
      </c>
      <c r="D961" s="4">
        <v>39875.061111111114</v>
      </c>
      <c r="E961" s="1" t="s">
        <v>14</v>
      </c>
      <c r="F961" s="1"/>
      <c r="G961" s="1"/>
      <c r="H961" s="1"/>
      <c r="I961" s="1"/>
      <c r="J961" s="1"/>
      <c r="K961" s="1"/>
      <c r="L961" s="1"/>
      <c r="M961" s="1"/>
      <c r="N961" s="1"/>
      <c r="O961" s="1"/>
      <c r="P961" s="1"/>
      <c r="Q961" s="1"/>
      <c r="R961" s="1"/>
      <c r="S961" s="1"/>
    </row>
    <row r="962" spans="1:19" ht="33.75" customHeight="1">
      <c r="A962" s="1" t="s">
        <v>2807</v>
      </c>
      <c r="B962" s="1" t="s">
        <v>1814</v>
      </c>
      <c r="C962" s="1">
        <v>13</v>
      </c>
      <c r="D962" s="4">
        <v>39875.340277777781</v>
      </c>
      <c r="E962" s="1" t="s">
        <v>84</v>
      </c>
      <c r="F962" s="1"/>
      <c r="G962" s="1"/>
      <c r="H962" s="1"/>
      <c r="I962" s="1"/>
      <c r="J962" s="1"/>
      <c r="K962" s="1"/>
      <c r="L962" s="1"/>
      <c r="M962" s="1"/>
      <c r="N962" s="1"/>
      <c r="O962" s="1"/>
      <c r="P962" s="1"/>
      <c r="Q962" s="1"/>
      <c r="R962" s="1"/>
      <c r="S962" s="1"/>
    </row>
    <row r="963" spans="1:19" ht="33.75" customHeight="1">
      <c r="A963" s="1" t="s">
        <v>2809</v>
      </c>
      <c r="B963" s="1" t="s">
        <v>1814</v>
      </c>
      <c r="C963" s="1">
        <v>13</v>
      </c>
      <c r="D963" s="4">
        <v>39875.570833333331</v>
      </c>
      <c r="E963" s="1" t="s">
        <v>772</v>
      </c>
      <c r="F963" s="1"/>
      <c r="G963" s="1"/>
      <c r="H963" s="1"/>
      <c r="I963" s="1"/>
      <c r="J963" s="1"/>
      <c r="K963" s="1"/>
      <c r="L963" s="1"/>
      <c r="M963" s="1"/>
      <c r="N963" s="1"/>
      <c r="O963" s="1"/>
      <c r="P963" s="1"/>
      <c r="Q963" s="1"/>
      <c r="R963" s="1"/>
      <c r="S963" s="1"/>
    </row>
    <row r="964" spans="1:19" ht="33.75" customHeight="1">
      <c r="A964" s="1" t="s">
        <v>2811</v>
      </c>
      <c r="B964" s="1" t="s">
        <v>2636</v>
      </c>
      <c r="C964" s="1">
        <v>16</v>
      </c>
      <c r="D964" s="4">
        <v>39875.622916666667</v>
      </c>
      <c r="E964" s="1" t="s">
        <v>14</v>
      </c>
      <c r="F964" s="1"/>
      <c r="G964" s="1"/>
      <c r="H964" s="1"/>
      <c r="I964" s="1"/>
      <c r="J964" s="1"/>
      <c r="K964" s="1"/>
      <c r="L964" s="1"/>
      <c r="M964" s="1"/>
      <c r="N964" s="1"/>
      <c r="O964" s="1"/>
      <c r="P964" s="1"/>
      <c r="Q964" s="1"/>
      <c r="R964" s="1"/>
      <c r="S964" s="1"/>
    </row>
    <row r="965" spans="1:19" ht="33.75" customHeight="1">
      <c r="A965" s="1" t="s">
        <v>2813</v>
      </c>
      <c r="B965" s="1" t="s">
        <v>2636</v>
      </c>
      <c r="C965" s="1">
        <v>16</v>
      </c>
      <c r="D965" s="4">
        <v>39876.148611111108</v>
      </c>
      <c r="E965" s="1" t="s">
        <v>1528</v>
      </c>
      <c r="F965" s="1"/>
      <c r="G965" s="1"/>
      <c r="H965" s="1"/>
      <c r="I965" s="1"/>
      <c r="J965" s="1"/>
      <c r="K965" s="1"/>
      <c r="L965" s="1"/>
      <c r="M965" s="1"/>
      <c r="N965" s="1"/>
      <c r="O965" s="1"/>
      <c r="P965" s="1"/>
      <c r="Q965" s="1"/>
      <c r="R965" s="1"/>
      <c r="S965" s="1"/>
    </row>
    <row r="966" spans="1:19" ht="33.75" customHeight="1">
      <c r="A966" s="1" t="s">
        <v>2815</v>
      </c>
      <c r="B966" s="1" t="s">
        <v>2636</v>
      </c>
      <c r="C966" s="1">
        <v>16</v>
      </c>
      <c r="D966" s="4">
        <v>39876.019444444442</v>
      </c>
      <c r="E966" s="1" t="s">
        <v>54</v>
      </c>
      <c r="F966" s="1"/>
      <c r="G966" s="1"/>
      <c r="H966" s="1"/>
      <c r="I966" s="1"/>
      <c r="J966" s="1"/>
      <c r="K966" s="1"/>
      <c r="L966" s="1"/>
      <c r="M966" s="1"/>
      <c r="N966" s="1"/>
      <c r="O966" s="1"/>
      <c r="P966" s="1"/>
      <c r="Q966" s="1"/>
      <c r="R966" s="1"/>
      <c r="S966" s="1"/>
    </row>
    <row r="967" spans="1:19" ht="33.75" customHeight="1">
      <c r="A967" s="1" t="s">
        <v>2818</v>
      </c>
      <c r="B967" s="1" t="s">
        <v>2636</v>
      </c>
      <c r="C967" s="1">
        <v>16</v>
      </c>
      <c r="D967" s="4">
        <v>39876.070138888892</v>
      </c>
      <c r="E967" s="1" t="s">
        <v>320</v>
      </c>
      <c r="F967" s="1"/>
      <c r="G967" s="1"/>
      <c r="H967" s="1"/>
      <c r="I967" s="1"/>
      <c r="J967" s="1"/>
      <c r="K967" s="1"/>
      <c r="L967" s="1"/>
      <c r="M967" s="1"/>
      <c r="N967" s="1"/>
      <c r="O967" s="1"/>
      <c r="P967" s="1"/>
      <c r="Q967" s="1"/>
      <c r="R967" s="1"/>
      <c r="S967" s="1"/>
    </row>
    <row r="968" spans="1:19" ht="33.75" customHeight="1">
      <c r="A968" s="1" t="s">
        <v>2820</v>
      </c>
      <c r="B968" s="1" t="s">
        <v>2636</v>
      </c>
      <c r="C968" s="1">
        <v>16</v>
      </c>
      <c r="D968" s="4">
        <v>39876.092361111114</v>
      </c>
      <c r="E968" s="1" t="s">
        <v>14</v>
      </c>
      <c r="F968" s="1"/>
      <c r="G968" s="1"/>
      <c r="H968" s="1"/>
      <c r="I968" s="1"/>
      <c r="J968" s="1"/>
      <c r="K968" s="1"/>
      <c r="L968" s="1"/>
      <c r="M968" s="1"/>
      <c r="N968" s="1"/>
      <c r="O968" s="1"/>
      <c r="P968" s="1"/>
      <c r="Q968" s="1"/>
      <c r="R968" s="1"/>
      <c r="S968" s="1"/>
    </row>
    <row r="969" spans="1:19" ht="33.75" customHeight="1">
      <c r="A969" s="1" t="s">
        <v>2822</v>
      </c>
      <c r="B969" s="1" t="s">
        <v>1814</v>
      </c>
      <c r="C969" s="1">
        <v>13</v>
      </c>
      <c r="D969" s="4">
        <v>39876.144444444442</v>
      </c>
      <c r="E969" s="1" t="s">
        <v>1887</v>
      </c>
      <c r="F969" s="1"/>
      <c r="G969" s="1"/>
      <c r="H969" s="1"/>
      <c r="I969" s="1"/>
      <c r="J969" s="1"/>
      <c r="K969" s="1"/>
      <c r="L969" s="1"/>
      <c r="M969" s="1"/>
      <c r="N969" s="1"/>
      <c r="O969" s="1"/>
      <c r="P969" s="1"/>
      <c r="Q969" s="1"/>
      <c r="R969" s="1"/>
      <c r="S969" s="1"/>
    </row>
    <row r="970" spans="1:19" ht="33.75" customHeight="1">
      <c r="A970" s="1" t="s">
        <v>2824</v>
      </c>
      <c r="B970" s="1" t="s">
        <v>1814</v>
      </c>
      <c r="C970" s="1">
        <v>13</v>
      </c>
      <c r="D970" s="4">
        <v>39876.145138888889</v>
      </c>
      <c r="E970" s="1" t="s">
        <v>1887</v>
      </c>
      <c r="F970" s="1"/>
      <c r="G970" s="1"/>
      <c r="H970" s="1"/>
      <c r="I970" s="1"/>
      <c r="J970" s="1"/>
      <c r="K970" s="1"/>
      <c r="L970" s="1"/>
      <c r="M970" s="1"/>
      <c r="N970" s="1"/>
      <c r="O970" s="1"/>
      <c r="P970" s="1"/>
      <c r="Q970" s="1"/>
      <c r="R970" s="1"/>
      <c r="S970" s="1"/>
    </row>
    <row r="971" spans="1:19" ht="33.75" customHeight="1">
      <c r="A971" s="1" t="s">
        <v>2826</v>
      </c>
      <c r="B971" s="1" t="s">
        <v>2636</v>
      </c>
      <c r="C971" s="1">
        <v>16</v>
      </c>
      <c r="D971" s="4">
        <v>39876.15</v>
      </c>
      <c r="E971" s="1" t="s">
        <v>1528</v>
      </c>
      <c r="F971" s="1"/>
      <c r="G971" s="1"/>
      <c r="H971" s="1"/>
      <c r="I971" s="1"/>
      <c r="J971" s="1"/>
      <c r="K971" s="1"/>
      <c r="L971" s="1"/>
      <c r="M971" s="1"/>
      <c r="N971" s="1"/>
      <c r="O971" s="1"/>
      <c r="P971" s="1"/>
      <c r="Q971" s="1"/>
      <c r="R971" s="1"/>
      <c r="S971" s="1"/>
    </row>
    <row r="972" spans="1:19" ht="33.75" customHeight="1">
      <c r="A972" s="1" t="s">
        <v>2829</v>
      </c>
      <c r="B972" s="1" t="s">
        <v>2636</v>
      </c>
      <c r="C972" s="1">
        <v>16</v>
      </c>
      <c r="D972" s="4">
        <v>39876.243055555555</v>
      </c>
      <c r="E972" s="1" t="s">
        <v>1528</v>
      </c>
      <c r="F972" s="1"/>
      <c r="G972" s="1"/>
      <c r="H972" s="1"/>
      <c r="I972" s="1"/>
      <c r="J972" s="1"/>
      <c r="K972" s="1"/>
      <c r="L972" s="1"/>
      <c r="M972" s="1"/>
      <c r="N972" s="1"/>
      <c r="O972" s="1"/>
      <c r="P972" s="1"/>
      <c r="Q972" s="1"/>
      <c r="R972" s="1"/>
      <c r="S972" s="1"/>
    </row>
    <row r="973" spans="1:19" ht="33.75" customHeight="1">
      <c r="A973" s="1" t="s">
        <v>2831</v>
      </c>
      <c r="B973" s="1" t="s">
        <v>2636</v>
      </c>
      <c r="C973" s="1">
        <v>16</v>
      </c>
      <c r="D973" s="4">
        <v>39876.197222222225</v>
      </c>
      <c r="E973" s="1" t="s">
        <v>54</v>
      </c>
      <c r="F973" s="1"/>
      <c r="G973" s="1"/>
      <c r="H973" s="1"/>
      <c r="I973" s="1"/>
      <c r="J973" s="1"/>
      <c r="K973" s="1"/>
      <c r="L973" s="1"/>
      <c r="M973" s="1"/>
      <c r="N973" s="1"/>
      <c r="O973" s="1"/>
      <c r="P973" s="1"/>
      <c r="Q973" s="1"/>
      <c r="R973" s="1"/>
      <c r="S973" s="1"/>
    </row>
    <row r="974" spans="1:19" ht="33.75" customHeight="1">
      <c r="A974" s="1" t="s">
        <v>2833</v>
      </c>
      <c r="B974" s="1" t="s">
        <v>2636</v>
      </c>
      <c r="C974" s="1">
        <v>16</v>
      </c>
      <c r="D974" s="4">
        <v>39876.198611111111</v>
      </c>
      <c r="E974" s="1" t="s">
        <v>54</v>
      </c>
      <c r="F974" s="1"/>
      <c r="G974" s="1"/>
      <c r="H974" s="1"/>
      <c r="I974" s="1"/>
      <c r="J974" s="1"/>
      <c r="K974" s="1"/>
      <c r="L974" s="1"/>
      <c r="M974" s="1"/>
      <c r="N974" s="1"/>
      <c r="O974" s="1"/>
      <c r="P974" s="1"/>
      <c r="Q974" s="1"/>
      <c r="R974" s="1"/>
      <c r="S974" s="1"/>
    </row>
    <row r="975" spans="1:19" ht="33.75" customHeight="1">
      <c r="A975" s="1" t="s">
        <v>2835</v>
      </c>
      <c r="B975" s="1" t="s">
        <v>2636</v>
      </c>
      <c r="C975" s="1">
        <v>16</v>
      </c>
      <c r="D975" s="4">
        <v>39876.21597222222</v>
      </c>
      <c r="E975" s="1" t="s">
        <v>54</v>
      </c>
      <c r="F975" s="1"/>
      <c r="G975" s="1"/>
      <c r="H975" s="1"/>
      <c r="I975" s="1"/>
      <c r="J975" s="1"/>
      <c r="K975" s="1"/>
      <c r="L975" s="1"/>
      <c r="M975" s="1"/>
      <c r="N975" s="1"/>
      <c r="O975" s="1"/>
      <c r="P975" s="1"/>
      <c r="Q975" s="1"/>
      <c r="R975" s="1"/>
      <c r="S975" s="1"/>
    </row>
    <row r="976" spans="1:19" ht="33.75" customHeight="1">
      <c r="A976" s="1" t="s">
        <v>2837</v>
      </c>
      <c r="B976" s="1" t="s">
        <v>2636</v>
      </c>
      <c r="C976" s="1">
        <v>16</v>
      </c>
      <c r="D976" s="4">
        <v>39876.818749999999</v>
      </c>
      <c r="E976" s="1" t="s">
        <v>1528</v>
      </c>
      <c r="F976" s="1"/>
      <c r="G976" s="1"/>
      <c r="H976" s="1"/>
      <c r="I976" s="1"/>
      <c r="J976" s="1"/>
      <c r="K976" s="1"/>
      <c r="L976" s="1"/>
      <c r="M976" s="1"/>
      <c r="N976" s="1"/>
      <c r="O976" s="1"/>
      <c r="P976" s="1"/>
      <c r="Q976" s="1"/>
      <c r="R976" s="1"/>
      <c r="S976" s="1"/>
    </row>
    <row r="977" spans="1:19" ht="33.75" customHeight="1">
      <c r="A977" s="1" t="s">
        <v>2839</v>
      </c>
      <c r="B977" s="1" t="s">
        <v>1814</v>
      </c>
      <c r="C977" s="1">
        <v>13</v>
      </c>
      <c r="D977" s="4">
        <v>39876.279166666667</v>
      </c>
      <c r="E977" s="1" t="s">
        <v>84</v>
      </c>
      <c r="F977" s="1"/>
      <c r="G977" s="1"/>
      <c r="H977" s="1"/>
      <c r="I977" s="1"/>
      <c r="J977" s="1"/>
      <c r="K977" s="1"/>
      <c r="L977" s="1"/>
      <c r="M977" s="1"/>
      <c r="N977" s="1"/>
      <c r="O977" s="1"/>
      <c r="P977" s="1"/>
      <c r="Q977" s="1"/>
      <c r="R977" s="1"/>
      <c r="S977" s="1"/>
    </row>
    <row r="978" spans="1:19" ht="33.75" customHeight="1">
      <c r="A978" s="1" t="s">
        <v>2843</v>
      </c>
      <c r="B978" s="1" t="s">
        <v>1814</v>
      </c>
      <c r="C978" s="1">
        <v>13</v>
      </c>
      <c r="D978" s="4">
        <v>39876.35</v>
      </c>
      <c r="E978" s="1" t="s">
        <v>2844</v>
      </c>
      <c r="F978" s="1"/>
      <c r="G978" s="1"/>
      <c r="H978" s="1"/>
      <c r="I978" s="1"/>
      <c r="J978" s="1"/>
      <c r="K978" s="1"/>
      <c r="L978" s="1"/>
      <c r="M978" s="1"/>
      <c r="N978" s="1"/>
      <c r="O978" s="1"/>
      <c r="P978" s="1"/>
      <c r="Q978" s="1"/>
      <c r="R978" s="1"/>
      <c r="S978" s="1"/>
    </row>
    <row r="979" spans="1:19" ht="33.75" customHeight="1">
      <c r="A979" s="1" t="s">
        <v>2847</v>
      </c>
      <c r="B979" s="1" t="s">
        <v>1814</v>
      </c>
      <c r="C979" s="1">
        <v>13</v>
      </c>
      <c r="D979" s="4">
        <v>39876.388888888891</v>
      </c>
      <c r="E979" s="1" t="s">
        <v>84</v>
      </c>
      <c r="F979" s="1"/>
      <c r="G979" s="1"/>
      <c r="H979" s="1"/>
      <c r="I979" s="1"/>
      <c r="J979" s="1"/>
      <c r="K979" s="1"/>
      <c r="L979" s="1"/>
      <c r="M979" s="1"/>
      <c r="N979" s="1"/>
      <c r="O979" s="1"/>
      <c r="P979" s="1"/>
      <c r="Q979" s="1"/>
      <c r="R979" s="1"/>
      <c r="S979" s="1"/>
    </row>
    <row r="980" spans="1:19" ht="33.75" customHeight="1">
      <c r="A980" s="1" t="s">
        <v>2850</v>
      </c>
      <c r="B980" s="1" t="s">
        <v>1814</v>
      </c>
      <c r="C980" s="1">
        <v>13</v>
      </c>
      <c r="D980" s="4">
        <v>39876.399305555555</v>
      </c>
      <c r="E980" s="1" t="s">
        <v>54</v>
      </c>
      <c r="F980" s="1"/>
      <c r="G980" s="1"/>
      <c r="H980" s="1"/>
      <c r="I980" s="1"/>
      <c r="J980" s="1"/>
      <c r="K980" s="1"/>
      <c r="L980" s="1"/>
      <c r="M980" s="1"/>
      <c r="N980" s="1"/>
      <c r="O980" s="1"/>
      <c r="P980" s="1"/>
      <c r="Q980" s="1"/>
      <c r="R980" s="1"/>
      <c r="S980" s="1"/>
    </row>
    <row r="981" spans="1:19" ht="33.75" customHeight="1">
      <c r="A981" s="1" t="s">
        <v>2853</v>
      </c>
      <c r="B981" s="1" t="s">
        <v>1814</v>
      </c>
      <c r="C981" s="1">
        <v>13</v>
      </c>
      <c r="D981" s="4">
        <v>39876.406944444447</v>
      </c>
      <c r="E981" s="1" t="s">
        <v>1887</v>
      </c>
      <c r="F981" s="1"/>
      <c r="G981" s="1"/>
      <c r="H981" s="1"/>
      <c r="I981" s="1"/>
      <c r="J981" s="1"/>
      <c r="K981" s="1"/>
      <c r="L981" s="1"/>
      <c r="M981" s="1"/>
      <c r="N981" s="1"/>
      <c r="O981" s="1"/>
      <c r="P981" s="1"/>
      <c r="Q981" s="1"/>
      <c r="R981" s="1"/>
      <c r="S981" s="1"/>
    </row>
    <row r="982" spans="1:19" ht="33.75" customHeight="1">
      <c r="A982" s="1" t="s">
        <v>2855</v>
      </c>
      <c r="B982" s="1" t="s">
        <v>1814</v>
      </c>
      <c r="C982" s="1">
        <v>13</v>
      </c>
      <c r="D982" s="4">
        <v>39876.40902777778</v>
      </c>
      <c r="E982" s="1" t="s">
        <v>54</v>
      </c>
      <c r="F982" s="1"/>
      <c r="G982" s="1"/>
      <c r="H982" s="1"/>
      <c r="I982" s="1"/>
      <c r="J982" s="1"/>
      <c r="K982" s="1"/>
      <c r="L982" s="1"/>
      <c r="M982" s="1"/>
      <c r="N982" s="1"/>
      <c r="O982" s="1"/>
      <c r="P982" s="1"/>
      <c r="Q982" s="1"/>
      <c r="R982" s="1"/>
      <c r="S982" s="1"/>
    </row>
    <row r="983" spans="1:19" ht="33.75" customHeight="1">
      <c r="A983" s="1" t="s">
        <v>2858</v>
      </c>
      <c r="B983" s="1" t="s">
        <v>2636</v>
      </c>
      <c r="C983" s="1">
        <v>16</v>
      </c>
      <c r="D983" s="4">
        <v>39876.463194444441</v>
      </c>
      <c r="E983" s="1" t="s">
        <v>14</v>
      </c>
      <c r="F983" s="1"/>
      <c r="G983" s="1"/>
      <c r="H983" s="1"/>
      <c r="I983" s="1"/>
      <c r="J983" s="1"/>
      <c r="K983" s="1"/>
      <c r="L983" s="1"/>
      <c r="M983" s="1"/>
      <c r="N983" s="1"/>
      <c r="O983" s="1"/>
      <c r="P983" s="1"/>
      <c r="Q983" s="1"/>
      <c r="R983" s="1"/>
      <c r="S983" s="1"/>
    </row>
    <row r="984" spans="1:19" ht="33.75" customHeight="1">
      <c r="A984" s="1" t="s">
        <v>2860</v>
      </c>
      <c r="B984" s="1" t="s">
        <v>2636</v>
      </c>
      <c r="C984" s="1">
        <v>16</v>
      </c>
      <c r="D984" s="4">
        <v>39876.497916666667</v>
      </c>
      <c r="E984" s="1" t="s">
        <v>14</v>
      </c>
      <c r="F984" s="1"/>
      <c r="G984" s="1"/>
      <c r="H984" s="1"/>
      <c r="I984" s="1"/>
      <c r="J984" s="1"/>
      <c r="K984" s="1"/>
      <c r="L984" s="1"/>
      <c r="M984" s="1"/>
      <c r="N984" s="1"/>
      <c r="O984" s="1"/>
      <c r="P984" s="1"/>
      <c r="Q984" s="1"/>
      <c r="R984" s="1"/>
      <c r="S984" s="1"/>
    </row>
    <row r="985" spans="1:19" ht="33.75" customHeight="1">
      <c r="A985" s="1" t="s">
        <v>2863</v>
      </c>
      <c r="B985" s="1" t="s">
        <v>1814</v>
      </c>
      <c r="C985" s="1">
        <v>13</v>
      </c>
      <c r="D985" s="4">
        <v>39876.503472222219</v>
      </c>
      <c r="E985" s="1" t="s">
        <v>772</v>
      </c>
      <c r="F985" s="1"/>
      <c r="G985" s="1"/>
      <c r="H985" s="1"/>
      <c r="I985" s="1"/>
      <c r="J985" s="1"/>
      <c r="K985" s="1"/>
      <c r="L985" s="1"/>
      <c r="M985" s="1"/>
      <c r="N985" s="1"/>
      <c r="O985" s="1"/>
      <c r="P985" s="1"/>
      <c r="Q985" s="1"/>
      <c r="R985" s="1"/>
      <c r="S985" s="1"/>
    </row>
    <row r="986" spans="1:19" ht="33.75" customHeight="1">
      <c r="A986" s="1" t="s">
        <v>2865</v>
      </c>
      <c r="B986" s="1" t="s">
        <v>1814</v>
      </c>
      <c r="C986" s="1">
        <v>13</v>
      </c>
      <c r="D986" s="4">
        <v>39876.564583333333</v>
      </c>
      <c r="E986" s="1" t="s">
        <v>54</v>
      </c>
      <c r="F986" s="1"/>
      <c r="G986" s="1"/>
      <c r="H986" s="1"/>
      <c r="I986" s="1"/>
      <c r="J986" s="1"/>
      <c r="K986" s="1"/>
      <c r="L986" s="1"/>
      <c r="M986" s="1"/>
      <c r="N986" s="1"/>
      <c r="O986" s="1"/>
      <c r="P986" s="1"/>
      <c r="Q986" s="1"/>
      <c r="R986" s="1"/>
      <c r="S986" s="1"/>
    </row>
    <row r="987" spans="1:19" ht="33.75" customHeight="1">
      <c r="A987" s="1" t="s">
        <v>2869</v>
      </c>
      <c r="B987" s="1" t="s">
        <v>2870</v>
      </c>
      <c r="C987" s="1">
        <v>17</v>
      </c>
      <c r="D987" s="4">
        <v>39876.568055555559</v>
      </c>
      <c r="E987" s="1" t="s">
        <v>772</v>
      </c>
      <c r="F987" s="1"/>
      <c r="G987" s="1"/>
      <c r="H987" s="1"/>
      <c r="I987" s="1"/>
      <c r="J987" s="1"/>
      <c r="K987" s="1"/>
      <c r="L987" s="1"/>
      <c r="M987" s="1"/>
      <c r="N987" s="1"/>
      <c r="O987" s="1"/>
      <c r="P987" s="1"/>
      <c r="Q987" s="1"/>
      <c r="R987" s="1"/>
      <c r="S987" s="1"/>
    </row>
    <row r="988" spans="1:19" ht="33.75" customHeight="1">
      <c r="A988" s="1" t="s">
        <v>2875</v>
      </c>
      <c r="B988" s="1" t="s">
        <v>2636</v>
      </c>
      <c r="C988" s="1">
        <v>16</v>
      </c>
      <c r="D988" s="4">
        <v>39876.57708333333</v>
      </c>
      <c r="E988" s="1" t="s">
        <v>14</v>
      </c>
      <c r="F988" s="1"/>
      <c r="G988" s="1"/>
      <c r="H988" s="1"/>
      <c r="I988" s="1"/>
      <c r="J988" s="1"/>
      <c r="K988" s="1"/>
      <c r="L988" s="1"/>
      <c r="M988" s="1"/>
      <c r="N988" s="1"/>
      <c r="O988" s="1"/>
      <c r="P988" s="1"/>
      <c r="Q988" s="1"/>
      <c r="R988" s="1"/>
      <c r="S988" s="1"/>
    </row>
    <row r="989" spans="1:19" ht="33.75" customHeight="1">
      <c r="A989" s="1" t="s">
        <v>2878</v>
      </c>
      <c r="B989" s="1" t="s">
        <v>2636</v>
      </c>
      <c r="C989" s="1">
        <v>16</v>
      </c>
      <c r="D989" s="4">
        <v>39876.675000000003</v>
      </c>
      <c r="E989" s="1" t="s">
        <v>314</v>
      </c>
      <c r="F989" s="1"/>
      <c r="G989" s="1"/>
      <c r="H989" s="1"/>
      <c r="I989" s="1"/>
      <c r="J989" s="1"/>
      <c r="K989" s="1"/>
      <c r="L989" s="1"/>
      <c r="M989" s="1"/>
      <c r="N989" s="1"/>
      <c r="O989" s="1"/>
      <c r="P989" s="1"/>
      <c r="Q989" s="1"/>
      <c r="R989" s="1"/>
      <c r="S989" s="1"/>
    </row>
    <row r="990" spans="1:19" ht="33.75" customHeight="1">
      <c r="A990" s="1" t="s">
        <v>2881</v>
      </c>
      <c r="B990" s="1" t="s">
        <v>2870</v>
      </c>
      <c r="C990" s="1">
        <v>17</v>
      </c>
      <c r="D990" s="4">
        <v>39876.758333333331</v>
      </c>
      <c r="E990" s="1" t="s">
        <v>54</v>
      </c>
      <c r="F990" s="1"/>
      <c r="G990" s="1"/>
      <c r="H990" s="1"/>
      <c r="I990" s="1"/>
      <c r="J990" s="1"/>
      <c r="K990" s="1"/>
      <c r="L990" s="1"/>
      <c r="M990" s="1"/>
      <c r="N990" s="1"/>
      <c r="O990" s="1"/>
      <c r="P990" s="1"/>
      <c r="Q990" s="1"/>
      <c r="R990" s="1"/>
      <c r="S990" s="1"/>
    </row>
    <row r="991" spans="1:19" ht="33.75" customHeight="1">
      <c r="A991" s="1" t="s">
        <v>2884</v>
      </c>
      <c r="B991" s="1" t="s">
        <v>2870</v>
      </c>
      <c r="C991" s="1">
        <v>17</v>
      </c>
      <c r="D991" s="4">
        <v>39876.765277777777</v>
      </c>
      <c r="E991" s="1" t="s">
        <v>54</v>
      </c>
      <c r="F991" s="1"/>
      <c r="G991" s="1"/>
      <c r="H991" s="1"/>
      <c r="I991" s="1"/>
      <c r="J991" s="1"/>
      <c r="K991" s="1"/>
      <c r="L991" s="1"/>
      <c r="M991" s="1"/>
      <c r="N991" s="1"/>
      <c r="O991" s="1"/>
      <c r="P991" s="1"/>
      <c r="Q991" s="1"/>
      <c r="R991" s="1"/>
      <c r="S991" s="1"/>
    </row>
    <row r="992" spans="1:19" ht="33.75" customHeight="1">
      <c r="A992" s="1" t="s">
        <v>2887</v>
      </c>
      <c r="B992" s="1" t="s">
        <v>2870</v>
      </c>
      <c r="C992" s="1">
        <v>17</v>
      </c>
      <c r="D992" s="4">
        <v>39876.813888888886</v>
      </c>
      <c r="E992" s="1" t="s">
        <v>84</v>
      </c>
      <c r="F992" s="1"/>
      <c r="G992" s="1"/>
      <c r="H992" s="1"/>
      <c r="I992" s="1"/>
      <c r="J992" s="1"/>
      <c r="K992" s="1"/>
      <c r="L992" s="1"/>
      <c r="M992" s="1"/>
      <c r="N992" s="1"/>
      <c r="O992" s="1"/>
      <c r="P992" s="1"/>
      <c r="Q992" s="1"/>
      <c r="R992" s="1"/>
      <c r="S992" s="1"/>
    </row>
    <row r="993" spans="1:19" ht="33.75" customHeight="1">
      <c r="A993" s="1" t="s">
        <v>2889</v>
      </c>
      <c r="B993" s="1" t="s">
        <v>2636</v>
      </c>
      <c r="C993" s="1">
        <v>16</v>
      </c>
      <c r="D993" s="4">
        <v>39879.769444444442</v>
      </c>
      <c r="E993" s="1" t="s">
        <v>1528</v>
      </c>
      <c r="F993" s="1"/>
      <c r="G993" s="1"/>
      <c r="H993" s="1"/>
      <c r="I993" s="1"/>
      <c r="J993" s="1"/>
      <c r="K993" s="1"/>
      <c r="L993" s="1"/>
      <c r="M993" s="1"/>
      <c r="N993" s="1"/>
      <c r="O993" s="1"/>
      <c r="P993" s="1"/>
      <c r="Q993" s="1"/>
      <c r="R993" s="1"/>
      <c r="S993" s="1"/>
    </row>
    <row r="994" spans="1:19" ht="33.75" customHeight="1">
      <c r="A994" s="1" t="s">
        <v>12</v>
      </c>
      <c r="B994" s="1" t="s">
        <v>2870</v>
      </c>
      <c r="C994" s="1">
        <v>17</v>
      </c>
      <c r="D994" s="4">
        <v>39876.893900462965</v>
      </c>
      <c r="E994" s="1" t="s">
        <v>175</v>
      </c>
      <c r="F994" s="1"/>
      <c r="G994" s="1"/>
      <c r="H994" s="1"/>
      <c r="I994" s="1"/>
      <c r="J994" s="1"/>
      <c r="K994" s="1"/>
      <c r="L994" s="1"/>
      <c r="M994" s="1"/>
      <c r="N994" s="1"/>
      <c r="O994" s="1"/>
      <c r="P994" s="1"/>
      <c r="Q994" s="1"/>
      <c r="R994" s="1"/>
      <c r="S994" s="1"/>
    </row>
    <row r="995" spans="1:19" ht="33.75" customHeight="1">
      <c r="A995" s="1" t="s">
        <v>2892</v>
      </c>
      <c r="B995" s="1" t="s">
        <v>2870</v>
      </c>
      <c r="C995" s="1">
        <v>17</v>
      </c>
      <c r="D995" s="4">
        <v>39876.904861111114</v>
      </c>
      <c r="E995" s="1" t="s">
        <v>2893</v>
      </c>
      <c r="F995" s="1"/>
      <c r="G995" s="1"/>
      <c r="H995" s="1"/>
      <c r="I995" s="1"/>
      <c r="J995" s="1"/>
      <c r="K995" s="1"/>
      <c r="L995" s="1"/>
      <c r="M995" s="1"/>
      <c r="N995" s="1"/>
      <c r="O995" s="1"/>
      <c r="P995" s="1"/>
      <c r="Q995" s="1"/>
      <c r="R995" s="1"/>
      <c r="S995" s="1"/>
    </row>
    <row r="996" spans="1:19" ht="33.75" customHeight="1">
      <c r="A996" s="1" t="s">
        <v>2895</v>
      </c>
      <c r="B996" s="1" t="s">
        <v>2870</v>
      </c>
      <c r="C996" s="1">
        <v>17</v>
      </c>
      <c r="D996" s="4">
        <v>39876.95416666667</v>
      </c>
      <c r="E996" s="1" t="s">
        <v>54</v>
      </c>
      <c r="F996" s="1"/>
      <c r="G996" s="1"/>
      <c r="H996" s="1"/>
      <c r="I996" s="1"/>
      <c r="J996" s="1"/>
      <c r="K996" s="1"/>
      <c r="L996" s="1"/>
      <c r="M996" s="1"/>
      <c r="N996" s="1"/>
      <c r="O996" s="1"/>
      <c r="P996" s="1"/>
      <c r="Q996" s="1"/>
      <c r="R996" s="1"/>
      <c r="S996" s="1"/>
    </row>
    <row r="997" spans="1:19" ht="33.75" customHeight="1">
      <c r="A997" s="1" t="s">
        <v>2897</v>
      </c>
      <c r="B997" s="1" t="s">
        <v>2870</v>
      </c>
      <c r="C997" s="1">
        <v>17</v>
      </c>
      <c r="D997" s="4">
        <v>39877.317361111112</v>
      </c>
      <c r="E997" s="1" t="s">
        <v>84</v>
      </c>
      <c r="F997" s="1"/>
      <c r="G997" s="1"/>
      <c r="H997" s="1"/>
      <c r="I997" s="1"/>
      <c r="J997" s="1"/>
      <c r="K997" s="1"/>
      <c r="L997" s="1"/>
      <c r="M997" s="1"/>
      <c r="N997" s="1"/>
      <c r="O997" s="1"/>
      <c r="P997" s="1"/>
      <c r="Q997" s="1"/>
      <c r="R997" s="1"/>
      <c r="S997" s="1"/>
    </row>
    <row r="998" spans="1:19" ht="33.75" customHeight="1">
      <c r="A998" s="1" t="s">
        <v>2900</v>
      </c>
      <c r="B998" s="1" t="s">
        <v>2870</v>
      </c>
      <c r="C998" s="1">
        <v>17</v>
      </c>
      <c r="D998" s="4">
        <v>39877.34652777778</v>
      </c>
      <c r="E998" s="1" t="s">
        <v>1089</v>
      </c>
      <c r="F998" s="1"/>
      <c r="G998" s="1"/>
      <c r="H998" s="1"/>
      <c r="I998" s="1"/>
      <c r="J998" s="1"/>
      <c r="K998" s="1"/>
      <c r="L998" s="1"/>
      <c r="M998" s="1"/>
      <c r="N998" s="1"/>
      <c r="O998" s="1"/>
      <c r="P998" s="1"/>
      <c r="Q998" s="1"/>
      <c r="R998" s="1"/>
      <c r="S998" s="1"/>
    </row>
    <row r="999" spans="1:19" ht="33.75" customHeight="1">
      <c r="A999" s="1" t="s">
        <v>2902</v>
      </c>
      <c r="B999" s="1" t="s">
        <v>2870</v>
      </c>
      <c r="C999" s="1">
        <v>17</v>
      </c>
      <c r="D999" s="4">
        <v>39877.352083333331</v>
      </c>
      <c r="E999" s="1" t="s">
        <v>2893</v>
      </c>
      <c r="F999" s="1"/>
      <c r="G999" s="1"/>
      <c r="H999" s="1"/>
      <c r="I999" s="1"/>
      <c r="J999" s="1"/>
      <c r="K999" s="1"/>
      <c r="L999" s="1"/>
      <c r="M999" s="1"/>
      <c r="N999" s="1"/>
      <c r="O999" s="1"/>
      <c r="P999" s="1"/>
      <c r="Q999" s="1"/>
      <c r="R999" s="1"/>
      <c r="S999" s="1"/>
    </row>
    <row r="1000" spans="1:19" ht="33.75" customHeight="1">
      <c r="A1000" s="1" t="s">
        <v>2905</v>
      </c>
      <c r="B1000" s="1" t="s">
        <v>2870</v>
      </c>
      <c r="C1000" s="1">
        <v>17</v>
      </c>
      <c r="D1000" s="4">
        <v>39877.365277777775</v>
      </c>
      <c r="E1000" s="1" t="s">
        <v>2893</v>
      </c>
      <c r="F1000" s="1"/>
      <c r="G1000" s="1"/>
      <c r="H1000" s="1"/>
      <c r="I1000" s="1"/>
      <c r="J1000" s="1"/>
      <c r="K1000" s="1"/>
      <c r="L1000" s="1"/>
      <c r="M1000" s="1"/>
      <c r="N1000" s="1"/>
      <c r="O1000" s="1"/>
      <c r="P1000" s="1"/>
      <c r="Q1000" s="1"/>
      <c r="R1000" s="1"/>
      <c r="S1000" s="1"/>
    </row>
    <row r="1001" spans="1:19" ht="33.75" customHeight="1">
      <c r="A1001" s="1" t="s">
        <v>2907</v>
      </c>
      <c r="B1001" s="1" t="s">
        <v>2870</v>
      </c>
      <c r="C1001" s="1">
        <v>17</v>
      </c>
      <c r="D1001" s="4">
        <v>39877.371527777781</v>
      </c>
      <c r="E1001" s="1" t="s">
        <v>54</v>
      </c>
      <c r="F1001" s="1"/>
      <c r="G1001" s="1"/>
      <c r="H1001" s="1"/>
      <c r="I1001" s="1"/>
      <c r="J1001" s="1"/>
      <c r="K1001" s="1"/>
      <c r="L1001" s="1"/>
      <c r="M1001" s="1"/>
      <c r="N1001" s="1"/>
      <c r="O1001" s="1"/>
      <c r="P1001" s="1"/>
      <c r="Q1001" s="1"/>
      <c r="R1001" s="1"/>
      <c r="S1001" s="1"/>
    </row>
    <row r="1002" spans="1:19" ht="33.75" customHeight="1">
      <c r="A1002" s="1" t="s">
        <v>2909</v>
      </c>
      <c r="B1002" s="1" t="s">
        <v>2870</v>
      </c>
      <c r="C1002" s="1">
        <v>17</v>
      </c>
      <c r="D1002" s="4">
        <v>39877.382638888892</v>
      </c>
      <c r="E1002" s="1" t="s">
        <v>2893</v>
      </c>
      <c r="F1002" s="1"/>
      <c r="G1002" s="1"/>
      <c r="H1002" s="1"/>
      <c r="I1002" s="1"/>
      <c r="J1002" s="1"/>
      <c r="K1002" s="1"/>
      <c r="L1002" s="1"/>
      <c r="M1002" s="1"/>
      <c r="N1002" s="1"/>
      <c r="O1002" s="1"/>
      <c r="P1002" s="1"/>
      <c r="Q1002" s="1"/>
      <c r="R1002" s="1"/>
      <c r="S1002" s="1"/>
    </row>
    <row r="1003" spans="1:19" ht="33.75" customHeight="1">
      <c r="A1003" s="1" t="s">
        <v>2911</v>
      </c>
      <c r="B1003" s="1" t="s">
        <v>2870</v>
      </c>
      <c r="C1003" s="1">
        <v>17</v>
      </c>
      <c r="D1003" s="4">
        <v>39877.385416666664</v>
      </c>
      <c r="E1003" s="1" t="s">
        <v>54</v>
      </c>
      <c r="F1003" s="1"/>
      <c r="G1003" s="1"/>
      <c r="H1003" s="1"/>
      <c r="I1003" s="1"/>
      <c r="J1003" s="1"/>
      <c r="K1003" s="1"/>
      <c r="L1003" s="1"/>
      <c r="M1003" s="1"/>
      <c r="N1003" s="1"/>
      <c r="O1003" s="1"/>
      <c r="P1003" s="1"/>
      <c r="Q1003" s="1"/>
      <c r="R1003" s="1"/>
      <c r="S1003" s="1"/>
    </row>
    <row r="1004" spans="1:19" ht="33.75" customHeight="1">
      <c r="A1004" s="1" t="s">
        <v>2913</v>
      </c>
      <c r="B1004" s="1" t="s">
        <v>2870</v>
      </c>
      <c r="C1004" s="1">
        <v>17</v>
      </c>
      <c r="D1004" s="4">
        <v>39877.387499999997</v>
      </c>
      <c r="E1004" s="1" t="s">
        <v>84</v>
      </c>
      <c r="F1004" s="1"/>
      <c r="G1004" s="1"/>
      <c r="H1004" s="1"/>
      <c r="I1004" s="1"/>
      <c r="J1004" s="1"/>
      <c r="K1004" s="1"/>
      <c r="L1004" s="1"/>
      <c r="M1004" s="1"/>
      <c r="N1004" s="1"/>
      <c r="O1004" s="1"/>
      <c r="P1004" s="1"/>
      <c r="Q1004" s="1"/>
      <c r="R1004" s="1"/>
      <c r="S1004" s="1"/>
    </row>
    <row r="1005" spans="1:19" ht="33.75" customHeight="1">
      <c r="A1005" s="1" t="s">
        <v>2916</v>
      </c>
      <c r="B1005" s="1" t="s">
        <v>2870</v>
      </c>
      <c r="C1005" s="1">
        <v>17</v>
      </c>
      <c r="D1005" s="4">
        <v>39877.390277777777</v>
      </c>
      <c r="E1005" s="1" t="s">
        <v>54</v>
      </c>
      <c r="F1005" s="1"/>
      <c r="G1005" s="1"/>
      <c r="H1005" s="1"/>
      <c r="I1005" s="1"/>
      <c r="J1005" s="1"/>
      <c r="K1005" s="1"/>
      <c r="L1005" s="1"/>
      <c r="M1005" s="1"/>
      <c r="N1005" s="1"/>
      <c r="O1005" s="1"/>
      <c r="P1005" s="1"/>
      <c r="Q1005" s="1"/>
      <c r="R1005" s="1"/>
      <c r="S1005" s="1"/>
    </row>
    <row r="1006" spans="1:19" ht="33.75" customHeight="1">
      <c r="A1006" s="1" t="s">
        <v>2918</v>
      </c>
      <c r="B1006" s="1" t="s">
        <v>2870</v>
      </c>
      <c r="C1006" s="1">
        <v>17</v>
      </c>
      <c r="D1006" s="4">
        <v>39877.486111111109</v>
      </c>
      <c r="E1006" s="1" t="s">
        <v>772</v>
      </c>
      <c r="F1006" s="1"/>
      <c r="G1006" s="1"/>
      <c r="H1006" s="1"/>
      <c r="I1006" s="1"/>
      <c r="J1006" s="1"/>
      <c r="K1006" s="1"/>
      <c r="L1006" s="1"/>
      <c r="M1006" s="1"/>
      <c r="N1006" s="1"/>
      <c r="O1006" s="1"/>
      <c r="P1006" s="1"/>
      <c r="Q1006" s="1"/>
      <c r="R1006" s="1"/>
      <c r="S1006" s="1"/>
    </row>
    <row r="1007" spans="1:19" ht="33.75" customHeight="1">
      <c r="A1007" s="1" t="s">
        <v>2920</v>
      </c>
      <c r="B1007" s="1" t="s">
        <v>2870</v>
      </c>
      <c r="C1007" s="1">
        <v>17</v>
      </c>
      <c r="D1007" s="4">
        <v>39877.513888888891</v>
      </c>
      <c r="E1007" s="1" t="s">
        <v>772</v>
      </c>
      <c r="F1007" s="1"/>
      <c r="G1007" s="1"/>
      <c r="H1007" s="1"/>
      <c r="I1007" s="1"/>
      <c r="J1007" s="1"/>
      <c r="K1007" s="1"/>
      <c r="L1007" s="1"/>
      <c r="M1007" s="1"/>
      <c r="N1007" s="1"/>
      <c r="O1007" s="1"/>
      <c r="P1007" s="1"/>
      <c r="Q1007" s="1"/>
      <c r="R1007" s="1"/>
      <c r="S1007" s="1"/>
    </row>
    <row r="1008" spans="1:19" ht="33.75" customHeight="1">
      <c r="A1008" s="1" t="s">
        <v>2922</v>
      </c>
      <c r="B1008" s="1" t="s">
        <v>2870</v>
      </c>
      <c r="C1008" s="1">
        <v>17</v>
      </c>
      <c r="D1008" s="4">
        <v>39877.525694444441</v>
      </c>
      <c r="E1008" s="1" t="s">
        <v>772</v>
      </c>
      <c r="F1008" s="1"/>
      <c r="G1008" s="1"/>
      <c r="H1008" s="1"/>
      <c r="I1008" s="1"/>
      <c r="J1008" s="1"/>
      <c r="K1008" s="1"/>
      <c r="L1008" s="1"/>
      <c r="M1008" s="1"/>
      <c r="N1008" s="1"/>
      <c r="O1008" s="1"/>
      <c r="P1008" s="1"/>
      <c r="Q1008" s="1"/>
      <c r="R1008" s="1"/>
      <c r="S1008" s="1"/>
    </row>
    <row r="1009" spans="1:19" ht="33.75" customHeight="1">
      <c r="A1009" s="1" t="s">
        <v>2924</v>
      </c>
      <c r="B1009" s="1" t="s">
        <v>2636</v>
      </c>
      <c r="C1009" s="1">
        <v>16</v>
      </c>
      <c r="D1009" s="4">
        <v>39877.625</v>
      </c>
      <c r="E1009" s="1" t="s">
        <v>2925</v>
      </c>
      <c r="F1009" s="1"/>
      <c r="G1009" s="1"/>
      <c r="H1009" s="1"/>
      <c r="I1009" s="1"/>
      <c r="J1009" s="1"/>
      <c r="K1009" s="1"/>
      <c r="L1009" s="1"/>
      <c r="M1009" s="1"/>
      <c r="N1009" s="1"/>
      <c r="O1009" s="1"/>
      <c r="P1009" s="1"/>
      <c r="Q1009" s="1"/>
      <c r="R1009" s="1"/>
      <c r="S1009" s="1"/>
    </row>
    <row r="1010" spans="1:19" ht="33.75" customHeight="1">
      <c r="A1010" s="1" t="s">
        <v>2927</v>
      </c>
      <c r="B1010" s="1" t="s">
        <v>2636</v>
      </c>
      <c r="C1010" s="1">
        <v>16</v>
      </c>
      <c r="D1010" s="4">
        <v>39877.852777777778</v>
      </c>
      <c r="E1010" s="1" t="s">
        <v>14</v>
      </c>
      <c r="F1010" s="1"/>
      <c r="G1010" s="1"/>
      <c r="H1010" s="1"/>
      <c r="I1010" s="1"/>
      <c r="J1010" s="1"/>
      <c r="K1010" s="1"/>
      <c r="L1010" s="1"/>
      <c r="M1010" s="1"/>
      <c r="N1010" s="1"/>
      <c r="O1010" s="1"/>
      <c r="P1010" s="1"/>
      <c r="Q1010" s="1"/>
      <c r="R1010" s="1"/>
      <c r="S1010" s="1"/>
    </row>
    <row r="1011" spans="1:19" ht="33.75" customHeight="1">
      <c r="A1011" s="1" t="s">
        <v>2931</v>
      </c>
      <c r="B1011" s="1" t="s">
        <v>2870</v>
      </c>
      <c r="C1011" s="1">
        <v>17</v>
      </c>
      <c r="D1011" s="4">
        <v>39877.92083333333</v>
      </c>
      <c r="E1011" s="1" t="s">
        <v>1089</v>
      </c>
      <c r="F1011" s="1"/>
      <c r="G1011" s="1"/>
      <c r="H1011" s="1"/>
      <c r="I1011" s="1"/>
      <c r="J1011" s="1"/>
      <c r="K1011" s="1"/>
      <c r="L1011" s="1"/>
      <c r="M1011" s="1"/>
      <c r="N1011" s="1"/>
      <c r="O1011" s="1"/>
      <c r="P1011" s="1"/>
      <c r="Q1011" s="1"/>
      <c r="R1011" s="1"/>
      <c r="S1011" s="1"/>
    </row>
    <row r="1012" spans="1:19" ht="33.75" customHeight="1">
      <c r="A1012" s="1" t="s">
        <v>2933</v>
      </c>
      <c r="B1012" s="1" t="s">
        <v>2870</v>
      </c>
      <c r="C1012" s="1">
        <v>17</v>
      </c>
      <c r="D1012" s="4">
        <v>39878.293749999997</v>
      </c>
      <c r="E1012" s="1" t="s">
        <v>2893</v>
      </c>
      <c r="F1012" s="1"/>
      <c r="G1012" s="1"/>
      <c r="H1012" s="1"/>
      <c r="I1012" s="1"/>
      <c r="J1012" s="1"/>
      <c r="K1012" s="1"/>
      <c r="L1012" s="1"/>
      <c r="M1012" s="1"/>
      <c r="N1012" s="1"/>
      <c r="O1012" s="1"/>
      <c r="P1012" s="1"/>
      <c r="Q1012" s="1"/>
      <c r="R1012" s="1"/>
      <c r="S1012" s="1"/>
    </row>
    <row r="1013" spans="1:19" ht="33.75" customHeight="1">
      <c r="A1013" s="1" t="s">
        <v>2935</v>
      </c>
      <c r="B1013" s="1" t="s">
        <v>2870</v>
      </c>
      <c r="C1013" s="1">
        <v>17</v>
      </c>
      <c r="D1013" s="4">
        <v>39878.306944444441</v>
      </c>
      <c r="E1013" s="1" t="s">
        <v>2893</v>
      </c>
      <c r="F1013" s="1"/>
      <c r="G1013" s="1"/>
      <c r="H1013" s="1"/>
      <c r="I1013" s="1"/>
      <c r="J1013" s="1"/>
      <c r="K1013" s="1"/>
      <c r="L1013" s="1"/>
      <c r="M1013" s="1"/>
      <c r="N1013" s="1"/>
      <c r="O1013" s="1"/>
      <c r="P1013" s="1"/>
      <c r="Q1013" s="1"/>
      <c r="R1013" s="1"/>
      <c r="S1013" s="1"/>
    </row>
    <row r="1014" spans="1:19" ht="33.75" customHeight="1">
      <c r="A1014" s="1" t="s">
        <v>2938</v>
      </c>
      <c r="B1014" s="1" t="s">
        <v>2870</v>
      </c>
      <c r="C1014" s="1">
        <v>17</v>
      </c>
      <c r="D1014" s="4">
        <v>39878.325694444444</v>
      </c>
      <c r="E1014" s="1" t="s">
        <v>54</v>
      </c>
      <c r="F1014" s="1"/>
      <c r="G1014" s="1"/>
      <c r="H1014" s="1"/>
      <c r="I1014" s="1"/>
      <c r="J1014" s="1"/>
      <c r="K1014" s="1"/>
      <c r="L1014" s="1"/>
      <c r="M1014" s="1"/>
      <c r="N1014" s="1"/>
      <c r="O1014" s="1"/>
      <c r="P1014" s="1"/>
      <c r="Q1014" s="1"/>
      <c r="R1014" s="1"/>
      <c r="S1014" s="1"/>
    </row>
    <row r="1015" spans="1:19" ht="33.75" customHeight="1">
      <c r="A1015" s="1" t="s">
        <v>2941</v>
      </c>
      <c r="B1015" s="1" t="s">
        <v>2870</v>
      </c>
      <c r="C1015" s="1">
        <v>17</v>
      </c>
      <c r="D1015" s="4">
        <v>39878.409722222219</v>
      </c>
      <c r="E1015" s="1" t="s">
        <v>84</v>
      </c>
      <c r="F1015" s="1"/>
      <c r="G1015" s="1"/>
      <c r="H1015" s="1"/>
      <c r="I1015" s="1"/>
      <c r="J1015" s="1"/>
      <c r="K1015" s="1"/>
      <c r="L1015" s="1"/>
      <c r="M1015" s="1"/>
      <c r="N1015" s="1"/>
      <c r="O1015" s="1"/>
      <c r="P1015" s="1"/>
      <c r="Q1015" s="1"/>
      <c r="R1015" s="1"/>
      <c r="S1015" s="1"/>
    </row>
    <row r="1016" spans="1:19" ht="33.75" customHeight="1">
      <c r="A1016" s="1" t="s">
        <v>2943</v>
      </c>
      <c r="B1016" s="1" t="s">
        <v>2870</v>
      </c>
      <c r="C1016" s="1">
        <v>17</v>
      </c>
      <c r="D1016" s="4">
        <v>39878.42291666667</v>
      </c>
      <c r="E1016" s="1" t="s">
        <v>84</v>
      </c>
      <c r="F1016" s="1"/>
      <c r="G1016" s="1"/>
      <c r="H1016" s="1"/>
      <c r="I1016" s="1"/>
      <c r="J1016" s="1"/>
      <c r="K1016" s="1"/>
      <c r="L1016" s="1"/>
      <c r="M1016" s="1"/>
      <c r="N1016" s="1"/>
      <c r="O1016" s="1"/>
      <c r="P1016" s="1"/>
      <c r="Q1016" s="1"/>
      <c r="R1016" s="1"/>
      <c r="S1016" s="1"/>
    </row>
    <row r="1017" spans="1:19" ht="33.75" customHeight="1">
      <c r="A1017" s="1" t="s">
        <v>2945</v>
      </c>
      <c r="B1017" s="1" t="s">
        <v>2870</v>
      </c>
      <c r="C1017" s="1">
        <v>17</v>
      </c>
      <c r="D1017" s="4">
        <v>39878.47152777778</v>
      </c>
      <c r="E1017" s="1" t="s">
        <v>772</v>
      </c>
      <c r="F1017" s="1"/>
      <c r="G1017" s="1"/>
      <c r="H1017" s="1"/>
      <c r="I1017" s="1"/>
      <c r="J1017" s="1"/>
      <c r="K1017" s="1"/>
      <c r="L1017" s="1"/>
      <c r="M1017" s="1"/>
      <c r="N1017" s="1"/>
      <c r="O1017" s="1"/>
      <c r="P1017" s="1"/>
      <c r="Q1017" s="1"/>
      <c r="R1017" s="1"/>
      <c r="S1017" s="1"/>
    </row>
    <row r="1018" spans="1:19" ht="33.75" customHeight="1">
      <c r="A1018" s="1" t="s">
        <v>2947</v>
      </c>
      <c r="B1018" s="1" t="s">
        <v>2870</v>
      </c>
      <c r="C1018" s="1">
        <v>17</v>
      </c>
      <c r="D1018" s="4">
        <v>39878.518055555556</v>
      </c>
      <c r="E1018" s="1" t="s">
        <v>772</v>
      </c>
      <c r="F1018" s="1"/>
      <c r="G1018" s="1"/>
      <c r="H1018" s="1"/>
      <c r="I1018" s="1"/>
      <c r="J1018" s="1"/>
      <c r="K1018" s="1"/>
      <c r="L1018" s="1"/>
      <c r="M1018" s="1"/>
      <c r="N1018" s="1"/>
      <c r="O1018" s="1"/>
      <c r="P1018" s="1"/>
      <c r="Q1018" s="1"/>
      <c r="R1018" s="1"/>
      <c r="S1018" s="1"/>
    </row>
    <row r="1019" spans="1:19" ht="33.75" customHeight="1">
      <c r="A1019" s="1" t="s">
        <v>2949</v>
      </c>
      <c r="B1019" s="1" t="s">
        <v>2870</v>
      </c>
      <c r="C1019" s="1">
        <v>17</v>
      </c>
      <c r="D1019" s="4">
        <v>39878.54583333333</v>
      </c>
      <c r="E1019" s="1" t="s">
        <v>772</v>
      </c>
      <c r="F1019" s="1"/>
      <c r="G1019" s="1"/>
      <c r="H1019" s="1"/>
      <c r="I1019" s="1"/>
      <c r="J1019" s="1"/>
      <c r="K1019" s="1"/>
      <c r="L1019" s="1"/>
      <c r="M1019" s="1"/>
      <c r="N1019" s="1"/>
      <c r="O1019" s="1"/>
      <c r="P1019" s="1"/>
      <c r="Q1019" s="1"/>
      <c r="R1019" s="1"/>
      <c r="S1019" s="1"/>
    </row>
    <row r="1020" spans="1:19" ht="33.75" customHeight="1">
      <c r="A1020" s="1" t="s">
        <v>2951</v>
      </c>
      <c r="B1020" s="1" t="s">
        <v>2870</v>
      </c>
      <c r="C1020" s="1">
        <v>17</v>
      </c>
      <c r="D1020" s="4">
        <v>39878.586111111108</v>
      </c>
      <c r="E1020" s="1" t="s">
        <v>1887</v>
      </c>
      <c r="F1020" s="1"/>
      <c r="G1020" s="1"/>
      <c r="H1020" s="1"/>
      <c r="I1020" s="1"/>
      <c r="J1020" s="1"/>
      <c r="K1020" s="1"/>
      <c r="L1020" s="1"/>
      <c r="M1020" s="1"/>
      <c r="N1020" s="1"/>
      <c r="O1020" s="1"/>
      <c r="P1020" s="1"/>
      <c r="Q1020" s="1"/>
      <c r="R1020" s="1"/>
      <c r="S1020" s="1"/>
    </row>
    <row r="1021" spans="1:19" ht="33.75" customHeight="1">
      <c r="A1021" s="1" t="s">
        <v>2953</v>
      </c>
      <c r="B1021" s="1" t="s">
        <v>2870</v>
      </c>
      <c r="C1021" s="1">
        <v>17</v>
      </c>
      <c r="D1021" s="4">
        <v>39878.586111111108</v>
      </c>
      <c r="E1021" s="1" t="s">
        <v>1887</v>
      </c>
      <c r="F1021" s="1"/>
      <c r="G1021" s="1"/>
      <c r="H1021" s="1"/>
      <c r="I1021" s="1"/>
      <c r="J1021" s="1"/>
      <c r="K1021" s="1"/>
      <c r="L1021" s="1"/>
      <c r="M1021" s="1"/>
      <c r="N1021" s="1"/>
      <c r="O1021" s="1"/>
      <c r="P1021" s="1"/>
      <c r="Q1021" s="1"/>
      <c r="R1021" s="1"/>
      <c r="S1021" s="1"/>
    </row>
    <row r="1022" spans="1:19" ht="33.75" customHeight="1">
      <c r="A1022" s="1" t="s">
        <v>2955</v>
      </c>
      <c r="B1022" s="1" t="s">
        <v>2870</v>
      </c>
      <c r="C1022" s="1">
        <v>17</v>
      </c>
      <c r="D1022" s="4">
        <v>39878.586805555555</v>
      </c>
      <c r="E1022" s="1" t="s">
        <v>1887</v>
      </c>
      <c r="F1022" s="1"/>
      <c r="G1022" s="1"/>
      <c r="H1022" s="1"/>
      <c r="I1022" s="1"/>
      <c r="J1022" s="1"/>
      <c r="K1022" s="1"/>
      <c r="L1022" s="1"/>
      <c r="M1022" s="1"/>
      <c r="N1022" s="1"/>
      <c r="O1022" s="1"/>
      <c r="P1022" s="1"/>
      <c r="Q1022" s="1"/>
      <c r="R1022" s="1"/>
      <c r="S1022" s="1"/>
    </row>
    <row r="1023" spans="1:19" ht="33.75" customHeight="1">
      <c r="A1023" s="1" t="s">
        <v>2957</v>
      </c>
      <c r="B1023" s="1" t="s">
        <v>2870</v>
      </c>
      <c r="C1023" s="1">
        <v>17</v>
      </c>
      <c r="D1023" s="4">
        <v>39878.586805555555</v>
      </c>
      <c r="E1023" s="1" t="s">
        <v>1887</v>
      </c>
      <c r="F1023" s="1"/>
      <c r="G1023" s="1"/>
      <c r="H1023" s="1"/>
      <c r="I1023" s="1"/>
      <c r="J1023" s="1"/>
      <c r="K1023" s="1"/>
      <c r="L1023" s="1"/>
      <c r="M1023" s="1"/>
      <c r="N1023" s="1"/>
      <c r="O1023" s="1"/>
      <c r="P1023" s="1"/>
      <c r="Q1023" s="1"/>
      <c r="R1023" s="1"/>
      <c r="S1023" s="1"/>
    </row>
    <row r="1024" spans="1:19" ht="33.75" customHeight="1">
      <c r="A1024" s="1" t="s">
        <v>2959</v>
      </c>
      <c r="B1024" s="1" t="s">
        <v>2870</v>
      </c>
      <c r="C1024" s="1">
        <v>17</v>
      </c>
      <c r="D1024" s="4">
        <v>39878.587500000001</v>
      </c>
      <c r="E1024" s="1" t="s">
        <v>1887</v>
      </c>
      <c r="F1024" s="1"/>
      <c r="G1024" s="1"/>
      <c r="H1024" s="1"/>
      <c r="I1024" s="1"/>
      <c r="J1024" s="1"/>
      <c r="K1024" s="1"/>
      <c r="L1024" s="1"/>
      <c r="M1024" s="1"/>
      <c r="N1024" s="1"/>
      <c r="O1024" s="1"/>
      <c r="P1024" s="1"/>
      <c r="Q1024" s="1"/>
      <c r="R1024" s="1"/>
      <c r="S1024" s="1"/>
    </row>
    <row r="1025" spans="1:19" ht="33.75" customHeight="1">
      <c r="A1025" s="1" t="s">
        <v>2961</v>
      </c>
      <c r="B1025" s="1" t="s">
        <v>2870</v>
      </c>
      <c r="C1025" s="1">
        <v>17</v>
      </c>
      <c r="D1025" s="4">
        <v>39878.665277777778</v>
      </c>
      <c r="E1025" s="1" t="s">
        <v>2893</v>
      </c>
      <c r="F1025" s="1"/>
      <c r="G1025" s="1"/>
      <c r="H1025" s="1"/>
      <c r="I1025" s="1"/>
      <c r="J1025" s="1"/>
      <c r="K1025" s="1"/>
      <c r="L1025" s="1"/>
      <c r="M1025" s="1"/>
      <c r="N1025" s="1"/>
      <c r="O1025" s="1"/>
      <c r="P1025" s="1"/>
      <c r="Q1025" s="1"/>
      <c r="R1025" s="1"/>
      <c r="S1025" s="1"/>
    </row>
    <row r="1026" spans="1:19" ht="33.75" customHeight="1">
      <c r="A1026" s="1" t="s">
        <v>2963</v>
      </c>
      <c r="B1026" s="1" t="s">
        <v>2870</v>
      </c>
      <c r="C1026" s="1">
        <v>17</v>
      </c>
      <c r="D1026" s="4">
        <v>39878.668055555558</v>
      </c>
      <c r="E1026" s="1" t="s">
        <v>54</v>
      </c>
      <c r="F1026" s="1"/>
      <c r="G1026" s="1"/>
      <c r="H1026" s="1"/>
      <c r="I1026" s="1"/>
      <c r="J1026" s="1"/>
      <c r="K1026" s="1"/>
      <c r="L1026" s="1"/>
      <c r="M1026" s="1"/>
      <c r="N1026" s="1"/>
      <c r="O1026" s="1"/>
      <c r="P1026" s="1"/>
      <c r="Q1026" s="1"/>
      <c r="R1026" s="1"/>
      <c r="S1026" s="1"/>
    </row>
    <row r="1027" spans="1:19" ht="33.75" customHeight="1">
      <c r="A1027" s="1" t="s">
        <v>2965</v>
      </c>
      <c r="B1027" s="1" t="s">
        <v>2870</v>
      </c>
      <c r="C1027" s="1">
        <v>17</v>
      </c>
      <c r="D1027" s="4">
        <v>39878.774305555555</v>
      </c>
      <c r="E1027" s="1" t="s">
        <v>2966</v>
      </c>
      <c r="F1027" s="1"/>
      <c r="G1027" s="1"/>
      <c r="H1027" s="1"/>
      <c r="I1027" s="1"/>
      <c r="J1027" s="1"/>
      <c r="K1027" s="1"/>
      <c r="L1027" s="1"/>
      <c r="M1027" s="1"/>
      <c r="N1027" s="1"/>
      <c r="O1027" s="1"/>
      <c r="P1027" s="1"/>
      <c r="Q1027" s="1"/>
      <c r="R1027" s="1"/>
      <c r="S1027" s="1"/>
    </row>
    <row r="1028" spans="1:19" ht="33.75" customHeight="1">
      <c r="A1028" s="1" t="s">
        <v>2970</v>
      </c>
      <c r="B1028" s="1" t="s">
        <v>2636</v>
      </c>
      <c r="C1028" s="1">
        <v>16</v>
      </c>
      <c r="D1028" s="4">
        <v>39878.902083333334</v>
      </c>
      <c r="E1028" s="1" t="s">
        <v>320</v>
      </c>
      <c r="F1028" s="1"/>
      <c r="G1028" s="1"/>
      <c r="H1028" s="1"/>
      <c r="I1028" s="1"/>
      <c r="J1028" s="1"/>
      <c r="K1028" s="1"/>
      <c r="L1028" s="1"/>
      <c r="M1028" s="1"/>
      <c r="N1028" s="1"/>
      <c r="O1028" s="1"/>
      <c r="P1028" s="1"/>
      <c r="Q1028" s="1"/>
      <c r="R1028" s="1"/>
      <c r="S1028" s="1"/>
    </row>
    <row r="1029" spans="1:19" ht="33.75" customHeight="1">
      <c r="A1029" s="1" t="s">
        <v>2972</v>
      </c>
      <c r="B1029" s="1" t="s">
        <v>2636</v>
      </c>
      <c r="C1029" s="1">
        <v>16</v>
      </c>
      <c r="D1029" s="4">
        <v>39878.904166666667</v>
      </c>
      <c r="E1029" s="1" t="s">
        <v>320</v>
      </c>
      <c r="F1029" s="1"/>
      <c r="G1029" s="1"/>
      <c r="H1029" s="1"/>
      <c r="I1029" s="1"/>
      <c r="J1029" s="1"/>
      <c r="K1029" s="1"/>
      <c r="L1029" s="1"/>
      <c r="M1029" s="1"/>
      <c r="N1029" s="1"/>
      <c r="O1029" s="1"/>
      <c r="P1029" s="1"/>
      <c r="Q1029" s="1"/>
      <c r="R1029" s="1"/>
      <c r="S1029" s="1"/>
    </row>
    <row r="1030" spans="1:19" ht="33.75" customHeight="1">
      <c r="A1030" s="1" t="s">
        <v>2974</v>
      </c>
      <c r="B1030" s="1" t="s">
        <v>2636</v>
      </c>
      <c r="C1030" s="1">
        <v>16</v>
      </c>
      <c r="D1030" s="4">
        <v>39878.951388888891</v>
      </c>
      <c r="E1030" s="1" t="s">
        <v>314</v>
      </c>
      <c r="F1030" s="1"/>
      <c r="G1030" s="1"/>
      <c r="H1030" s="1"/>
      <c r="I1030" s="1"/>
      <c r="J1030" s="1"/>
      <c r="K1030" s="1"/>
      <c r="L1030" s="1"/>
      <c r="M1030" s="1"/>
      <c r="N1030" s="1"/>
      <c r="O1030" s="1"/>
      <c r="P1030" s="1"/>
      <c r="Q1030" s="1"/>
      <c r="R1030" s="1"/>
      <c r="S1030" s="1"/>
    </row>
    <row r="1031" spans="1:19" ht="33.75" customHeight="1">
      <c r="A1031" s="1" t="s">
        <v>2976</v>
      </c>
      <c r="B1031" s="1" t="s">
        <v>2636</v>
      </c>
      <c r="C1031" s="1">
        <v>16</v>
      </c>
      <c r="D1031" s="4">
        <v>39878.963194444441</v>
      </c>
      <c r="E1031" s="1" t="s">
        <v>14</v>
      </c>
      <c r="F1031" s="1"/>
      <c r="G1031" s="1"/>
      <c r="H1031" s="1"/>
      <c r="I1031" s="1"/>
      <c r="J1031" s="1"/>
      <c r="K1031" s="1"/>
      <c r="L1031" s="1"/>
      <c r="M1031" s="1"/>
      <c r="N1031" s="1"/>
      <c r="O1031" s="1"/>
      <c r="P1031" s="1"/>
      <c r="Q1031" s="1"/>
      <c r="R1031" s="1"/>
      <c r="S1031" s="1"/>
    </row>
    <row r="1032" spans="1:19" ht="33.75" customHeight="1">
      <c r="A1032" s="1" t="s">
        <v>2978</v>
      </c>
      <c r="B1032" s="1" t="s">
        <v>2636</v>
      </c>
      <c r="C1032" s="1">
        <v>16</v>
      </c>
      <c r="D1032" s="4">
        <v>39878.982638888891</v>
      </c>
      <c r="E1032" s="1" t="s">
        <v>14</v>
      </c>
      <c r="F1032" s="1"/>
      <c r="G1032" s="1"/>
      <c r="H1032" s="1"/>
      <c r="I1032" s="1"/>
      <c r="J1032" s="1"/>
      <c r="K1032" s="1"/>
      <c r="L1032" s="1"/>
      <c r="M1032" s="1"/>
      <c r="N1032" s="1"/>
      <c r="O1032" s="1"/>
      <c r="P1032" s="1"/>
      <c r="Q1032" s="1"/>
      <c r="R1032" s="1"/>
      <c r="S1032" s="1"/>
    </row>
    <row r="1033" spans="1:19" ht="33.75" customHeight="1">
      <c r="A1033" s="1" t="s">
        <v>2981</v>
      </c>
      <c r="B1033" s="1" t="s">
        <v>2636</v>
      </c>
      <c r="C1033" s="1">
        <v>16</v>
      </c>
      <c r="D1033" s="4">
        <v>39879.005555555559</v>
      </c>
      <c r="E1033" s="1" t="s">
        <v>14</v>
      </c>
      <c r="F1033" s="1"/>
      <c r="G1033" s="1"/>
      <c r="H1033" s="1"/>
      <c r="I1033" s="1"/>
      <c r="J1033" s="1"/>
      <c r="K1033" s="1"/>
      <c r="L1033" s="1"/>
      <c r="M1033" s="1"/>
      <c r="N1033" s="1"/>
      <c r="O1033" s="1"/>
      <c r="P1033" s="1"/>
      <c r="Q1033" s="1"/>
      <c r="R1033" s="1"/>
      <c r="S1033" s="1"/>
    </row>
    <row r="1034" spans="1:19" ht="33.75" customHeight="1">
      <c r="A1034" s="1" t="s">
        <v>2983</v>
      </c>
      <c r="B1034" s="1" t="s">
        <v>2636</v>
      </c>
      <c r="C1034" s="1">
        <v>16</v>
      </c>
      <c r="D1034" s="4">
        <v>39879.063888888886</v>
      </c>
      <c r="E1034" s="1" t="s">
        <v>54</v>
      </c>
      <c r="F1034" s="1"/>
      <c r="G1034" s="1"/>
      <c r="H1034" s="1"/>
      <c r="I1034" s="1"/>
      <c r="J1034" s="1"/>
      <c r="K1034" s="1"/>
      <c r="L1034" s="1"/>
      <c r="M1034" s="1"/>
      <c r="N1034" s="1"/>
      <c r="O1034" s="1"/>
      <c r="P1034" s="1"/>
      <c r="Q1034" s="1"/>
      <c r="R1034" s="1"/>
      <c r="S1034" s="1"/>
    </row>
    <row r="1035" spans="1:19" ht="33.75" customHeight="1">
      <c r="A1035" s="1" t="s">
        <v>2985</v>
      </c>
      <c r="B1035" s="1" t="s">
        <v>2870</v>
      </c>
      <c r="C1035" s="1">
        <v>17</v>
      </c>
      <c r="D1035" s="4">
        <v>39879.173611111109</v>
      </c>
      <c r="E1035" s="1" t="s">
        <v>1089</v>
      </c>
      <c r="F1035" s="1"/>
      <c r="G1035" s="1"/>
      <c r="H1035" s="1"/>
      <c r="I1035" s="1"/>
      <c r="J1035" s="1"/>
      <c r="K1035" s="1"/>
      <c r="L1035" s="1"/>
      <c r="M1035" s="1"/>
      <c r="N1035" s="1"/>
      <c r="O1035" s="1"/>
      <c r="P1035" s="1"/>
      <c r="Q1035" s="1"/>
      <c r="R1035" s="1"/>
      <c r="S1035" s="1"/>
    </row>
    <row r="1036" spans="1:19" ht="33.75" customHeight="1">
      <c r="A1036" s="1" t="s">
        <v>2987</v>
      </c>
      <c r="B1036" s="1" t="s">
        <v>2636</v>
      </c>
      <c r="C1036" s="1">
        <v>16</v>
      </c>
      <c r="D1036" s="4">
        <v>39879.461805555555</v>
      </c>
      <c r="E1036" s="1" t="s">
        <v>14</v>
      </c>
      <c r="F1036" s="1"/>
      <c r="G1036" s="1"/>
      <c r="H1036" s="1"/>
      <c r="I1036" s="1"/>
      <c r="J1036" s="1"/>
      <c r="K1036" s="1"/>
      <c r="L1036" s="1"/>
      <c r="M1036" s="1"/>
      <c r="N1036" s="1"/>
      <c r="O1036" s="1"/>
      <c r="P1036" s="1"/>
      <c r="Q1036" s="1"/>
      <c r="R1036" s="1"/>
      <c r="S1036" s="1"/>
    </row>
    <row r="1037" spans="1:19" ht="33.75" customHeight="1">
      <c r="A1037" s="1" t="s">
        <v>2989</v>
      </c>
      <c r="B1037" s="1" t="s">
        <v>2636</v>
      </c>
      <c r="C1037" s="1">
        <v>16</v>
      </c>
      <c r="D1037" s="4">
        <v>39879.470833333333</v>
      </c>
      <c r="E1037" s="1" t="s">
        <v>14</v>
      </c>
      <c r="F1037" s="1"/>
      <c r="G1037" s="1"/>
      <c r="H1037" s="1"/>
      <c r="I1037" s="1"/>
      <c r="J1037" s="1"/>
      <c r="K1037" s="1"/>
      <c r="L1037" s="1"/>
      <c r="M1037" s="1"/>
      <c r="N1037" s="1"/>
      <c r="O1037" s="1"/>
      <c r="P1037" s="1"/>
      <c r="Q1037" s="1"/>
      <c r="R1037" s="1"/>
      <c r="S1037" s="1"/>
    </row>
    <row r="1038" spans="1:19" ht="33.75" customHeight="1">
      <c r="A1038" s="1" t="s">
        <v>2991</v>
      </c>
      <c r="B1038" s="1" t="s">
        <v>2870</v>
      </c>
      <c r="C1038" s="1">
        <v>17</v>
      </c>
      <c r="D1038" s="4">
        <v>39879.51458333333</v>
      </c>
      <c r="E1038" s="1" t="s">
        <v>772</v>
      </c>
      <c r="F1038" s="1"/>
      <c r="G1038" s="1"/>
      <c r="H1038" s="1"/>
      <c r="I1038" s="1"/>
      <c r="J1038" s="1"/>
      <c r="K1038" s="1"/>
      <c r="L1038" s="1"/>
      <c r="M1038" s="1"/>
      <c r="N1038" s="1"/>
      <c r="O1038" s="1"/>
      <c r="P1038" s="1"/>
      <c r="Q1038" s="1"/>
      <c r="R1038" s="1"/>
      <c r="S1038" s="1"/>
    </row>
    <row r="1039" spans="1:19" ht="33.75" customHeight="1">
      <c r="A1039" s="1" t="s">
        <v>2993</v>
      </c>
      <c r="B1039" s="1" t="s">
        <v>2870</v>
      </c>
      <c r="C1039" s="1">
        <v>17</v>
      </c>
      <c r="D1039" s="4">
        <v>39879.536805555559</v>
      </c>
      <c r="E1039" s="1" t="s">
        <v>772</v>
      </c>
      <c r="F1039" s="1"/>
      <c r="G1039" s="1"/>
      <c r="H1039" s="1"/>
      <c r="I1039" s="1"/>
      <c r="J1039" s="1"/>
      <c r="K1039" s="1"/>
      <c r="L1039" s="1"/>
      <c r="M1039" s="1"/>
      <c r="N1039" s="1"/>
      <c r="O1039" s="1"/>
      <c r="P1039" s="1"/>
      <c r="Q1039" s="1"/>
      <c r="R1039" s="1"/>
      <c r="S1039" s="1"/>
    </row>
    <row r="1040" spans="1:19" ht="33.75" customHeight="1">
      <c r="A1040" s="1" t="s">
        <v>2995</v>
      </c>
      <c r="B1040" s="1" t="s">
        <v>2870</v>
      </c>
      <c r="C1040" s="1">
        <v>17</v>
      </c>
      <c r="D1040" s="4">
        <v>39879.597222222219</v>
      </c>
      <c r="E1040" s="1" t="s">
        <v>772</v>
      </c>
      <c r="F1040" s="1"/>
      <c r="G1040" s="1"/>
      <c r="H1040" s="1"/>
      <c r="I1040" s="1"/>
      <c r="J1040" s="1"/>
      <c r="K1040" s="1"/>
      <c r="L1040" s="1"/>
      <c r="M1040" s="1"/>
      <c r="N1040" s="1"/>
      <c r="O1040" s="1"/>
      <c r="P1040" s="1"/>
      <c r="Q1040" s="1"/>
      <c r="R1040" s="1"/>
      <c r="S1040" s="1"/>
    </row>
    <row r="1041" spans="1:19" ht="33.75" customHeight="1">
      <c r="A1041" s="1" t="s">
        <v>2997</v>
      </c>
      <c r="B1041" s="1" t="s">
        <v>2870</v>
      </c>
      <c r="C1041" s="1">
        <v>17</v>
      </c>
      <c r="D1041" s="4">
        <v>39879.657638888886</v>
      </c>
      <c r="E1041" s="1" t="s">
        <v>54</v>
      </c>
      <c r="F1041" s="1"/>
      <c r="G1041" s="1"/>
      <c r="H1041" s="1"/>
      <c r="I1041" s="1"/>
      <c r="J1041" s="1"/>
      <c r="K1041" s="1"/>
      <c r="L1041" s="1"/>
      <c r="M1041" s="1"/>
      <c r="N1041" s="1"/>
      <c r="O1041" s="1"/>
      <c r="P1041" s="1"/>
      <c r="Q1041" s="1"/>
      <c r="R1041" s="1"/>
      <c r="S1041" s="1"/>
    </row>
    <row r="1042" spans="1:19" ht="33.75" customHeight="1">
      <c r="A1042" s="1" t="s">
        <v>2999</v>
      </c>
      <c r="B1042" s="1" t="s">
        <v>2870</v>
      </c>
      <c r="C1042" s="1">
        <v>17</v>
      </c>
      <c r="D1042" s="4">
        <v>39879.669444444444</v>
      </c>
      <c r="E1042" s="1" t="s">
        <v>2893</v>
      </c>
      <c r="F1042" s="1"/>
      <c r="G1042" s="1"/>
      <c r="H1042" s="1"/>
      <c r="I1042" s="1"/>
      <c r="J1042" s="1"/>
      <c r="K1042" s="1"/>
      <c r="L1042" s="1"/>
      <c r="M1042" s="1"/>
      <c r="N1042" s="1"/>
      <c r="O1042" s="1"/>
      <c r="P1042" s="1"/>
      <c r="Q1042" s="1"/>
      <c r="R1042" s="1"/>
      <c r="S1042" s="1"/>
    </row>
    <row r="1043" spans="1:19" ht="33.75" customHeight="1">
      <c r="A1043" s="1" t="s">
        <v>3002</v>
      </c>
      <c r="B1043" s="1" t="s">
        <v>2636</v>
      </c>
      <c r="C1043" s="1">
        <v>16</v>
      </c>
      <c r="D1043" s="4">
        <v>39879.724999999999</v>
      </c>
      <c r="E1043" s="1" t="s">
        <v>14</v>
      </c>
      <c r="F1043" s="1"/>
      <c r="G1043" s="1"/>
      <c r="H1043" s="1"/>
      <c r="I1043" s="1"/>
      <c r="J1043" s="1"/>
      <c r="K1043" s="1"/>
      <c r="L1043" s="1"/>
      <c r="M1043" s="1"/>
      <c r="N1043" s="1"/>
      <c r="O1043" s="1"/>
      <c r="P1043" s="1"/>
      <c r="Q1043" s="1"/>
      <c r="R1043" s="1"/>
      <c r="S1043" s="1"/>
    </row>
    <row r="1044" spans="1:19" ht="33.75" customHeight="1">
      <c r="A1044" s="1" t="s">
        <v>3004</v>
      </c>
      <c r="B1044" s="1" t="s">
        <v>2636</v>
      </c>
      <c r="C1044" s="1">
        <v>16</v>
      </c>
      <c r="D1044" s="4">
        <v>39880.113888888889</v>
      </c>
      <c r="E1044" s="1" t="s">
        <v>1528</v>
      </c>
      <c r="F1044" s="1"/>
      <c r="G1044" s="1"/>
      <c r="H1044" s="1"/>
      <c r="I1044" s="1"/>
      <c r="J1044" s="1"/>
      <c r="K1044" s="1"/>
      <c r="L1044" s="1"/>
      <c r="M1044" s="1"/>
      <c r="N1044" s="1"/>
      <c r="O1044" s="1"/>
      <c r="P1044" s="1"/>
      <c r="Q1044" s="1"/>
      <c r="R1044" s="1"/>
      <c r="S1044" s="1"/>
    </row>
    <row r="1045" spans="1:19" ht="33.75" customHeight="1">
      <c r="A1045" s="1" t="s">
        <v>3006</v>
      </c>
      <c r="B1045" s="1" t="s">
        <v>2636</v>
      </c>
      <c r="C1045" s="1">
        <v>16</v>
      </c>
      <c r="D1045" s="4">
        <v>39879.779166666667</v>
      </c>
      <c r="E1045" s="1" t="s">
        <v>14</v>
      </c>
      <c r="F1045" s="1"/>
      <c r="G1045" s="1"/>
      <c r="H1045" s="1"/>
      <c r="I1045" s="1"/>
      <c r="J1045" s="1"/>
      <c r="K1045" s="1"/>
      <c r="L1045" s="1"/>
      <c r="M1045" s="1"/>
      <c r="N1045" s="1"/>
      <c r="O1045" s="1"/>
      <c r="P1045" s="1"/>
      <c r="Q1045" s="1"/>
      <c r="R1045" s="1"/>
      <c r="S1045" s="1"/>
    </row>
    <row r="1046" spans="1:19" ht="33.75" customHeight="1">
      <c r="A1046" s="1" t="s">
        <v>3008</v>
      </c>
      <c r="B1046" s="1" t="s">
        <v>2636</v>
      </c>
      <c r="C1046" s="1">
        <v>16</v>
      </c>
      <c r="D1046" s="4">
        <v>39879.781944444447</v>
      </c>
      <c r="E1046" s="1" t="s">
        <v>14</v>
      </c>
      <c r="F1046" s="1"/>
      <c r="G1046" s="1"/>
      <c r="H1046" s="1"/>
      <c r="I1046" s="1"/>
      <c r="J1046" s="1"/>
      <c r="K1046" s="1"/>
      <c r="L1046" s="1"/>
      <c r="M1046" s="1"/>
      <c r="N1046" s="1"/>
      <c r="O1046" s="1"/>
      <c r="P1046" s="1"/>
      <c r="Q1046" s="1"/>
      <c r="R1046" s="1"/>
      <c r="S1046" s="1"/>
    </row>
    <row r="1047" spans="1:19" ht="33.75" customHeight="1">
      <c r="A1047" s="1" t="s">
        <v>3010</v>
      </c>
      <c r="B1047" s="1" t="s">
        <v>2870</v>
      </c>
      <c r="C1047" s="1">
        <v>17</v>
      </c>
      <c r="D1047" s="4">
        <v>39879.837500000001</v>
      </c>
      <c r="E1047" s="1" t="s">
        <v>84</v>
      </c>
      <c r="F1047" s="1"/>
      <c r="G1047" s="1"/>
      <c r="H1047" s="1"/>
      <c r="I1047" s="1"/>
      <c r="J1047" s="1"/>
      <c r="K1047" s="1"/>
      <c r="L1047" s="1"/>
      <c r="M1047" s="1"/>
      <c r="N1047" s="1"/>
      <c r="O1047" s="1"/>
      <c r="P1047" s="1"/>
      <c r="Q1047" s="1"/>
      <c r="R1047" s="1"/>
      <c r="S1047" s="1"/>
    </row>
    <row r="1048" spans="1:19" ht="33.75" customHeight="1">
      <c r="A1048" s="1" t="s">
        <v>3014</v>
      </c>
      <c r="B1048" s="1" t="s">
        <v>2636</v>
      </c>
      <c r="C1048" s="1">
        <v>16</v>
      </c>
      <c r="D1048" s="4">
        <v>39879.905555555553</v>
      </c>
      <c r="E1048" s="1" t="s">
        <v>14</v>
      </c>
      <c r="F1048" s="1"/>
      <c r="G1048" s="1"/>
      <c r="H1048" s="1"/>
      <c r="I1048" s="1"/>
      <c r="J1048" s="1"/>
      <c r="K1048" s="1"/>
      <c r="L1048" s="1"/>
      <c r="M1048" s="1"/>
      <c r="N1048" s="1"/>
      <c r="O1048" s="1"/>
      <c r="P1048" s="1"/>
      <c r="Q1048" s="1"/>
      <c r="R1048" s="1"/>
      <c r="S1048" s="1"/>
    </row>
    <row r="1049" spans="1:19" ht="33.75" customHeight="1">
      <c r="A1049" s="1" t="s">
        <v>3016</v>
      </c>
      <c r="B1049" s="1" t="s">
        <v>2870</v>
      </c>
      <c r="C1049" s="1">
        <v>17</v>
      </c>
      <c r="D1049" s="4">
        <v>39879.915277777778</v>
      </c>
      <c r="E1049" s="1" t="s">
        <v>2893</v>
      </c>
      <c r="F1049" s="1"/>
      <c r="G1049" s="1"/>
      <c r="H1049" s="1"/>
      <c r="I1049" s="1"/>
      <c r="J1049" s="1"/>
      <c r="K1049" s="1"/>
      <c r="L1049" s="1"/>
      <c r="M1049" s="1"/>
      <c r="N1049" s="1"/>
      <c r="O1049" s="1"/>
      <c r="P1049" s="1"/>
      <c r="Q1049" s="1"/>
      <c r="R1049" s="1"/>
      <c r="S1049" s="1"/>
    </row>
    <row r="1050" spans="1:19" ht="33.75" customHeight="1">
      <c r="A1050" s="1" t="s">
        <v>3019</v>
      </c>
      <c r="B1050" s="1" t="s">
        <v>2636</v>
      </c>
      <c r="C1050" s="1">
        <v>16</v>
      </c>
      <c r="D1050" s="4">
        <v>39879.996527777781</v>
      </c>
      <c r="E1050" s="1" t="s">
        <v>196</v>
      </c>
      <c r="F1050" s="1"/>
      <c r="G1050" s="1"/>
      <c r="H1050" s="1"/>
      <c r="I1050" s="1"/>
      <c r="J1050" s="1"/>
      <c r="K1050" s="1"/>
      <c r="L1050" s="1"/>
      <c r="M1050" s="1"/>
      <c r="N1050" s="1"/>
      <c r="O1050" s="1"/>
      <c r="P1050" s="1"/>
      <c r="Q1050" s="1"/>
      <c r="R1050" s="1"/>
      <c r="S1050" s="1"/>
    </row>
    <row r="1051" spans="1:19" ht="33.75" customHeight="1">
      <c r="A1051" s="1" t="s">
        <v>3021</v>
      </c>
      <c r="B1051" s="1" t="s">
        <v>2636</v>
      </c>
      <c r="C1051" s="1">
        <v>16</v>
      </c>
      <c r="D1051" s="4">
        <v>39880.037499999999</v>
      </c>
      <c r="E1051" s="1" t="s">
        <v>14</v>
      </c>
      <c r="F1051" s="1"/>
      <c r="G1051" s="1"/>
      <c r="H1051" s="1"/>
      <c r="I1051" s="1"/>
      <c r="J1051" s="1"/>
      <c r="K1051" s="1"/>
      <c r="L1051" s="1"/>
      <c r="M1051" s="1"/>
      <c r="N1051" s="1"/>
      <c r="O1051" s="1"/>
      <c r="P1051" s="1"/>
      <c r="Q1051" s="1"/>
      <c r="R1051" s="1"/>
      <c r="S1051" s="1"/>
    </row>
    <row r="1052" spans="1:19" ht="33.75" customHeight="1">
      <c r="A1052" s="1" t="s">
        <v>3023</v>
      </c>
      <c r="B1052" s="1" t="s">
        <v>2636</v>
      </c>
      <c r="C1052" s="1">
        <v>16</v>
      </c>
      <c r="D1052" s="4">
        <v>39880.054861111108</v>
      </c>
      <c r="E1052" s="1" t="s">
        <v>196</v>
      </c>
      <c r="F1052" s="1"/>
      <c r="G1052" s="1"/>
      <c r="H1052" s="1"/>
      <c r="I1052" s="1"/>
      <c r="J1052" s="1"/>
      <c r="K1052" s="1"/>
      <c r="L1052" s="1"/>
      <c r="M1052" s="1"/>
      <c r="N1052" s="1"/>
      <c r="O1052" s="1"/>
      <c r="P1052" s="1"/>
      <c r="Q1052" s="1"/>
      <c r="R1052" s="1"/>
      <c r="S1052" s="1"/>
    </row>
    <row r="1053" spans="1:19" ht="33.75" customHeight="1">
      <c r="A1053" s="1" t="s">
        <v>3025</v>
      </c>
      <c r="B1053" s="1" t="s">
        <v>2636</v>
      </c>
      <c r="C1053" s="1">
        <v>16</v>
      </c>
      <c r="D1053" s="4">
        <v>39880.068749999999</v>
      </c>
      <c r="E1053" s="1" t="s">
        <v>196</v>
      </c>
      <c r="F1053" s="1"/>
      <c r="G1053" s="1"/>
      <c r="H1053" s="1"/>
      <c r="I1053" s="1"/>
      <c r="J1053" s="1"/>
      <c r="K1053" s="1"/>
      <c r="L1053" s="1"/>
      <c r="M1053" s="1"/>
      <c r="N1053" s="1"/>
      <c r="O1053" s="1"/>
      <c r="P1053" s="1"/>
      <c r="Q1053" s="1"/>
      <c r="R1053" s="1"/>
      <c r="S1053" s="1"/>
    </row>
    <row r="1054" spans="1:19" ht="33.75" customHeight="1">
      <c r="A1054" s="1" t="s">
        <v>3027</v>
      </c>
      <c r="B1054" s="1" t="s">
        <v>2636</v>
      </c>
      <c r="C1054" s="1">
        <v>16</v>
      </c>
      <c r="D1054" s="4">
        <v>39880.07708333333</v>
      </c>
      <c r="E1054" s="1" t="s">
        <v>14</v>
      </c>
      <c r="F1054" s="1"/>
      <c r="G1054" s="1"/>
      <c r="H1054" s="1"/>
      <c r="I1054" s="1"/>
      <c r="J1054" s="1"/>
      <c r="K1054" s="1"/>
      <c r="L1054" s="1"/>
      <c r="M1054" s="1"/>
      <c r="N1054" s="1"/>
      <c r="O1054" s="1"/>
      <c r="P1054" s="1"/>
      <c r="Q1054" s="1"/>
      <c r="R1054" s="1"/>
      <c r="S1054" s="1"/>
    </row>
    <row r="1055" spans="1:19" ht="33.75" customHeight="1">
      <c r="A1055" s="1" t="s">
        <v>3030</v>
      </c>
      <c r="B1055" s="1" t="s">
        <v>2636</v>
      </c>
      <c r="C1055" s="1">
        <v>16</v>
      </c>
      <c r="D1055" s="4">
        <v>39880.081944444442</v>
      </c>
      <c r="E1055" s="1" t="s">
        <v>196</v>
      </c>
      <c r="F1055" s="1"/>
      <c r="G1055" s="1"/>
      <c r="H1055" s="1"/>
      <c r="I1055" s="1"/>
      <c r="J1055" s="1"/>
      <c r="K1055" s="1"/>
      <c r="L1055" s="1"/>
      <c r="M1055" s="1"/>
      <c r="N1055" s="1"/>
      <c r="O1055" s="1"/>
      <c r="P1055" s="1"/>
      <c r="Q1055" s="1"/>
      <c r="R1055" s="1"/>
      <c r="S1055" s="1"/>
    </row>
    <row r="1056" spans="1:19" ht="33.75" customHeight="1">
      <c r="A1056" s="1" t="s">
        <v>3033</v>
      </c>
      <c r="B1056" s="1" t="s">
        <v>2636</v>
      </c>
      <c r="C1056" s="1">
        <v>16</v>
      </c>
      <c r="D1056" s="4">
        <v>39880.693055555559</v>
      </c>
      <c r="E1056" s="1" t="s">
        <v>1528</v>
      </c>
      <c r="F1056" s="1"/>
      <c r="G1056" s="1"/>
      <c r="H1056" s="1"/>
      <c r="I1056" s="1"/>
      <c r="J1056" s="1"/>
      <c r="K1056" s="1"/>
      <c r="L1056" s="1"/>
      <c r="M1056" s="1"/>
      <c r="N1056" s="1"/>
      <c r="O1056" s="1"/>
      <c r="P1056" s="1"/>
      <c r="Q1056" s="1"/>
      <c r="R1056" s="1"/>
      <c r="S1056" s="1"/>
    </row>
    <row r="1057" spans="1:19" ht="33.75" customHeight="1">
      <c r="A1057" s="1" t="s">
        <v>3037</v>
      </c>
      <c r="B1057" s="1" t="s">
        <v>2636</v>
      </c>
      <c r="C1057" s="1">
        <v>16</v>
      </c>
      <c r="D1057" s="4">
        <v>39880.160416666666</v>
      </c>
      <c r="E1057" s="1" t="s">
        <v>54</v>
      </c>
      <c r="F1057" s="1"/>
      <c r="G1057" s="1"/>
      <c r="H1057" s="1"/>
      <c r="I1057" s="1"/>
      <c r="J1057" s="1"/>
      <c r="K1057" s="1"/>
      <c r="L1057" s="1"/>
      <c r="M1057" s="1"/>
      <c r="N1057" s="1"/>
      <c r="O1057" s="1"/>
      <c r="P1057" s="1"/>
      <c r="Q1057" s="1"/>
      <c r="R1057" s="1"/>
      <c r="S1057" s="1"/>
    </row>
    <row r="1058" spans="1:19" ht="33.75" customHeight="1">
      <c r="A1058" s="1" t="s">
        <v>3039</v>
      </c>
      <c r="B1058" s="1" t="s">
        <v>2636</v>
      </c>
      <c r="C1058" s="1">
        <v>16</v>
      </c>
      <c r="D1058" s="4">
        <v>39880.20416666667</v>
      </c>
      <c r="E1058" s="1" t="s">
        <v>196</v>
      </c>
      <c r="F1058" s="1"/>
      <c r="G1058" s="1"/>
      <c r="H1058" s="1"/>
      <c r="I1058" s="1"/>
      <c r="J1058" s="1"/>
      <c r="K1058" s="1"/>
      <c r="L1058" s="1"/>
      <c r="M1058" s="1"/>
      <c r="N1058" s="1"/>
      <c r="O1058" s="1"/>
      <c r="P1058" s="1"/>
      <c r="Q1058" s="1"/>
      <c r="R1058" s="1"/>
      <c r="S1058" s="1"/>
    </row>
    <row r="1059" spans="1:19" ht="33.75" customHeight="1">
      <c r="A1059" s="1" t="s">
        <v>3042</v>
      </c>
      <c r="B1059" s="1" t="s">
        <v>2870</v>
      </c>
      <c r="C1059" s="1">
        <v>17</v>
      </c>
      <c r="D1059" s="4">
        <v>39880.229166666664</v>
      </c>
      <c r="E1059" s="1" t="s">
        <v>1089</v>
      </c>
      <c r="F1059" s="1"/>
      <c r="G1059" s="1"/>
      <c r="H1059" s="1"/>
      <c r="I1059" s="1"/>
      <c r="J1059" s="1"/>
      <c r="K1059" s="1"/>
      <c r="L1059" s="1"/>
      <c r="M1059" s="1"/>
      <c r="N1059" s="1"/>
      <c r="O1059" s="1"/>
      <c r="P1059" s="1"/>
      <c r="Q1059" s="1"/>
      <c r="R1059" s="1"/>
      <c r="S1059" s="1"/>
    </row>
    <row r="1060" spans="1:19" ht="33.75" customHeight="1">
      <c r="A1060" s="1" t="s">
        <v>3044</v>
      </c>
      <c r="B1060" s="1" t="s">
        <v>2636</v>
      </c>
      <c r="C1060" s="1">
        <v>16</v>
      </c>
      <c r="D1060" s="4">
        <v>39880.240277777775</v>
      </c>
      <c r="E1060" s="1" t="s">
        <v>196</v>
      </c>
      <c r="F1060" s="1"/>
      <c r="G1060" s="1"/>
      <c r="H1060" s="1"/>
      <c r="I1060" s="1"/>
      <c r="J1060" s="1"/>
      <c r="K1060" s="1"/>
      <c r="L1060" s="1"/>
      <c r="M1060" s="1"/>
      <c r="N1060" s="1"/>
      <c r="O1060" s="1"/>
      <c r="P1060" s="1"/>
      <c r="Q1060" s="1"/>
      <c r="R1060" s="1"/>
      <c r="S1060" s="1"/>
    </row>
    <row r="1061" spans="1:19" ht="33.75" customHeight="1">
      <c r="A1061" s="1" t="s">
        <v>3047</v>
      </c>
      <c r="B1061" s="1" t="s">
        <v>2636</v>
      </c>
      <c r="C1061" s="1">
        <v>16</v>
      </c>
      <c r="D1061" s="4">
        <v>39880.320138888892</v>
      </c>
      <c r="E1061" s="1" t="s">
        <v>196</v>
      </c>
      <c r="F1061" s="1"/>
      <c r="G1061" s="1"/>
      <c r="H1061" s="1"/>
      <c r="I1061" s="1"/>
      <c r="J1061" s="1"/>
      <c r="K1061" s="1"/>
      <c r="L1061" s="1"/>
      <c r="M1061" s="1"/>
      <c r="N1061" s="1"/>
      <c r="O1061" s="1"/>
      <c r="P1061" s="1"/>
      <c r="Q1061" s="1"/>
      <c r="R1061" s="1"/>
      <c r="S1061" s="1"/>
    </row>
    <row r="1062" spans="1:19" ht="33.75" customHeight="1">
      <c r="A1062" s="1" t="s">
        <v>3049</v>
      </c>
      <c r="B1062" s="1" t="s">
        <v>2636</v>
      </c>
      <c r="C1062" s="1">
        <v>16</v>
      </c>
      <c r="D1062" s="4">
        <v>39880.352083333331</v>
      </c>
      <c r="E1062" s="1" t="s">
        <v>14</v>
      </c>
      <c r="F1062" s="1"/>
      <c r="G1062" s="1"/>
      <c r="H1062" s="1"/>
      <c r="I1062" s="1"/>
      <c r="J1062" s="1"/>
      <c r="K1062" s="1"/>
      <c r="L1062" s="1"/>
      <c r="M1062" s="1"/>
      <c r="N1062" s="1"/>
      <c r="O1062" s="1"/>
      <c r="P1062" s="1"/>
      <c r="Q1062" s="1"/>
      <c r="R1062" s="1"/>
      <c r="S1062" s="1"/>
    </row>
    <row r="1063" spans="1:19" ht="33.75" customHeight="1">
      <c r="A1063" s="1" t="s">
        <v>3052</v>
      </c>
      <c r="B1063" s="1" t="s">
        <v>2870</v>
      </c>
      <c r="C1063" s="1">
        <v>17</v>
      </c>
      <c r="D1063" s="4">
        <v>39880.37222222222</v>
      </c>
      <c r="E1063" s="1" t="s">
        <v>2893</v>
      </c>
      <c r="F1063" s="1"/>
      <c r="G1063" s="1"/>
      <c r="H1063" s="1"/>
      <c r="I1063" s="1"/>
      <c r="J1063" s="1"/>
      <c r="K1063" s="1"/>
      <c r="L1063" s="1"/>
      <c r="M1063" s="1"/>
      <c r="N1063" s="1"/>
      <c r="O1063" s="1"/>
      <c r="P1063" s="1"/>
      <c r="Q1063" s="1"/>
      <c r="R1063" s="1"/>
      <c r="S1063" s="1"/>
    </row>
    <row r="1064" spans="1:19" ht="33.75" customHeight="1">
      <c r="A1064" s="1" t="s">
        <v>3054</v>
      </c>
      <c r="B1064" s="1" t="s">
        <v>2870</v>
      </c>
      <c r="C1064" s="1">
        <v>17</v>
      </c>
      <c r="D1064" s="4">
        <v>39880.412499999999</v>
      </c>
      <c r="E1064" s="1" t="s">
        <v>54</v>
      </c>
      <c r="F1064" s="1"/>
      <c r="G1064" s="1"/>
      <c r="H1064" s="1"/>
      <c r="I1064" s="1"/>
      <c r="J1064" s="1"/>
      <c r="K1064" s="1"/>
      <c r="L1064" s="1"/>
      <c r="M1064" s="1"/>
      <c r="N1064" s="1"/>
      <c r="O1064" s="1"/>
      <c r="P1064" s="1"/>
      <c r="Q1064" s="1"/>
      <c r="R1064" s="1"/>
      <c r="S1064" s="1"/>
    </row>
    <row r="1065" spans="1:19" ht="33.75" customHeight="1">
      <c r="A1065" s="1" t="s">
        <v>3034</v>
      </c>
      <c r="B1065" s="1" t="s">
        <v>2636</v>
      </c>
      <c r="C1065" s="1">
        <v>16</v>
      </c>
      <c r="D1065" s="4">
        <v>39880.465277777781</v>
      </c>
      <c r="E1065" s="1" t="s">
        <v>14</v>
      </c>
      <c r="F1065" s="1"/>
      <c r="G1065" s="1"/>
      <c r="H1065" s="1"/>
      <c r="I1065" s="1"/>
      <c r="J1065" s="1"/>
      <c r="K1065" s="1"/>
      <c r="L1065" s="1"/>
      <c r="M1065" s="1"/>
      <c r="N1065" s="1"/>
      <c r="O1065" s="1"/>
      <c r="P1065" s="1"/>
      <c r="Q1065" s="1"/>
      <c r="R1065" s="1"/>
      <c r="S1065" s="1"/>
    </row>
    <row r="1066" spans="1:19" ht="33.75" customHeight="1">
      <c r="A1066" s="1" t="s">
        <v>3059</v>
      </c>
      <c r="B1066" s="1" t="s">
        <v>2870</v>
      </c>
      <c r="C1066" s="1">
        <v>17</v>
      </c>
      <c r="D1066" s="4">
        <v>39880.509722222225</v>
      </c>
      <c r="E1066" s="1" t="s">
        <v>772</v>
      </c>
      <c r="F1066" s="1"/>
      <c r="G1066" s="1"/>
      <c r="H1066" s="1"/>
      <c r="I1066" s="1"/>
      <c r="J1066" s="1"/>
      <c r="K1066" s="1"/>
      <c r="L1066" s="1"/>
      <c r="M1066" s="1"/>
      <c r="N1066" s="1"/>
      <c r="O1066" s="1"/>
      <c r="P1066" s="1"/>
      <c r="Q1066" s="1"/>
      <c r="R1066" s="1"/>
      <c r="S1066" s="1"/>
    </row>
    <row r="1067" spans="1:19" ht="33.75" customHeight="1">
      <c r="A1067" s="1" t="s">
        <v>3061</v>
      </c>
      <c r="B1067" s="1" t="s">
        <v>2870</v>
      </c>
      <c r="C1067" s="1">
        <v>17</v>
      </c>
      <c r="D1067" s="4">
        <v>39880.645138888889</v>
      </c>
      <c r="E1067" s="1" t="s">
        <v>54</v>
      </c>
      <c r="F1067" s="1"/>
      <c r="G1067" s="1"/>
      <c r="H1067" s="1"/>
      <c r="I1067" s="1"/>
      <c r="J1067" s="1"/>
      <c r="K1067" s="1"/>
      <c r="L1067" s="1"/>
      <c r="M1067" s="1"/>
      <c r="N1067" s="1"/>
      <c r="O1067" s="1"/>
      <c r="P1067" s="1"/>
      <c r="Q1067" s="1"/>
      <c r="R1067" s="1"/>
      <c r="S1067" s="1"/>
    </row>
    <row r="1068" spans="1:19" ht="33.75" customHeight="1">
      <c r="A1068" s="1" t="s">
        <v>3064</v>
      </c>
      <c r="B1068" s="1" t="s">
        <v>2636</v>
      </c>
      <c r="C1068" s="1">
        <v>16</v>
      </c>
      <c r="D1068" s="4">
        <v>39881.261805555558</v>
      </c>
      <c r="E1068" s="1" t="s">
        <v>1528</v>
      </c>
      <c r="F1068" s="1"/>
      <c r="G1068" s="1"/>
      <c r="H1068" s="1"/>
      <c r="I1068" s="1"/>
      <c r="J1068" s="1"/>
      <c r="K1068" s="1"/>
      <c r="L1068" s="1"/>
      <c r="M1068" s="1"/>
      <c r="N1068" s="1"/>
      <c r="O1068" s="1"/>
      <c r="P1068" s="1"/>
      <c r="Q1068" s="1"/>
      <c r="R1068" s="1"/>
      <c r="S1068" s="1"/>
    </row>
    <row r="1069" spans="1:19" ht="33.75" customHeight="1">
      <c r="A1069" s="1" t="s">
        <v>3067</v>
      </c>
      <c r="B1069" s="1" t="s">
        <v>2870</v>
      </c>
      <c r="C1069" s="1">
        <v>17</v>
      </c>
      <c r="D1069" s="4">
        <v>39880.730555555558</v>
      </c>
      <c r="E1069" s="1" t="s">
        <v>54</v>
      </c>
      <c r="F1069" s="1"/>
      <c r="G1069" s="1"/>
      <c r="H1069" s="1"/>
      <c r="I1069" s="1"/>
      <c r="J1069" s="1"/>
      <c r="K1069" s="1"/>
      <c r="L1069" s="1"/>
      <c r="M1069" s="1"/>
      <c r="N1069" s="1"/>
      <c r="O1069" s="1"/>
      <c r="P1069" s="1"/>
      <c r="Q1069" s="1"/>
      <c r="R1069" s="1"/>
      <c r="S1069" s="1"/>
    </row>
    <row r="1070" spans="1:19" ht="33.75" customHeight="1">
      <c r="A1070" s="1" t="s">
        <v>3069</v>
      </c>
      <c r="B1070" s="1" t="s">
        <v>2636</v>
      </c>
      <c r="C1070" s="1">
        <v>16</v>
      </c>
      <c r="D1070" s="4">
        <v>39880.864583333336</v>
      </c>
      <c r="E1070" s="1" t="s">
        <v>196</v>
      </c>
      <c r="F1070" s="1"/>
      <c r="G1070" s="1"/>
      <c r="H1070" s="1"/>
      <c r="I1070" s="1"/>
      <c r="J1070" s="1"/>
      <c r="K1070" s="1"/>
      <c r="L1070" s="1"/>
      <c r="M1070" s="1"/>
      <c r="N1070" s="1"/>
      <c r="O1070" s="1"/>
      <c r="P1070" s="1"/>
      <c r="Q1070" s="1"/>
      <c r="R1070" s="1"/>
      <c r="S1070" s="1"/>
    </row>
    <row r="1071" spans="1:19" ht="33.75" customHeight="1">
      <c r="A1071" s="1" t="s">
        <v>3072</v>
      </c>
      <c r="B1071" s="1" t="s">
        <v>2636</v>
      </c>
      <c r="C1071" s="1">
        <v>16</v>
      </c>
      <c r="D1071" s="4">
        <v>39880.878472222219</v>
      </c>
      <c r="E1071" s="1" t="s">
        <v>320</v>
      </c>
      <c r="F1071" s="1"/>
      <c r="G1071" s="1"/>
      <c r="H1071" s="1"/>
      <c r="I1071" s="1"/>
      <c r="J1071" s="1"/>
      <c r="K1071" s="1"/>
      <c r="L1071" s="1"/>
      <c r="M1071" s="1"/>
      <c r="N1071" s="1"/>
      <c r="O1071" s="1"/>
      <c r="P1071" s="1"/>
      <c r="Q1071" s="1"/>
      <c r="R1071" s="1"/>
      <c r="S1071" s="1"/>
    </row>
    <row r="1072" spans="1:19" ht="33.75" customHeight="1">
      <c r="A1072" s="1" t="s">
        <v>3075</v>
      </c>
      <c r="B1072" s="1" t="s">
        <v>2636</v>
      </c>
      <c r="C1072" s="1">
        <v>16</v>
      </c>
      <c r="D1072" s="4">
        <v>39880.879166666666</v>
      </c>
      <c r="E1072" s="1" t="s">
        <v>14</v>
      </c>
      <c r="F1072" s="1"/>
      <c r="G1072" s="1"/>
      <c r="H1072" s="1"/>
      <c r="I1072" s="1"/>
      <c r="J1072" s="1"/>
      <c r="K1072" s="1"/>
      <c r="L1072" s="1"/>
      <c r="M1072" s="1"/>
      <c r="N1072" s="1"/>
      <c r="O1072" s="1"/>
      <c r="P1072" s="1"/>
      <c r="Q1072" s="1"/>
      <c r="R1072" s="1"/>
      <c r="S1072" s="1"/>
    </row>
    <row r="1073" spans="1:19" ht="33.75" customHeight="1">
      <c r="A1073" s="1" t="s">
        <v>3078</v>
      </c>
      <c r="B1073" s="1" t="s">
        <v>2636</v>
      </c>
      <c r="C1073" s="1">
        <v>16</v>
      </c>
      <c r="D1073" s="4">
        <v>39880.890972222223</v>
      </c>
      <c r="E1073" s="1" t="s">
        <v>196</v>
      </c>
      <c r="F1073" s="1"/>
      <c r="G1073" s="1"/>
      <c r="H1073" s="1"/>
      <c r="I1073" s="1"/>
      <c r="J1073" s="1"/>
      <c r="K1073" s="1"/>
      <c r="L1073" s="1"/>
      <c r="M1073" s="1"/>
      <c r="N1073" s="1"/>
      <c r="O1073" s="1"/>
      <c r="P1073" s="1"/>
      <c r="Q1073" s="1"/>
      <c r="R1073" s="1"/>
      <c r="S1073" s="1"/>
    </row>
    <row r="1074" spans="1:19" ht="33.75" customHeight="1">
      <c r="A1074" s="1" t="s">
        <v>3080</v>
      </c>
      <c r="B1074" s="1" t="s">
        <v>2636</v>
      </c>
      <c r="C1074" s="1">
        <v>16</v>
      </c>
      <c r="D1074" s="4">
        <v>39880.901388888888</v>
      </c>
      <c r="E1074" s="1" t="s">
        <v>320</v>
      </c>
      <c r="F1074" s="1"/>
      <c r="G1074" s="1"/>
      <c r="H1074" s="1"/>
      <c r="I1074" s="1"/>
      <c r="J1074" s="1"/>
      <c r="K1074" s="1"/>
      <c r="L1074" s="1"/>
      <c r="M1074" s="1"/>
      <c r="N1074" s="1"/>
      <c r="O1074" s="1"/>
      <c r="P1074" s="1"/>
      <c r="Q1074" s="1"/>
      <c r="R1074" s="1"/>
      <c r="S1074" s="1"/>
    </row>
    <row r="1075" spans="1:19" ht="33.75" customHeight="1">
      <c r="A1075" s="1" t="s">
        <v>3082</v>
      </c>
      <c r="B1075" s="1" t="s">
        <v>2636</v>
      </c>
      <c r="C1075" s="1">
        <v>16</v>
      </c>
      <c r="D1075" s="4">
        <v>39880.919444444444</v>
      </c>
      <c r="E1075" s="1" t="s">
        <v>14</v>
      </c>
      <c r="F1075" s="1"/>
      <c r="G1075" s="1"/>
      <c r="H1075" s="1"/>
      <c r="I1075" s="1"/>
      <c r="J1075" s="1"/>
      <c r="K1075" s="1"/>
      <c r="L1075" s="1"/>
      <c r="M1075" s="1"/>
      <c r="N1075" s="1"/>
      <c r="O1075" s="1"/>
      <c r="P1075" s="1"/>
      <c r="Q1075" s="1"/>
      <c r="R1075" s="1"/>
      <c r="S1075" s="1"/>
    </row>
    <row r="1076" spans="1:19" ht="33.75" customHeight="1">
      <c r="A1076" s="1" t="s">
        <v>3084</v>
      </c>
      <c r="B1076" s="1" t="s">
        <v>2636</v>
      </c>
      <c r="C1076" s="1">
        <v>16</v>
      </c>
      <c r="D1076" s="4">
        <v>39880.92083333333</v>
      </c>
      <c r="E1076" s="1" t="s">
        <v>320</v>
      </c>
      <c r="F1076" s="1"/>
      <c r="G1076" s="1"/>
      <c r="H1076" s="1"/>
      <c r="I1076" s="1"/>
      <c r="J1076" s="1"/>
      <c r="K1076" s="1"/>
      <c r="L1076" s="1"/>
      <c r="M1076" s="1"/>
      <c r="N1076" s="1"/>
      <c r="O1076" s="1"/>
      <c r="P1076" s="1"/>
      <c r="Q1076" s="1"/>
      <c r="R1076" s="1"/>
      <c r="S1076" s="1"/>
    </row>
    <row r="1077" spans="1:19" ht="33.75" customHeight="1">
      <c r="A1077" s="1" t="s">
        <v>3086</v>
      </c>
      <c r="B1077" s="1" t="s">
        <v>2636</v>
      </c>
      <c r="C1077" s="1">
        <v>16</v>
      </c>
      <c r="D1077" s="4">
        <v>39881.037499999999</v>
      </c>
      <c r="E1077" s="1" t="s">
        <v>14</v>
      </c>
      <c r="F1077" s="1"/>
      <c r="G1077" s="1"/>
      <c r="H1077" s="1"/>
      <c r="I1077" s="1"/>
      <c r="J1077" s="1"/>
      <c r="K1077" s="1"/>
      <c r="L1077" s="1"/>
      <c r="M1077" s="1"/>
      <c r="N1077" s="1"/>
      <c r="O1077" s="1"/>
      <c r="P1077" s="1"/>
      <c r="Q1077" s="1"/>
      <c r="R1077" s="1"/>
      <c r="S1077" s="1"/>
    </row>
    <row r="1078" spans="1:19" ht="33.75" customHeight="1">
      <c r="A1078" s="1" t="s">
        <v>3089</v>
      </c>
      <c r="B1078" s="1" t="s">
        <v>2636</v>
      </c>
      <c r="C1078" s="1">
        <v>16</v>
      </c>
      <c r="D1078" s="4">
        <v>39881.043055555558</v>
      </c>
      <c r="E1078" s="1" t="s">
        <v>320</v>
      </c>
      <c r="F1078" s="1"/>
      <c r="G1078" s="1"/>
      <c r="H1078" s="1"/>
      <c r="I1078" s="1"/>
      <c r="J1078" s="1"/>
      <c r="K1078" s="1"/>
      <c r="L1078" s="1"/>
      <c r="M1078" s="1"/>
      <c r="N1078" s="1"/>
      <c r="O1078" s="1"/>
      <c r="P1078" s="1"/>
      <c r="Q1078" s="1"/>
      <c r="R1078" s="1"/>
      <c r="S1078" s="1"/>
    </row>
    <row r="1079" spans="1:19" ht="33.75" customHeight="1">
      <c r="A1079" s="1" t="s">
        <v>3065</v>
      </c>
      <c r="B1079" s="1" t="s">
        <v>2636</v>
      </c>
      <c r="C1079" s="1">
        <v>16</v>
      </c>
      <c r="D1079" s="4">
        <v>39881.063888888886</v>
      </c>
      <c r="E1079" s="1" t="s">
        <v>14</v>
      </c>
      <c r="F1079" s="1"/>
      <c r="G1079" s="1"/>
      <c r="H1079" s="1"/>
      <c r="I1079" s="1"/>
      <c r="J1079" s="1"/>
      <c r="K1079" s="1"/>
      <c r="L1079" s="1"/>
      <c r="M1079" s="1"/>
      <c r="N1079" s="1"/>
      <c r="O1079" s="1"/>
      <c r="P1079" s="1"/>
      <c r="Q1079" s="1"/>
      <c r="R1079" s="1"/>
      <c r="S1079" s="1"/>
    </row>
    <row r="1080" spans="1:19" ht="33.75" customHeight="1">
      <c r="A1080" s="1" t="s">
        <v>3093</v>
      </c>
      <c r="B1080" s="1" t="s">
        <v>2636</v>
      </c>
      <c r="C1080" s="1">
        <v>16</v>
      </c>
      <c r="D1080" s="4">
        <v>39881.066666666666</v>
      </c>
      <c r="E1080" s="1" t="s">
        <v>14</v>
      </c>
      <c r="F1080" s="1"/>
      <c r="G1080" s="1"/>
      <c r="H1080" s="1"/>
      <c r="I1080" s="1"/>
      <c r="J1080" s="1"/>
      <c r="K1080" s="1"/>
      <c r="L1080" s="1"/>
      <c r="M1080" s="1"/>
      <c r="N1080" s="1"/>
      <c r="O1080" s="1"/>
      <c r="P1080" s="1"/>
      <c r="Q1080" s="1"/>
      <c r="R1080" s="1"/>
      <c r="S1080" s="1"/>
    </row>
    <row r="1081" spans="1:19" ht="33.75" customHeight="1">
      <c r="A1081" s="1" t="s">
        <v>3095</v>
      </c>
      <c r="B1081" s="1" t="s">
        <v>2636</v>
      </c>
      <c r="C1081" s="1">
        <v>16</v>
      </c>
      <c r="D1081" s="4">
        <v>39881.086111111108</v>
      </c>
      <c r="E1081" s="1" t="s">
        <v>14</v>
      </c>
      <c r="F1081" s="1"/>
      <c r="G1081" s="1"/>
      <c r="H1081" s="1"/>
      <c r="I1081" s="1"/>
      <c r="J1081" s="1"/>
      <c r="K1081" s="1"/>
      <c r="L1081" s="1"/>
      <c r="M1081" s="1"/>
      <c r="N1081" s="1"/>
      <c r="O1081" s="1"/>
      <c r="P1081" s="1"/>
      <c r="Q1081" s="1"/>
      <c r="R1081" s="1"/>
      <c r="S1081" s="1"/>
    </row>
    <row r="1082" spans="1:19" ht="33.75" customHeight="1">
      <c r="A1082" s="1" t="s">
        <v>3098</v>
      </c>
      <c r="B1082" s="1" t="s">
        <v>2636</v>
      </c>
      <c r="C1082" s="1">
        <v>16</v>
      </c>
      <c r="D1082" s="4">
        <v>39881.237500000003</v>
      </c>
      <c r="E1082" s="1" t="s">
        <v>320</v>
      </c>
      <c r="F1082" s="1"/>
      <c r="G1082" s="1"/>
      <c r="H1082" s="1"/>
      <c r="I1082" s="1"/>
      <c r="J1082" s="1"/>
      <c r="K1082" s="1"/>
      <c r="L1082" s="1"/>
      <c r="M1082" s="1"/>
      <c r="N1082" s="1"/>
      <c r="O1082" s="1"/>
      <c r="P1082" s="1"/>
      <c r="Q1082" s="1"/>
      <c r="R1082" s="1"/>
      <c r="S1082" s="1"/>
    </row>
    <row r="1083" spans="1:19" ht="33.75" customHeight="1">
      <c r="A1083" s="1" t="s">
        <v>3100</v>
      </c>
      <c r="B1083" s="1" t="s">
        <v>2636</v>
      </c>
      <c r="C1083" s="1">
        <v>16</v>
      </c>
      <c r="D1083" s="4">
        <v>39881.896527777775</v>
      </c>
      <c r="E1083" s="1" t="s">
        <v>1528</v>
      </c>
      <c r="F1083" s="1"/>
      <c r="G1083" s="1"/>
      <c r="H1083" s="1"/>
      <c r="I1083" s="1"/>
      <c r="J1083" s="1"/>
      <c r="K1083" s="1"/>
      <c r="L1083" s="1"/>
      <c r="M1083" s="1"/>
      <c r="N1083" s="1"/>
      <c r="O1083" s="1"/>
      <c r="P1083" s="1"/>
      <c r="Q1083" s="1"/>
      <c r="R1083" s="1"/>
      <c r="S1083" s="1"/>
    </row>
    <row r="1084" spans="1:19" ht="33.75" customHeight="1">
      <c r="A1084" s="1" t="s">
        <v>3103</v>
      </c>
      <c r="B1084" s="1" t="s">
        <v>2636</v>
      </c>
      <c r="C1084" s="1">
        <v>16</v>
      </c>
      <c r="D1084" s="4">
        <v>39881.306250000001</v>
      </c>
      <c r="E1084" s="1" t="s">
        <v>320</v>
      </c>
      <c r="F1084" s="1"/>
      <c r="G1084" s="1"/>
      <c r="H1084" s="1"/>
      <c r="I1084" s="1"/>
      <c r="J1084" s="1"/>
      <c r="K1084" s="1"/>
      <c r="L1084" s="1"/>
      <c r="M1084" s="1"/>
      <c r="N1084" s="1"/>
      <c r="O1084" s="1"/>
      <c r="P1084" s="1"/>
      <c r="Q1084" s="1"/>
      <c r="R1084" s="1"/>
      <c r="S1084" s="1"/>
    </row>
    <row r="1085" spans="1:19" ht="33.75" customHeight="1">
      <c r="A1085" s="1" t="s">
        <v>3105</v>
      </c>
      <c r="B1085" s="1" t="s">
        <v>2636</v>
      </c>
      <c r="C1085" s="1">
        <v>16</v>
      </c>
      <c r="D1085" s="4">
        <v>39881.354166666664</v>
      </c>
      <c r="E1085" s="1" t="s">
        <v>320</v>
      </c>
      <c r="F1085" s="1"/>
      <c r="G1085" s="1"/>
      <c r="H1085" s="1"/>
      <c r="I1085" s="1"/>
      <c r="J1085" s="1"/>
      <c r="K1085" s="1"/>
      <c r="L1085" s="1"/>
      <c r="M1085" s="1"/>
      <c r="N1085" s="1"/>
      <c r="O1085" s="1"/>
      <c r="P1085" s="1"/>
      <c r="Q1085" s="1"/>
      <c r="R1085" s="1"/>
      <c r="S1085" s="1"/>
    </row>
    <row r="1086" spans="1:19" ht="33.75" customHeight="1">
      <c r="A1086" s="1" t="s">
        <v>3107</v>
      </c>
      <c r="B1086" s="1" t="s">
        <v>2636</v>
      </c>
      <c r="C1086" s="1">
        <v>16</v>
      </c>
      <c r="D1086" s="4">
        <v>39881.425000000003</v>
      </c>
      <c r="E1086" s="1" t="s">
        <v>14</v>
      </c>
      <c r="F1086" s="1"/>
      <c r="G1086" s="1"/>
      <c r="H1086" s="1"/>
      <c r="I1086" s="1"/>
      <c r="J1086" s="1"/>
      <c r="K1086" s="1"/>
      <c r="L1086" s="1"/>
      <c r="M1086" s="1"/>
      <c r="N1086" s="1"/>
      <c r="O1086" s="1"/>
      <c r="P1086" s="1"/>
      <c r="Q1086" s="1"/>
      <c r="R1086" s="1"/>
      <c r="S1086" s="1"/>
    </row>
    <row r="1087" spans="1:19" ht="33.75" customHeight="1">
      <c r="A1087" s="1" t="s">
        <v>3109</v>
      </c>
      <c r="B1087" s="1" t="s">
        <v>2636</v>
      </c>
      <c r="C1087" s="1">
        <v>16</v>
      </c>
      <c r="D1087" s="4">
        <v>39881.436111111114</v>
      </c>
      <c r="E1087" s="1" t="s">
        <v>14</v>
      </c>
      <c r="F1087" s="1"/>
      <c r="G1087" s="1"/>
      <c r="H1087" s="1"/>
      <c r="I1087" s="1"/>
      <c r="J1087" s="1"/>
      <c r="K1087" s="1"/>
      <c r="L1087" s="1"/>
      <c r="M1087" s="1"/>
      <c r="N1087" s="1"/>
      <c r="O1087" s="1"/>
      <c r="P1087" s="1"/>
      <c r="Q1087" s="1"/>
      <c r="R1087" s="1"/>
      <c r="S1087" s="1"/>
    </row>
    <row r="1088" spans="1:19" ht="33.75" customHeight="1">
      <c r="A1088" s="1" t="s">
        <v>3111</v>
      </c>
      <c r="B1088" s="1" t="s">
        <v>2870</v>
      </c>
      <c r="C1088" s="1">
        <v>17</v>
      </c>
      <c r="D1088" s="4">
        <v>39881.5</v>
      </c>
      <c r="E1088" s="1" t="s">
        <v>772</v>
      </c>
      <c r="F1088" s="1"/>
      <c r="G1088" s="1"/>
      <c r="H1088" s="1"/>
      <c r="I1088" s="1"/>
      <c r="J1088" s="1"/>
      <c r="K1088" s="1"/>
      <c r="L1088" s="1"/>
      <c r="M1088" s="1"/>
      <c r="N1088" s="1"/>
      <c r="O1088" s="1"/>
      <c r="P1088" s="1"/>
      <c r="Q1088" s="1"/>
      <c r="R1088" s="1"/>
      <c r="S1088" s="1"/>
    </row>
    <row r="1089" spans="1:19" ht="33.75" customHeight="1">
      <c r="A1089" s="1" t="s">
        <v>3113</v>
      </c>
      <c r="B1089" s="1" t="s">
        <v>2870</v>
      </c>
      <c r="C1089" s="1">
        <v>17</v>
      </c>
      <c r="D1089" s="4">
        <v>39881.522916666669</v>
      </c>
      <c r="E1089" s="1" t="s">
        <v>772</v>
      </c>
      <c r="F1089" s="1"/>
      <c r="G1089" s="1"/>
      <c r="H1089" s="1"/>
      <c r="I1089" s="1"/>
      <c r="J1089" s="1"/>
      <c r="K1089" s="1"/>
      <c r="L1089" s="1"/>
      <c r="M1089" s="1"/>
      <c r="N1089" s="1"/>
      <c r="O1089" s="1"/>
      <c r="P1089" s="1"/>
      <c r="Q1089" s="1"/>
      <c r="R1089" s="1"/>
      <c r="S1089" s="1"/>
    </row>
    <row r="1090" spans="1:19" ht="33.75" customHeight="1">
      <c r="A1090" s="1" t="s">
        <v>3115</v>
      </c>
      <c r="B1090" s="1" t="s">
        <v>2870</v>
      </c>
      <c r="C1090" s="1">
        <v>17</v>
      </c>
      <c r="D1090" s="4">
        <v>39881.549305555556</v>
      </c>
      <c r="E1090" s="1" t="s">
        <v>772</v>
      </c>
      <c r="F1090" s="1"/>
      <c r="G1090" s="1"/>
      <c r="H1090" s="1"/>
      <c r="I1090" s="1"/>
      <c r="J1090" s="1"/>
      <c r="K1090" s="1"/>
      <c r="L1090" s="1"/>
      <c r="M1090" s="1"/>
      <c r="N1090" s="1"/>
      <c r="O1090" s="1"/>
      <c r="P1090" s="1"/>
      <c r="Q1090" s="1"/>
      <c r="R1090" s="1"/>
      <c r="S1090" s="1"/>
    </row>
    <row r="1091" spans="1:19" ht="33.75" customHeight="1">
      <c r="A1091" s="1" t="s">
        <v>3118</v>
      </c>
      <c r="B1091" s="1" t="s">
        <v>2870</v>
      </c>
      <c r="C1091" s="1">
        <v>17</v>
      </c>
      <c r="D1091" s="4">
        <v>39881.5625</v>
      </c>
      <c r="E1091" s="1" t="s">
        <v>772</v>
      </c>
      <c r="F1091" s="1"/>
      <c r="G1091" s="1"/>
      <c r="H1091" s="1"/>
      <c r="I1091" s="1"/>
      <c r="J1091" s="1"/>
      <c r="K1091" s="1"/>
      <c r="L1091" s="1"/>
      <c r="M1091" s="1"/>
      <c r="N1091" s="1"/>
      <c r="O1091" s="1"/>
      <c r="P1091" s="1"/>
      <c r="Q1091" s="1"/>
      <c r="R1091" s="1"/>
      <c r="S1091" s="1"/>
    </row>
    <row r="1092" spans="1:19" ht="33.75" customHeight="1">
      <c r="A1092" s="1" t="s">
        <v>3120</v>
      </c>
      <c r="B1092" s="1" t="s">
        <v>2870</v>
      </c>
      <c r="C1092" s="1">
        <v>17</v>
      </c>
      <c r="D1092" s="4">
        <v>39881.65</v>
      </c>
      <c r="E1092" s="1" t="s">
        <v>772</v>
      </c>
      <c r="F1092" s="1"/>
      <c r="G1092" s="1"/>
      <c r="H1092" s="1"/>
      <c r="I1092" s="1"/>
      <c r="J1092" s="1"/>
      <c r="K1092" s="1"/>
      <c r="L1092" s="1"/>
      <c r="M1092" s="1"/>
      <c r="N1092" s="1"/>
      <c r="O1092" s="1"/>
      <c r="P1092" s="1"/>
      <c r="Q1092" s="1"/>
      <c r="R1092" s="1"/>
      <c r="S1092" s="1"/>
    </row>
    <row r="1093" spans="1:19" ht="33.75" customHeight="1">
      <c r="A1093" s="1" t="s">
        <v>3122</v>
      </c>
      <c r="B1093" s="1" t="s">
        <v>2636</v>
      </c>
      <c r="C1093" s="1">
        <v>16</v>
      </c>
      <c r="D1093" s="4">
        <v>39881.678472222222</v>
      </c>
      <c r="E1093" s="1" t="s">
        <v>320</v>
      </c>
      <c r="F1093" s="1"/>
      <c r="G1093" s="1"/>
      <c r="H1093" s="1"/>
      <c r="I1093" s="1"/>
      <c r="J1093" s="1"/>
      <c r="K1093" s="1"/>
      <c r="L1093" s="1"/>
      <c r="M1093" s="1"/>
      <c r="N1093" s="1"/>
      <c r="O1093" s="1"/>
      <c r="P1093" s="1"/>
      <c r="Q1093" s="1"/>
      <c r="R1093" s="1"/>
      <c r="S1093" s="1"/>
    </row>
    <row r="1094" spans="1:19" ht="33.75" customHeight="1">
      <c r="A1094" s="1" t="s">
        <v>3124</v>
      </c>
      <c r="B1094" s="1" t="s">
        <v>2636</v>
      </c>
      <c r="C1094" s="1">
        <v>16</v>
      </c>
      <c r="D1094" s="4">
        <v>39881.708333333336</v>
      </c>
      <c r="E1094" s="1" t="s">
        <v>320</v>
      </c>
      <c r="F1094" s="1"/>
      <c r="G1094" s="1"/>
      <c r="H1094" s="1"/>
      <c r="I1094" s="1"/>
      <c r="J1094" s="1"/>
      <c r="K1094" s="1"/>
      <c r="L1094" s="1"/>
      <c r="M1094" s="1"/>
      <c r="N1094" s="1"/>
      <c r="O1094" s="1"/>
      <c r="P1094" s="1"/>
      <c r="Q1094" s="1"/>
      <c r="R1094" s="1"/>
      <c r="S1094" s="1"/>
    </row>
    <row r="1095" spans="1:19" ht="33.75" customHeight="1">
      <c r="A1095" s="1" t="s">
        <v>3126</v>
      </c>
      <c r="B1095" s="1" t="s">
        <v>2636</v>
      </c>
      <c r="C1095" s="1">
        <v>16</v>
      </c>
      <c r="D1095" s="4">
        <v>39881.714583333334</v>
      </c>
      <c r="E1095" s="1" t="s">
        <v>196</v>
      </c>
      <c r="F1095" s="1"/>
      <c r="G1095" s="1"/>
      <c r="H1095" s="1"/>
      <c r="I1095" s="1"/>
      <c r="J1095" s="1"/>
      <c r="K1095" s="1"/>
      <c r="L1095" s="1"/>
      <c r="M1095" s="1"/>
      <c r="N1095" s="1"/>
      <c r="O1095" s="1"/>
      <c r="P1095" s="1"/>
      <c r="Q1095" s="1"/>
      <c r="R1095" s="1"/>
      <c r="S1095" s="1"/>
    </row>
    <row r="1096" spans="1:19" ht="33.75" customHeight="1">
      <c r="A1096" s="1" t="s">
        <v>3128</v>
      </c>
      <c r="B1096" s="1" t="s">
        <v>2636</v>
      </c>
      <c r="C1096" s="1">
        <v>16</v>
      </c>
      <c r="D1096" s="4">
        <v>39881.727083333331</v>
      </c>
      <c r="E1096" s="1" t="s">
        <v>196</v>
      </c>
      <c r="F1096" s="1"/>
      <c r="G1096" s="1"/>
      <c r="H1096" s="1"/>
      <c r="I1096" s="1"/>
      <c r="J1096" s="1"/>
      <c r="K1096" s="1"/>
      <c r="L1096" s="1"/>
      <c r="M1096" s="1"/>
      <c r="N1096" s="1"/>
      <c r="O1096" s="1"/>
      <c r="P1096" s="1"/>
      <c r="Q1096" s="1"/>
      <c r="R1096" s="1"/>
      <c r="S1096" s="1"/>
    </row>
    <row r="1097" spans="1:19" ht="33.75" customHeight="1">
      <c r="A1097" s="1" t="s">
        <v>3132</v>
      </c>
      <c r="B1097" s="1" t="s">
        <v>2636</v>
      </c>
      <c r="C1097" s="1">
        <v>16</v>
      </c>
      <c r="D1097" s="4">
        <v>39881.737500000003</v>
      </c>
      <c r="E1097" s="1" t="s">
        <v>196</v>
      </c>
      <c r="F1097" s="1"/>
      <c r="G1097" s="1"/>
      <c r="H1097" s="1"/>
      <c r="I1097" s="1"/>
      <c r="J1097" s="1"/>
      <c r="K1097" s="1"/>
      <c r="L1097" s="1"/>
      <c r="M1097" s="1"/>
      <c r="N1097" s="1"/>
      <c r="O1097" s="1"/>
      <c r="P1097" s="1"/>
      <c r="Q1097" s="1"/>
      <c r="R1097" s="1"/>
      <c r="S1097" s="1"/>
    </row>
    <row r="1098" spans="1:19" ht="33.75" customHeight="1">
      <c r="A1098" s="1" t="s">
        <v>3134</v>
      </c>
      <c r="B1098" s="1" t="s">
        <v>2636</v>
      </c>
      <c r="C1098" s="1">
        <v>16</v>
      </c>
      <c r="D1098" s="4">
        <v>39881.740277777775</v>
      </c>
      <c r="E1098" s="1" t="s">
        <v>196</v>
      </c>
      <c r="F1098" s="1"/>
      <c r="G1098" s="1"/>
      <c r="H1098" s="1"/>
      <c r="I1098" s="1"/>
      <c r="J1098" s="1"/>
      <c r="K1098" s="1"/>
      <c r="L1098" s="1"/>
      <c r="M1098" s="1"/>
      <c r="N1098" s="1"/>
      <c r="O1098" s="1"/>
      <c r="P1098" s="1"/>
      <c r="Q1098" s="1"/>
      <c r="R1098" s="1"/>
      <c r="S1098" s="1"/>
    </row>
    <row r="1099" spans="1:19" ht="33.75" customHeight="1">
      <c r="A1099" s="1" t="s">
        <v>3136</v>
      </c>
      <c r="B1099" s="1" t="s">
        <v>2636</v>
      </c>
      <c r="C1099" s="1">
        <v>16</v>
      </c>
      <c r="D1099" s="4">
        <v>39881.748611111114</v>
      </c>
      <c r="E1099" s="1" t="s">
        <v>54</v>
      </c>
      <c r="F1099" s="1"/>
      <c r="G1099" s="1"/>
      <c r="H1099" s="1"/>
      <c r="I1099" s="1"/>
      <c r="J1099" s="1"/>
      <c r="K1099" s="1"/>
      <c r="L1099" s="1"/>
      <c r="M1099" s="1"/>
      <c r="N1099" s="1"/>
      <c r="O1099" s="1"/>
      <c r="P1099" s="1"/>
      <c r="Q1099" s="1"/>
      <c r="R1099" s="1"/>
      <c r="S1099" s="1"/>
    </row>
    <row r="1100" spans="1:19" ht="33.75" customHeight="1">
      <c r="A1100" s="1" t="s">
        <v>3138</v>
      </c>
      <c r="B1100" s="1" t="s">
        <v>2870</v>
      </c>
      <c r="C1100" s="1">
        <v>17</v>
      </c>
      <c r="D1100" s="4">
        <v>39881.750694444447</v>
      </c>
      <c r="E1100" s="1" t="s">
        <v>54</v>
      </c>
      <c r="F1100" s="1"/>
      <c r="G1100" s="1"/>
      <c r="H1100" s="1"/>
      <c r="I1100" s="1"/>
      <c r="J1100" s="1"/>
      <c r="K1100" s="1"/>
      <c r="L1100" s="1"/>
      <c r="M1100" s="1"/>
      <c r="N1100" s="1"/>
      <c r="O1100" s="1"/>
      <c r="P1100" s="1"/>
      <c r="Q1100" s="1"/>
      <c r="R1100" s="1"/>
      <c r="S1100" s="1"/>
    </row>
    <row r="1101" spans="1:19" ht="33.75" customHeight="1">
      <c r="A1101" s="1" t="s">
        <v>3142</v>
      </c>
      <c r="B1101" s="1" t="s">
        <v>2636</v>
      </c>
      <c r="C1101" s="1">
        <v>16</v>
      </c>
      <c r="D1101" s="4">
        <v>39881.79583333333</v>
      </c>
      <c r="E1101" s="1" t="s">
        <v>54</v>
      </c>
      <c r="F1101" s="1"/>
      <c r="G1101" s="1"/>
      <c r="H1101" s="1"/>
      <c r="I1101" s="1"/>
      <c r="J1101" s="1"/>
      <c r="K1101" s="1"/>
      <c r="L1101" s="1"/>
      <c r="M1101" s="1"/>
      <c r="N1101" s="1"/>
      <c r="O1101" s="1"/>
      <c r="P1101" s="1"/>
      <c r="Q1101" s="1"/>
      <c r="R1101" s="1"/>
      <c r="S1101" s="1"/>
    </row>
    <row r="1102" spans="1:19" ht="33.75" customHeight="1">
      <c r="A1102" s="1" t="s">
        <v>3145</v>
      </c>
      <c r="B1102" s="1" t="s">
        <v>2870</v>
      </c>
      <c r="C1102" s="1">
        <v>17</v>
      </c>
      <c r="D1102" s="4">
        <v>39881.819444444445</v>
      </c>
      <c r="E1102" s="1" t="s">
        <v>54</v>
      </c>
      <c r="F1102" s="1"/>
      <c r="G1102" s="1"/>
      <c r="H1102" s="1"/>
      <c r="I1102" s="1"/>
      <c r="J1102" s="1"/>
      <c r="K1102" s="1"/>
      <c r="L1102" s="1"/>
      <c r="M1102" s="1"/>
      <c r="N1102" s="1"/>
      <c r="O1102" s="1"/>
      <c r="P1102" s="1"/>
      <c r="Q1102" s="1"/>
      <c r="R1102" s="1"/>
      <c r="S1102" s="1"/>
    </row>
    <row r="1103" spans="1:19" ht="33.75" customHeight="1">
      <c r="A1103" s="1" t="s">
        <v>3148</v>
      </c>
      <c r="B1103" s="1" t="s">
        <v>2870</v>
      </c>
      <c r="C1103" s="1">
        <v>17</v>
      </c>
      <c r="D1103" s="4">
        <v>39881.865277777775</v>
      </c>
      <c r="E1103" s="1" t="s">
        <v>2893</v>
      </c>
      <c r="F1103" s="1"/>
      <c r="G1103" s="1"/>
      <c r="H1103" s="1"/>
      <c r="I1103" s="1"/>
      <c r="J1103" s="1"/>
      <c r="K1103" s="1"/>
      <c r="L1103" s="1"/>
      <c r="M1103" s="1"/>
      <c r="N1103" s="1"/>
      <c r="O1103" s="1"/>
      <c r="P1103" s="1"/>
      <c r="Q1103" s="1"/>
      <c r="R1103" s="1"/>
      <c r="S1103" s="1"/>
    </row>
    <row r="1104" spans="1:19" ht="33.75" customHeight="1">
      <c r="A1104" s="1" t="s">
        <v>3150</v>
      </c>
      <c r="B1104" s="1" t="s">
        <v>2870</v>
      </c>
      <c r="C1104" s="1">
        <v>17</v>
      </c>
      <c r="D1104" s="4">
        <v>39881.868055555555</v>
      </c>
      <c r="E1104" s="1" t="s">
        <v>2893</v>
      </c>
      <c r="F1104" s="1"/>
      <c r="G1104" s="1"/>
      <c r="H1104" s="1"/>
      <c r="I1104" s="1"/>
      <c r="J1104" s="1"/>
      <c r="K1104" s="1"/>
      <c r="L1104" s="1"/>
      <c r="M1104" s="1"/>
      <c r="N1104" s="1"/>
      <c r="O1104" s="1"/>
      <c r="P1104" s="1"/>
      <c r="Q1104" s="1"/>
      <c r="R1104" s="1"/>
      <c r="S1104" s="1"/>
    </row>
    <row r="1105" spans="1:19" ht="33.75" customHeight="1">
      <c r="A1105" s="1" t="s">
        <v>3152</v>
      </c>
      <c r="B1105" s="1" t="s">
        <v>2636</v>
      </c>
      <c r="C1105" s="1">
        <v>16</v>
      </c>
      <c r="D1105" s="4">
        <v>39881.89166666667</v>
      </c>
      <c r="E1105" s="1" t="s">
        <v>212</v>
      </c>
      <c r="F1105" s="1"/>
      <c r="G1105" s="1"/>
      <c r="H1105" s="1"/>
      <c r="I1105" s="1"/>
      <c r="J1105" s="1"/>
      <c r="K1105" s="1"/>
      <c r="L1105" s="1"/>
      <c r="M1105" s="1"/>
      <c r="N1105" s="1"/>
      <c r="O1105" s="1"/>
      <c r="P1105" s="1"/>
      <c r="Q1105" s="1"/>
      <c r="R1105" s="1"/>
      <c r="S1105" s="1"/>
    </row>
    <row r="1106" spans="1:19" ht="33.75" customHeight="1">
      <c r="A1106" s="1" t="s">
        <v>3155</v>
      </c>
      <c r="B1106" s="1" t="s">
        <v>3156</v>
      </c>
      <c r="C1106" s="1">
        <v>18</v>
      </c>
      <c r="D1106" s="4">
        <v>39882.325694444444</v>
      </c>
      <c r="E1106" s="1" t="s">
        <v>1528</v>
      </c>
      <c r="F1106" s="1"/>
      <c r="G1106" s="1"/>
      <c r="H1106" s="1"/>
      <c r="I1106" s="1"/>
      <c r="J1106" s="1"/>
      <c r="K1106" s="1"/>
      <c r="L1106" s="1"/>
      <c r="M1106" s="1"/>
      <c r="N1106" s="1"/>
      <c r="O1106" s="1"/>
      <c r="P1106" s="1"/>
      <c r="Q1106" s="1"/>
      <c r="R1106" s="1"/>
      <c r="S1106" s="1"/>
    </row>
    <row r="1107" spans="1:19" ht="33.75" customHeight="1">
      <c r="A1107" s="1" t="s">
        <v>3158</v>
      </c>
      <c r="B1107" s="1" t="s">
        <v>2870</v>
      </c>
      <c r="C1107" s="1">
        <v>17</v>
      </c>
      <c r="D1107" s="4">
        <v>39881.925694444442</v>
      </c>
      <c r="E1107" s="1" t="s">
        <v>2967</v>
      </c>
      <c r="F1107" s="1"/>
      <c r="G1107" s="1"/>
      <c r="H1107" s="1"/>
      <c r="I1107" s="1"/>
      <c r="J1107" s="1"/>
      <c r="K1107" s="1"/>
      <c r="L1107" s="1"/>
      <c r="M1107" s="1"/>
      <c r="N1107" s="1"/>
      <c r="O1107" s="1"/>
      <c r="P1107" s="1"/>
      <c r="Q1107" s="1"/>
      <c r="R1107" s="1"/>
      <c r="S1107" s="1"/>
    </row>
    <row r="1108" spans="1:19" ht="33.75" customHeight="1">
      <c r="A1108" s="1" t="s">
        <v>3160</v>
      </c>
      <c r="B1108" s="1" t="s">
        <v>2870</v>
      </c>
      <c r="C1108" s="1">
        <v>17</v>
      </c>
      <c r="D1108" s="4">
        <v>39881.926388888889</v>
      </c>
      <c r="E1108" s="1" t="s">
        <v>2967</v>
      </c>
      <c r="F1108" s="1"/>
      <c r="G1108" s="1"/>
      <c r="H1108" s="1"/>
      <c r="I1108" s="1"/>
      <c r="J1108" s="1"/>
      <c r="K1108" s="1"/>
      <c r="L1108" s="1"/>
      <c r="M1108" s="1"/>
      <c r="N1108" s="1"/>
      <c r="O1108" s="1"/>
      <c r="P1108" s="1"/>
      <c r="Q1108" s="1"/>
      <c r="R1108" s="1"/>
      <c r="S1108" s="1"/>
    </row>
    <row r="1109" spans="1:19" ht="33.75" customHeight="1">
      <c r="A1109" s="1" t="s">
        <v>3162</v>
      </c>
      <c r="B1109" s="1" t="s">
        <v>2636</v>
      </c>
      <c r="C1109" s="1">
        <v>16</v>
      </c>
      <c r="D1109" s="4">
        <v>39881.936805555553</v>
      </c>
      <c r="E1109" s="1" t="s">
        <v>14</v>
      </c>
      <c r="F1109" s="1"/>
      <c r="G1109" s="1"/>
      <c r="H1109" s="1"/>
      <c r="I1109" s="1"/>
      <c r="J1109" s="1"/>
      <c r="K1109" s="1"/>
      <c r="L1109" s="1"/>
      <c r="M1109" s="1"/>
      <c r="N1109" s="1"/>
      <c r="O1109" s="1"/>
      <c r="P1109" s="1"/>
      <c r="Q1109" s="1"/>
      <c r="R1109" s="1"/>
      <c r="S1109" s="1"/>
    </row>
    <row r="1110" spans="1:19" ht="33.75" customHeight="1">
      <c r="A1110" s="1" t="s">
        <v>3164</v>
      </c>
      <c r="B1110" s="1" t="s">
        <v>2870</v>
      </c>
      <c r="C1110" s="1">
        <v>17</v>
      </c>
      <c r="D1110" s="4">
        <v>39881.94027777778</v>
      </c>
      <c r="E1110" s="1" t="s">
        <v>2893</v>
      </c>
      <c r="F1110" s="1"/>
      <c r="G1110" s="1"/>
      <c r="H1110" s="1"/>
      <c r="I1110" s="1"/>
      <c r="J1110" s="1"/>
      <c r="K1110" s="1"/>
      <c r="L1110" s="1"/>
      <c r="M1110" s="1"/>
      <c r="N1110" s="1"/>
      <c r="O1110" s="1"/>
      <c r="P1110" s="1"/>
      <c r="Q1110" s="1"/>
      <c r="R1110" s="1"/>
      <c r="S1110" s="1"/>
    </row>
    <row r="1111" spans="1:19" ht="33.75" customHeight="1">
      <c r="A1111" s="1" t="s">
        <v>3167</v>
      </c>
      <c r="B1111" s="1" t="s">
        <v>2636</v>
      </c>
      <c r="C1111" s="1">
        <v>16</v>
      </c>
      <c r="D1111" s="4">
        <v>39881.94027777778</v>
      </c>
      <c r="E1111" s="1" t="s">
        <v>54</v>
      </c>
      <c r="F1111" s="1"/>
      <c r="G1111" s="1"/>
      <c r="H1111" s="1"/>
      <c r="I1111" s="1"/>
      <c r="J1111" s="1"/>
      <c r="K1111" s="1"/>
      <c r="L1111" s="1"/>
      <c r="M1111" s="1"/>
      <c r="N1111" s="1"/>
      <c r="O1111" s="1"/>
      <c r="P1111" s="1"/>
      <c r="Q1111" s="1"/>
      <c r="R1111" s="1"/>
      <c r="S1111" s="1"/>
    </row>
    <row r="1112" spans="1:19" ht="33.75" customHeight="1">
      <c r="A1112" s="1" t="s">
        <v>3170</v>
      </c>
      <c r="B1112" s="1" t="s">
        <v>2636</v>
      </c>
      <c r="C1112" s="1">
        <v>16</v>
      </c>
      <c r="D1112" s="4">
        <v>39881.943749999999</v>
      </c>
      <c r="E1112" s="1" t="s">
        <v>14</v>
      </c>
      <c r="F1112" s="1"/>
      <c r="G1112" s="1"/>
      <c r="H1112" s="1"/>
      <c r="I1112" s="1"/>
      <c r="J1112" s="1"/>
      <c r="K1112" s="1"/>
      <c r="L1112" s="1"/>
      <c r="M1112" s="1"/>
      <c r="N1112" s="1"/>
      <c r="O1112" s="1"/>
      <c r="P1112" s="1"/>
      <c r="Q1112" s="1"/>
      <c r="R1112" s="1"/>
      <c r="S1112" s="1"/>
    </row>
    <row r="1113" spans="1:19" ht="33.75" customHeight="1">
      <c r="A1113" s="1" t="s">
        <v>3172</v>
      </c>
      <c r="B1113" s="1" t="s">
        <v>2636</v>
      </c>
      <c r="C1113" s="1">
        <v>16</v>
      </c>
      <c r="D1113" s="4">
        <v>39881.948611111111</v>
      </c>
      <c r="E1113" s="1" t="s">
        <v>14</v>
      </c>
      <c r="F1113" s="1"/>
      <c r="G1113" s="1"/>
      <c r="H1113" s="1"/>
      <c r="I1113" s="1"/>
      <c r="J1113" s="1"/>
      <c r="K1113" s="1"/>
      <c r="L1113" s="1"/>
      <c r="M1113" s="1"/>
      <c r="N1113" s="1"/>
      <c r="O1113" s="1"/>
      <c r="P1113" s="1"/>
      <c r="Q1113" s="1"/>
      <c r="R1113" s="1"/>
      <c r="S1113" s="1"/>
    </row>
    <row r="1114" spans="1:19" ht="33.75" customHeight="1">
      <c r="A1114" s="1" t="s">
        <v>3176</v>
      </c>
      <c r="B1114" s="1" t="s">
        <v>2636</v>
      </c>
      <c r="C1114" s="1">
        <v>16</v>
      </c>
      <c r="D1114" s="4">
        <v>39881.951388888891</v>
      </c>
      <c r="E1114" s="1" t="s">
        <v>14</v>
      </c>
      <c r="F1114" s="1"/>
      <c r="G1114" s="1"/>
      <c r="H1114" s="1"/>
      <c r="I1114" s="1"/>
      <c r="J1114" s="1"/>
      <c r="K1114" s="1"/>
      <c r="L1114" s="1"/>
      <c r="M1114" s="1"/>
      <c r="N1114" s="1"/>
      <c r="O1114" s="1"/>
      <c r="P1114" s="1"/>
      <c r="Q1114" s="1"/>
      <c r="R1114" s="1"/>
      <c r="S1114" s="1"/>
    </row>
    <row r="1115" spans="1:19" ht="33.75" customHeight="1">
      <c r="A1115" s="1" t="s">
        <v>3179</v>
      </c>
      <c r="B1115" s="1" t="s">
        <v>2870</v>
      </c>
      <c r="C1115" s="1">
        <v>17</v>
      </c>
      <c r="D1115" s="4">
        <v>39881.954861111109</v>
      </c>
      <c r="E1115" s="1" t="s">
        <v>2893</v>
      </c>
      <c r="F1115" s="1"/>
      <c r="G1115" s="1"/>
      <c r="H1115" s="1"/>
      <c r="I1115" s="1"/>
      <c r="J1115" s="1"/>
      <c r="K1115" s="1"/>
      <c r="L1115" s="1"/>
      <c r="M1115" s="1"/>
      <c r="N1115" s="1"/>
      <c r="O1115" s="1"/>
      <c r="P1115" s="1"/>
      <c r="Q1115" s="1"/>
      <c r="R1115" s="1"/>
      <c r="S1115" s="1"/>
    </row>
    <row r="1116" spans="1:19" ht="33.75" customHeight="1">
      <c r="A1116" s="1" t="s">
        <v>3182</v>
      </c>
      <c r="B1116" s="1" t="s">
        <v>2636</v>
      </c>
      <c r="C1116" s="1">
        <v>16</v>
      </c>
      <c r="D1116" s="4">
        <v>39881.964583333334</v>
      </c>
      <c r="E1116" s="1" t="s">
        <v>54</v>
      </c>
      <c r="F1116" s="1"/>
      <c r="G1116" s="1"/>
      <c r="H1116" s="1"/>
      <c r="I1116" s="1"/>
      <c r="J1116" s="1"/>
      <c r="K1116" s="1"/>
      <c r="L1116" s="1"/>
      <c r="M1116" s="1"/>
      <c r="N1116" s="1"/>
      <c r="O1116" s="1"/>
      <c r="P1116" s="1"/>
      <c r="Q1116" s="1"/>
      <c r="R1116" s="1"/>
      <c r="S1116" s="1"/>
    </row>
    <row r="1117" spans="1:19" ht="33.75" customHeight="1">
      <c r="A1117" s="1" t="s">
        <v>12</v>
      </c>
      <c r="B1117" s="1" t="s">
        <v>3156</v>
      </c>
      <c r="C1117" s="1">
        <v>18</v>
      </c>
      <c r="D1117" s="4">
        <v>39881.973124999997</v>
      </c>
      <c r="E1117" s="1" t="s">
        <v>14</v>
      </c>
      <c r="F1117" s="1"/>
      <c r="G1117" s="1"/>
      <c r="H1117" s="1"/>
      <c r="I1117" s="1"/>
      <c r="J1117" s="1"/>
      <c r="K1117" s="1"/>
      <c r="L1117" s="1"/>
      <c r="M1117" s="1"/>
      <c r="N1117" s="1"/>
      <c r="O1117" s="1"/>
      <c r="P1117" s="1"/>
      <c r="Q1117" s="1"/>
      <c r="R1117" s="1"/>
      <c r="S1117" s="1"/>
    </row>
    <row r="1118" spans="1:19" ht="33.75" customHeight="1">
      <c r="A1118" s="1" t="s">
        <v>3188</v>
      </c>
      <c r="B1118" s="1" t="s">
        <v>2636</v>
      </c>
      <c r="C1118" s="1">
        <v>16</v>
      </c>
      <c r="D1118" s="4">
        <v>39881.988888888889</v>
      </c>
      <c r="E1118" s="1" t="s">
        <v>14</v>
      </c>
      <c r="F1118" s="1"/>
      <c r="G1118" s="1"/>
      <c r="H1118" s="1"/>
      <c r="I1118" s="1"/>
      <c r="J1118" s="1"/>
      <c r="K1118" s="1"/>
      <c r="L1118" s="1"/>
      <c r="M1118" s="1"/>
      <c r="N1118" s="1"/>
      <c r="O1118" s="1"/>
      <c r="P1118" s="1"/>
      <c r="Q1118" s="1"/>
      <c r="R1118" s="1"/>
      <c r="S1118" s="1"/>
    </row>
    <row r="1119" spans="1:19" ht="33.75" customHeight="1">
      <c r="A1119" s="1" t="s">
        <v>3191</v>
      </c>
      <c r="B1119" s="1" t="s">
        <v>2636</v>
      </c>
      <c r="C1119" s="1">
        <v>16</v>
      </c>
      <c r="D1119" s="4">
        <v>39881.998611111114</v>
      </c>
      <c r="E1119" s="1" t="s">
        <v>14</v>
      </c>
      <c r="F1119" s="1"/>
      <c r="G1119" s="1"/>
      <c r="H1119" s="1"/>
      <c r="I1119" s="1"/>
      <c r="J1119" s="1"/>
      <c r="K1119" s="1"/>
      <c r="L1119" s="1"/>
      <c r="M1119" s="1"/>
      <c r="N1119" s="1"/>
      <c r="O1119" s="1"/>
      <c r="P1119" s="1"/>
      <c r="Q1119" s="1"/>
      <c r="R1119" s="1"/>
      <c r="S1119" s="1"/>
    </row>
    <row r="1120" spans="1:19" ht="33.75" customHeight="1">
      <c r="A1120" s="1" t="s">
        <v>3193</v>
      </c>
      <c r="B1120" s="1" t="s">
        <v>2636</v>
      </c>
      <c r="C1120" s="1">
        <v>16</v>
      </c>
      <c r="D1120" s="4">
        <v>39882.017361111109</v>
      </c>
      <c r="E1120" s="1" t="s">
        <v>14</v>
      </c>
      <c r="F1120" s="1"/>
      <c r="G1120" s="1"/>
      <c r="H1120" s="1"/>
      <c r="I1120" s="1"/>
      <c r="J1120" s="1"/>
      <c r="K1120" s="1"/>
      <c r="L1120" s="1"/>
      <c r="M1120" s="1"/>
      <c r="N1120" s="1"/>
      <c r="O1120" s="1"/>
      <c r="P1120" s="1"/>
      <c r="Q1120" s="1"/>
      <c r="R1120" s="1"/>
      <c r="S1120" s="1"/>
    </row>
    <row r="1121" spans="1:19" ht="33.75" customHeight="1">
      <c r="A1121" s="1" t="s">
        <v>3196</v>
      </c>
      <c r="B1121" s="1" t="s">
        <v>2636</v>
      </c>
      <c r="C1121" s="1">
        <v>16</v>
      </c>
      <c r="D1121" s="4">
        <v>39882.063194444447</v>
      </c>
      <c r="E1121" s="1" t="s">
        <v>14</v>
      </c>
      <c r="F1121" s="1"/>
      <c r="G1121" s="1"/>
      <c r="H1121" s="1"/>
      <c r="I1121" s="1"/>
      <c r="J1121" s="1"/>
      <c r="K1121" s="1"/>
      <c r="L1121" s="1"/>
      <c r="M1121" s="1"/>
      <c r="N1121" s="1"/>
      <c r="O1121" s="1"/>
      <c r="P1121" s="1"/>
      <c r="Q1121" s="1"/>
      <c r="R1121" s="1"/>
      <c r="S1121" s="1"/>
    </row>
    <row r="1122" spans="1:19" ht="33.75" customHeight="1">
      <c r="A1122" s="1" t="s">
        <v>3198</v>
      </c>
      <c r="B1122" s="1" t="s">
        <v>3156</v>
      </c>
      <c r="C1122" s="1">
        <v>18</v>
      </c>
      <c r="D1122" s="4">
        <v>39882.063888888886</v>
      </c>
      <c r="E1122" s="1" t="s">
        <v>84</v>
      </c>
      <c r="F1122" s="1"/>
      <c r="G1122" s="1"/>
      <c r="H1122" s="1"/>
      <c r="I1122" s="1"/>
      <c r="J1122" s="1"/>
      <c r="K1122" s="1"/>
      <c r="L1122" s="1"/>
      <c r="M1122" s="1"/>
      <c r="N1122" s="1"/>
      <c r="O1122" s="1"/>
      <c r="P1122" s="1"/>
      <c r="Q1122" s="1"/>
      <c r="R1122" s="1"/>
      <c r="S1122" s="1"/>
    </row>
    <row r="1123" spans="1:19" ht="33.75" customHeight="1">
      <c r="A1123" s="1" t="s">
        <v>3202</v>
      </c>
      <c r="B1123" s="1" t="s">
        <v>2636</v>
      </c>
      <c r="C1123" s="1">
        <v>16</v>
      </c>
      <c r="D1123" s="4">
        <v>39882.067361111112</v>
      </c>
      <c r="E1123" s="1" t="s">
        <v>14</v>
      </c>
      <c r="F1123" s="1"/>
      <c r="G1123" s="1"/>
      <c r="H1123" s="1"/>
      <c r="I1123" s="1"/>
      <c r="J1123" s="1"/>
      <c r="K1123" s="1"/>
      <c r="L1123" s="1"/>
      <c r="M1123" s="1"/>
      <c r="N1123" s="1"/>
      <c r="O1123" s="1"/>
      <c r="P1123" s="1"/>
      <c r="Q1123" s="1"/>
      <c r="R1123" s="1"/>
      <c r="S1123" s="1"/>
    </row>
    <row r="1124" spans="1:19" ht="33.75" customHeight="1">
      <c r="A1124" s="1" t="s">
        <v>3204</v>
      </c>
      <c r="B1124" s="1" t="s">
        <v>3156</v>
      </c>
      <c r="C1124" s="1">
        <v>18</v>
      </c>
      <c r="D1124" s="4">
        <v>39882.150694444441</v>
      </c>
      <c r="E1124" s="1" t="s">
        <v>54</v>
      </c>
      <c r="F1124" s="1"/>
      <c r="G1124" s="1"/>
      <c r="H1124" s="1"/>
      <c r="I1124" s="1"/>
      <c r="J1124" s="1"/>
      <c r="K1124" s="1"/>
      <c r="L1124" s="1"/>
      <c r="M1124" s="1"/>
      <c r="N1124" s="1"/>
      <c r="O1124" s="1"/>
      <c r="P1124" s="1"/>
      <c r="Q1124" s="1"/>
      <c r="R1124" s="1"/>
      <c r="S1124" s="1"/>
    </row>
    <row r="1125" spans="1:19" ht="33.75" customHeight="1">
      <c r="A1125" s="1" t="s">
        <v>3207</v>
      </c>
      <c r="B1125" s="1" t="s">
        <v>2870</v>
      </c>
      <c r="C1125" s="1">
        <v>17</v>
      </c>
      <c r="D1125" s="4">
        <v>39882.22152777778</v>
      </c>
      <c r="E1125" s="1" t="s">
        <v>1089</v>
      </c>
      <c r="F1125" s="1"/>
      <c r="G1125" s="1"/>
      <c r="H1125" s="1"/>
      <c r="I1125" s="1"/>
      <c r="J1125" s="1"/>
      <c r="K1125" s="1"/>
      <c r="L1125" s="1"/>
      <c r="M1125" s="1"/>
      <c r="N1125" s="1"/>
      <c r="O1125" s="1"/>
      <c r="P1125" s="1"/>
      <c r="Q1125" s="1"/>
      <c r="R1125" s="1"/>
      <c r="S1125" s="1"/>
    </row>
    <row r="1126" spans="1:19" ht="33.75" customHeight="1">
      <c r="A1126" s="1" t="s">
        <v>3209</v>
      </c>
      <c r="B1126" s="1" t="s">
        <v>2870</v>
      </c>
      <c r="C1126" s="1">
        <v>17</v>
      </c>
      <c r="D1126" s="4">
        <v>39882.304166666669</v>
      </c>
      <c r="E1126" s="1" t="s">
        <v>54</v>
      </c>
      <c r="F1126" s="1"/>
      <c r="G1126" s="1"/>
      <c r="H1126" s="1"/>
      <c r="I1126" s="1"/>
      <c r="J1126" s="1"/>
      <c r="K1126" s="1"/>
      <c r="L1126" s="1"/>
      <c r="M1126" s="1"/>
      <c r="N1126" s="1"/>
      <c r="O1126" s="1"/>
      <c r="P1126" s="1"/>
      <c r="Q1126" s="1"/>
      <c r="R1126" s="1"/>
      <c r="S1126" s="1"/>
    </row>
    <row r="1127" spans="1:19" ht="33.75" customHeight="1">
      <c r="A1127" s="1" t="s">
        <v>3211</v>
      </c>
      <c r="B1127" s="1" t="s">
        <v>3156</v>
      </c>
      <c r="C1127" s="1">
        <v>18</v>
      </c>
      <c r="D1127" s="4">
        <v>39882.305555555555</v>
      </c>
      <c r="E1127" s="1" t="s">
        <v>320</v>
      </c>
      <c r="F1127" s="1"/>
      <c r="G1127" s="1"/>
      <c r="H1127" s="1"/>
      <c r="I1127" s="1"/>
      <c r="J1127" s="1"/>
      <c r="K1127" s="1"/>
      <c r="L1127" s="1"/>
      <c r="M1127" s="1"/>
      <c r="N1127" s="1"/>
      <c r="O1127" s="1"/>
      <c r="P1127" s="1"/>
      <c r="Q1127" s="1"/>
      <c r="R1127" s="1"/>
      <c r="S1127" s="1"/>
    </row>
    <row r="1128" spans="1:19" ht="33.75" customHeight="1">
      <c r="A1128" s="1" t="s">
        <v>3214</v>
      </c>
      <c r="B1128" s="1" t="s">
        <v>3156</v>
      </c>
      <c r="C1128" s="1">
        <v>18</v>
      </c>
      <c r="D1128" s="4">
        <v>39882.306250000001</v>
      </c>
      <c r="E1128" s="1" t="s">
        <v>320</v>
      </c>
      <c r="F1128" s="1"/>
      <c r="G1128" s="1"/>
      <c r="H1128" s="1"/>
      <c r="I1128" s="1"/>
      <c r="J1128" s="1"/>
      <c r="K1128" s="1"/>
      <c r="L1128" s="1"/>
      <c r="M1128" s="1"/>
      <c r="N1128" s="1"/>
      <c r="O1128" s="1"/>
      <c r="P1128" s="1"/>
      <c r="Q1128" s="1"/>
      <c r="R1128" s="1"/>
      <c r="S1128" s="1"/>
    </row>
    <row r="1129" spans="1:19" ht="33.75" customHeight="1">
      <c r="A1129" s="1" t="s">
        <v>3216</v>
      </c>
      <c r="B1129" s="1" t="s">
        <v>3156</v>
      </c>
      <c r="C1129" s="1">
        <v>18</v>
      </c>
      <c r="D1129" s="4">
        <v>39882.652083333334</v>
      </c>
      <c r="E1129" s="1" t="s">
        <v>1528</v>
      </c>
      <c r="F1129" s="1"/>
      <c r="G1129" s="1"/>
      <c r="H1129" s="1"/>
      <c r="I1129" s="1"/>
      <c r="J1129" s="1"/>
      <c r="K1129" s="1"/>
      <c r="L1129" s="1"/>
      <c r="M1129" s="1"/>
      <c r="N1129" s="1"/>
      <c r="O1129" s="1"/>
      <c r="P1129" s="1"/>
      <c r="Q1129" s="1"/>
      <c r="R1129" s="1"/>
      <c r="S1129" s="1"/>
    </row>
    <row r="1130" spans="1:19" ht="33.75" customHeight="1">
      <c r="A1130" s="1" t="s">
        <v>3218</v>
      </c>
      <c r="B1130" s="1" t="s">
        <v>3156</v>
      </c>
      <c r="C1130" s="1">
        <v>18</v>
      </c>
      <c r="D1130" s="4">
        <v>39882.383333333331</v>
      </c>
      <c r="E1130" s="1" t="s">
        <v>14</v>
      </c>
      <c r="F1130" s="1"/>
      <c r="G1130" s="1"/>
      <c r="H1130" s="1"/>
      <c r="I1130" s="1"/>
      <c r="J1130" s="1"/>
      <c r="K1130" s="1"/>
      <c r="L1130" s="1"/>
      <c r="M1130" s="1"/>
      <c r="N1130" s="1"/>
      <c r="O1130" s="1"/>
      <c r="P1130" s="1"/>
      <c r="Q1130" s="1"/>
      <c r="R1130" s="1"/>
      <c r="S1130" s="1"/>
    </row>
    <row r="1131" spans="1:19" ht="33.75" customHeight="1">
      <c r="A1131" s="1" t="s">
        <v>3220</v>
      </c>
      <c r="B1131" s="1" t="s">
        <v>3156</v>
      </c>
      <c r="C1131" s="1">
        <v>18</v>
      </c>
      <c r="D1131" s="4">
        <v>39882.387499999997</v>
      </c>
      <c r="E1131" s="1" t="s">
        <v>14</v>
      </c>
      <c r="F1131" s="1"/>
      <c r="G1131" s="1"/>
      <c r="H1131" s="1"/>
      <c r="I1131" s="1"/>
      <c r="J1131" s="1"/>
      <c r="K1131" s="1"/>
      <c r="L1131" s="1"/>
      <c r="M1131" s="1"/>
      <c r="N1131" s="1"/>
      <c r="O1131" s="1"/>
      <c r="P1131" s="1"/>
      <c r="Q1131" s="1"/>
      <c r="R1131" s="1"/>
      <c r="S1131" s="1"/>
    </row>
    <row r="1132" spans="1:19" ht="33.75" customHeight="1">
      <c r="A1132" s="1" t="s">
        <v>3222</v>
      </c>
      <c r="B1132" s="1" t="s">
        <v>3156</v>
      </c>
      <c r="C1132" s="1">
        <v>18</v>
      </c>
      <c r="D1132" s="4">
        <v>39882.442361111112</v>
      </c>
      <c r="E1132" s="1" t="s">
        <v>14</v>
      </c>
      <c r="F1132" s="1"/>
      <c r="G1132" s="1"/>
      <c r="H1132" s="1"/>
      <c r="I1132" s="1"/>
      <c r="J1132" s="1"/>
      <c r="K1132" s="1"/>
      <c r="L1132" s="1"/>
      <c r="M1132" s="1"/>
      <c r="N1132" s="1"/>
      <c r="O1132" s="1"/>
      <c r="P1132" s="1"/>
      <c r="Q1132" s="1"/>
      <c r="R1132" s="1"/>
      <c r="S1132" s="1"/>
    </row>
    <row r="1133" spans="1:19" ht="33.75" customHeight="1">
      <c r="A1133" s="1" t="s">
        <v>3224</v>
      </c>
      <c r="B1133" s="1" t="s">
        <v>3156</v>
      </c>
      <c r="C1133" s="1">
        <v>18</v>
      </c>
      <c r="D1133" s="4">
        <v>39882.445138888892</v>
      </c>
      <c r="E1133" s="1" t="s">
        <v>14</v>
      </c>
      <c r="F1133" s="1"/>
      <c r="G1133" s="1"/>
      <c r="H1133" s="1"/>
      <c r="I1133" s="1"/>
      <c r="J1133" s="1"/>
      <c r="K1133" s="1"/>
      <c r="L1133" s="1"/>
      <c r="M1133" s="1"/>
      <c r="N1133" s="1"/>
      <c r="O1133" s="1"/>
      <c r="P1133" s="1"/>
      <c r="Q1133" s="1"/>
      <c r="R1133" s="1"/>
      <c r="S1133" s="1"/>
    </row>
    <row r="1134" spans="1:19" ht="33.75" customHeight="1">
      <c r="A1134" s="1" t="s">
        <v>3226</v>
      </c>
      <c r="B1134" s="1" t="s">
        <v>3156</v>
      </c>
      <c r="C1134" s="1">
        <v>18</v>
      </c>
      <c r="D1134" s="4">
        <v>39882.450694444444</v>
      </c>
      <c r="E1134" s="1" t="s">
        <v>14</v>
      </c>
      <c r="F1134" s="1"/>
      <c r="G1134" s="1"/>
      <c r="H1134" s="1"/>
      <c r="I1134" s="1"/>
      <c r="J1134" s="1"/>
      <c r="K1134" s="1"/>
      <c r="L1134" s="1"/>
      <c r="M1134" s="1"/>
      <c r="N1134" s="1"/>
      <c r="O1134" s="1"/>
      <c r="P1134" s="1"/>
      <c r="Q1134" s="1"/>
      <c r="R1134" s="1"/>
      <c r="S1134" s="1"/>
    </row>
    <row r="1135" spans="1:19" ht="33.75" customHeight="1">
      <c r="A1135" s="1" t="s">
        <v>3229</v>
      </c>
      <c r="B1135" s="1" t="s">
        <v>3156</v>
      </c>
      <c r="C1135" s="1">
        <v>18</v>
      </c>
      <c r="D1135" s="4">
        <v>39882.790277777778</v>
      </c>
      <c r="E1135" s="1" t="s">
        <v>1528</v>
      </c>
      <c r="F1135" s="1"/>
      <c r="G1135" s="1"/>
      <c r="H1135" s="1"/>
      <c r="I1135" s="1"/>
      <c r="J1135" s="1"/>
      <c r="K1135" s="1"/>
      <c r="L1135" s="1"/>
      <c r="M1135" s="1"/>
      <c r="N1135" s="1"/>
      <c r="O1135" s="1"/>
      <c r="P1135" s="1"/>
      <c r="Q1135" s="1"/>
      <c r="R1135" s="1"/>
      <c r="S1135" s="1"/>
    </row>
    <row r="1136" spans="1:19" ht="33.75" customHeight="1">
      <c r="A1136" s="1" t="s">
        <v>3231</v>
      </c>
      <c r="B1136" s="1" t="s">
        <v>3156</v>
      </c>
      <c r="C1136" s="1">
        <v>18</v>
      </c>
      <c r="D1136" s="4">
        <v>39882.695138888892</v>
      </c>
      <c r="E1136" s="1" t="s">
        <v>320</v>
      </c>
      <c r="F1136" s="1"/>
      <c r="G1136" s="1"/>
      <c r="H1136" s="1"/>
      <c r="I1136" s="1"/>
      <c r="J1136" s="1"/>
      <c r="K1136" s="1"/>
      <c r="L1136" s="1"/>
      <c r="M1136" s="1"/>
      <c r="N1136" s="1"/>
      <c r="O1136" s="1"/>
      <c r="P1136" s="1"/>
      <c r="Q1136" s="1"/>
      <c r="R1136" s="1"/>
      <c r="S1136" s="1"/>
    </row>
    <row r="1137" spans="1:19" ht="33.75" customHeight="1">
      <c r="A1137" s="1" t="s">
        <v>3233</v>
      </c>
      <c r="B1137" s="1" t="s">
        <v>2870</v>
      </c>
      <c r="C1137" s="1">
        <v>17</v>
      </c>
      <c r="D1137" s="4">
        <v>39882.703472222223</v>
      </c>
      <c r="E1137" s="1" t="s">
        <v>1089</v>
      </c>
      <c r="F1137" s="1"/>
      <c r="G1137" s="1"/>
      <c r="H1137" s="1"/>
      <c r="I1137" s="1"/>
      <c r="J1137" s="1"/>
      <c r="K1137" s="1"/>
      <c r="L1137" s="1"/>
      <c r="M1137" s="1"/>
      <c r="N1137" s="1"/>
      <c r="O1137" s="1"/>
      <c r="P1137" s="1"/>
      <c r="Q1137" s="1"/>
      <c r="R1137" s="1"/>
      <c r="S1137" s="1"/>
    </row>
    <row r="1138" spans="1:19" ht="33.75" customHeight="1">
      <c r="A1138" s="1" t="s">
        <v>3237</v>
      </c>
      <c r="B1138" s="1" t="s">
        <v>2870</v>
      </c>
      <c r="C1138" s="1">
        <v>17</v>
      </c>
      <c r="D1138" s="4">
        <v>39882.71875</v>
      </c>
      <c r="E1138" s="1" t="s">
        <v>54</v>
      </c>
      <c r="F1138" s="1"/>
      <c r="G1138" s="1"/>
      <c r="H1138" s="1"/>
      <c r="I1138" s="1"/>
      <c r="J1138" s="1"/>
      <c r="K1138" s="1"/>
      <c r="L1138" s="1"/>
      <c r="M1138" s="1"/>
      <c r="N1138" s="1"/>
      <c r="O1138" s="1"/>
      <c r="P1138" s="1"/>
      <c r="Q1138" s="1"/>
      <c r="R1138" s="1"/>
      <c r="S1138" s="1"/>
    </row>
    <row r="1139" spans="1:19" ht="33.75" customHeight="1">
      <c r="A1139" s="1" t="s">
        <v>3240</v>
      </c>
      <c r="B1139" s="1" t="s">
        <v>3156</v>
      </c>
      <c r="C1139" s="1">
        <v>18</v>
      </c>
      <c r="D1139" s="4">
        <v>39883.81527777778</v>
      </c>
      <c r="E1139" s="1" t="s">
        <v>1528</v>
      </c>
      <c r="F1139" s="1"/>
      <c r="G1139" s="1"/>
      <c r="H1139" s="1"/>
      <c r="I1139" s="1"/>
      <c r="J1139" s="1"/>
      <c r="K1139" s="1"/>
      <c r="L1139" s="1"/>
      <c r="M1139" s="1"/>
      <c r="N1139" s="1"/>
      <c r="O1139" s="1"/>
      <c r="P1139" s="1"/>
      <c r="Q1139" s="1"/>
      <c r="R1139" s="1"/>
      <c r="S1139" s="1"/>
    </row>
    <row r="1140" spans="1:19" ht="33.75" customHeight="1">
      <c r="A1140" s="1" t="s">
        <v>3242</v>
      </c>
      <c r="B1140" s="1" t="s">
        <v>3156</v>
      </c>
      <c r="C1140" s="1">
        <v>18</v>
      </c>
      <c r="D1140" s="4">
        <v>39882.798611111109</v>
      </c>
      <c r="E1140" s="1" t="s">
        <v>54</v>
      </c>
      <c r="F1140" s="1"/>
      <c r="G1140" s="1"/>
      <c r="H1140" s="1"/>
      <c r="I1140" s="1"/>
      <c r="J1140" s="1"/>
      <c r="K1140" s="1"/>
      <c r="L1140" s="1"/>
      <c r="M1140" s="1"/>
      <c r="N1140" s="1"/>
      <c r="O1140" s="1"/>
      <c r="P1140" s="1"/>
      <c r="Q1140" s="1"/>
      <c r="R1140" s="1"/>
      <c r="S1140" s="1"/>
    </row>
    <row r="1141" spans="1:19" ht="33.75" customHeight="1">
      <c r="A1141" s="1" t="s">
        <v>3245</v>
      </c>
      <c r="B1141" s="1" t="s">
        <v>3156</v>
      </c>
      <c r="C1141" s="1">
        <v>18</v>
      </c>
      <c r="D1141" s="4">
        <v>39882.821527777778</v>
      </c>
      <c r="E1141" s="1" t="s">
        <v>54</v>
      </c>
      <c r="F1141" s="1"/>
      <c r="G1141" s="1"/>
      <c r="H1141" s="1"/>
      <c r="I1141" s="1"/>
      <c r="J1141" s="1"/>
      <c r="K1141" s="1"/>
      <c r="L1141" s="1"/>
      <c r="M1141" s="1"/>
      <c r="N1141" s="1"/>
      <c r="O1141" s="1"/>
      <c r="P1141" s="1"/>
      <c r="Q1141" s="1"/>
      <c r="R1141" s="1"/>
      <c r="S1141" s="1"/>
    </row>
    <row r="1142" spans="1:19" ht="33.75" customHeight="1">
      <c r="A1142" s="1" t="s">
        <v>3248</v>
      </c>
      <c r="B1142" s="1" t="s">
        <v>3156</v>
      </c>
      <c r="C1142" s="1">
        <v>18</v>
      </c>
      <c r="D1142" s="4">
        <v>39882.822222222225</v>
      </c>
      <c r="E1142" s="1" t="s">
        <v>54</v>
      </c>
      <c r="F1142" s="1"/>
      <c r="G1142" s="1"/>
      <c r="H1142" s="1"/>
      <c r="I1142" s="1"/>
      <c r="J1142" s="1"/>
      <c r="K1142" s="1"/>
      <c r="L1142" s="1"/>
      <c r="M1142" s="1"/>
      <c r="N1142" s="1"/>
      <c r="O1142" s="1"/>
      <c r="P1142" s="1"/>
      <c r="Q1142" s="1"/>
      <c r="R1142" s="1"/>
      <c r="S1142" s="1"/>
    </row>
    <row r="1143" spans="1:19" ht="33.75" customHeight="1">
      <c r="A1143" s="1" t="s">
        <v>3250</v>
      </c>
      <c r="B1143" s="1" t="s">
        <v>3156</v>
      </c>
      <c r="C1143" s="1">
        <v>18</v>
      </c>
      <c r="D1143" s="4">
        <v>39882.822916666664</v>
      </c>
      <c r="E1143" s="1" t="s">
        <v>14</v>
      </c>
      <c r="F1143" s="1"/>
      <c r="G1143" s="1"/>
      <c r="H1143" s="1"/>
      <c r="I1143" s="1"/>
      <c r="J1143" s="1"/>
      <c r="K1143" s="1"/>
      <c r="L1143" s="1"/>
      <c r="M1143" s="1"/>
      <c r="N1143" s="1"/>
      <c r="O1143" s="1"/>
      <c r="P1143" s="1"/>
      <c r="Q1143" s="1"/>
      <c r="R1143" s="1"/>
      <c r="S1143" s="1"/>
    </row>
    <row r="1144" spans="1:19" ht="33.75" customHeight="1">
      <c r="A1144" s="1" t="s">
        <v>3253</v>
      </c>
      <c r="B1144" s="1" t="s">
        <v>3156</v>
      </c>
      <c r="C1144" s="1">
        <v>18</v>
      </c>
      <c r="D1144" s="4">
        <v>39882.829861111109</v>
      </c>
      <c r="E1144" s="1" t="s">
        <v>54</v>
      </c>
      <c r="F1144" s="1"/>
      <c r="G1144" s="1"/>
      <c r="H1144" s="1"/>
      <c r="I1144" s="1"/>
      <c r="J1144" s="1"/>
      <c r="K1144" s="1"/>
      <c r="L1144" s="1"/>
      <c r="M1144" s="1"/>
      <c r="N1144" s="1"/>
      <c r="O1144" s="1"/>
      <c r="P1144" s="1"/>
      <c r="Q1144" s="1"/>
      <c r="R1144" s="1"/>
      <c r="S1144" s="1"/>
    </row>
    <row r="1145" spans="1:19" ht="33.75" customHeight="1">
      <c r="A1145" s="1" t="s">
        <v>12</v>
      </c>
      <c r="B1145" s="1" t="s">
        <v>3255</v>
      </c>
      <c r="C1145" s="1">
        <v>19</v>
      </c>
      <c r="D1145" s="4">
        <v>39882.90420138889</v>
      </c>
      <c r="E1145" s="1" t="s">
        <v>14</v>
      </c>
      <c r="F1145" s="1"/>
      <c r="G1145" s="1"/>
      <c r="H1145" s="1"/>
      <c r="I1145" s="1"/>
      <c r="J1145" s="1"/>
      <c r="K1145" s="1"/>
      <c r="L1145" s="1"/>
      <c r="M1145" s="1"/>
      <c r="N1145" s="1"/>
      <c r="O1145" s="1"/>
      <c r="P1145" s="1"/>
      <c r="Q1145" s="1"/>
      <c r="R1145" s="1"/>
      <c r="S1145" s="1"/>
    </row>
    <row r="1146" spans="1:19" ht="33.75" customHeight="1">
      <c r="A1146" s="1" t="s">
        <v>3258</v>
      </c>
      <c r="B1146" s="1" t="s">
        <v>3156</v>
      </c>
      <c r="C1146" s="1">
        <v>18</v>
      </c>
      <c r="D1146" s="4">
        <v>39882.912499999999</v>
      </c>
      <c r="E1146" s="1" t="s">
        <v>320</v>
      </c>
      <c r="F1146" s="1"/>
      <c r="G1146" s="1"/>
      <c r="H1146" s="1"/>
      <c r="I1146" s="1"/>
      <c r="J1146" s="1"/>
      <c r="K1146" s="1"/>
      <c r="L1146" s="1"/>
      <c r="M1146" s="1"/>
      <c r="N1146" s="1"/>
      <c r="O1146" s="1"/>
      <c r="P1146" s="1"/>
      <c r="Q1146" s="1"/>
      <c r="R1146" s="1"/>
      <c r="S1146" s="1"/>
    </row>
    <row r="1147" spans="1:19" ht="33.75" customHeight="1">
      <c r="A1147" s="1" t="s">
        <v>3260</v>
      </c>
      <c r="B1147" s="1" t="s">
        <v>3156</v>
      </c>
      <c r="C1147" s="1">
        <v>18</v>
      </c>
      <c r="D1147" s="4">
        <v>39882.913194444445</v>
      </c>
      <c r="E1147" s="1" t="s">
        <v>54</v>
      </c>
      <c r="F1147" s="1"/>
      <c r="G1147" s="1"/>
      <c r="H1147" s="1"/>
      <c r="I1147" s="1"/>
      <c r="J1147" s="1"/>
      <c r="K1147" s="1"/>
      <c r="L1147" s="1"/>
      <c r="M1147" s="1"/>
      <c r="N1147" s="1"/>
      <c r="O1147" s="1"/>
      <c r="P1147" s="1"/>
      <c r="Q1147" s="1"/>
      <c r="R1147" s="1"/>
      <c r="S1147" s="1"/>
    </row>
    <row r="1148" spans="1:19" ht="33.75" customHeight="1">
      <c r="A1148" s="1" t="s">
        <v>3262</v>
      </c>
      <c r="B1148" s="1" t="s">
        <v>3156</v>
      </c>
      <c r="C1148" s="1">
        <v>18</v>
      </c>
      <c r="D1148" s="4">
        <v>39882.925000000003</v>
      </c>
      <c r="E1148" s="1" t="s">
        <v>320</v>
      </c>
      <c r="F1148" s="1"/>
      <c r="G1148" s="1"/>
      <c r="H1148" s="1"/>
      <c r="I1148" s="1"/>
      <c r="J1148" s="1"/>
      <c r="K1148" s="1"/>
      <c r="L1148" s="1"/>
      <c r="M1148" s="1"/>
      <c r="N1148" s="1"/>
      <c r="O1148" s="1"/>
      <c r="P1148" s="1"/>
      <c r="Q1148" s="1"/>
      <c r="R1148" s="1"/>
      <c r="S1148" s="1"/>
    </row>
    <row r="1149" spans="1:19" ht="33.75" customHeight="1">
      <c r="A1149" s="1" t="s">
        <v>3264</v>
      </c>
      <c r="B1149" s="1" t="s">
        <v>3156</v>
      </c>
      <c r="C1149" s="1">
        <v>18</v>
      </c>
      <c r="D1149" s="4">
        <v>39882.935416666667</v>
      </c>
      <c r="E1149" s="1" t="s">
        <v>320</v>
      </c>
      <c r="F1149" s="1"/>
      <c r="G1149" s="1"/>
      <c r="H1149" s="1"/>
      <c r="I1149" s="1"/>
      <c r="J1149" s="1"/>
      <c r="K1149" s="1"/>
      <c r="L1149" s="1"/>
      <c r="M1149" s="1"/>
      <c r="N1149" s="1"/>
      <c r="O1149" s="1"/>
      <c r="P1149" s="1"/>
      <c r="Q1149" s="1"/>
      <c r="R1149" s="1"/>
      <c r="S1149" s="1"/>
    </row>
    <row r="1150" spans="1:19" ht="33.75" customHeight="1">
      <c r="A1150" s="1" t="s">
        <v>3267</v>
      </c>
      <c r="B1150" s="1" t="s">
        <v>3255</v>
      </c>
      <c r="C1150" s="1">
        <v>19</v>
      </c>
      <c r="D1150" s="4">
        <v>39882.95416666667</v>
      </c>
      <c r="E1150" s="1" t="s">
        <v>3268</v>
      </c>
      <c r="F1150" s="1"/>
      <c r="G1150" s="1"/>
      <c r="H1150" s="1"/>
      <c r="I1150" s="1"/>
      <c r="J1150" s="1"/>
      <c r="K1150" s="1"/>
      <c r="L1150" s="1"/>
      <c r="M1150" s="1"/>
      <c r="N1150" s="1"/>
      <c r="O1150" s="1"/>
      <c r="P1150" s="1"/>
      <c r="Q1150" s="1"/>
      <c r="R1150" s="1"/>
      <c r="S1150" s="1"/>
    </row>
    <row r="1151" spans="1:19" ht="33.75" customHeight="1">
      <c r="A1151" s="1" t="s">
        <v>3271</v>
      </c>
      <c r="B1151" s="1" t="s">
        <v>2870</v>
      </c>
      <c r="C1151" s="1">
        <v>17</v>
      </c>
      <c r="D1151" s="4">
        <v>39882.955555555556</v>
      </c>
      <c r="E1151" s="1" t="s">
        <v>913</v>
      </c>
      <c r="F1151" s="1"/>
      <c r="G1151" s="1"/>
      <c r="H1151" s="1"/>
      <c r="I1151" s="1"/>
      <c r="J1151" s="1"/>
      <c r="K1151" s="1"/>
      <c r="L1151" s="1"/>
      <c r="M1151" s="1"/>
      <c r="N1151" s="1"/>
      <c r="O1151" s="1"/>
      <c r="P1151" s="1"/>
      <c r="Q1151" s="1"/>
      <c r="R1151" s="1"/>
      <c r="S1151" s="1"/>
    </row>
    <row r="1152" spans="1:19" ht="33.75" customHeight="1">
      <c r="A1152" s="1" t="s">
        <v>3273</v>
      </c>
      <c r="B1152" s="1" t="s">
        <v>3156</v>
      </c>
      <c r="C1152" s="1">
        <v>18</v>
      </c>
      <c r="D1152" s="4">
        <v>39882.955555555556</v>
      </c>
      <c r="E1152" s="1" t="s">
        <v>14</v>
      </c>
      <c r="F1152" s="1"/>
      <c r="G1152" s="1"/>
      <c r="H1152" s="1"/>
      <c r="I1152" s="1"/>
      <c r="J1152" s="1"/>
      <c r="K1152" s="1"/>
      <c r="L1152" s="1"/>
      <c r="M1152" s="1"/>
      <c r="N1152" s="1"/>
      <c r="O1152" s="1"/>
      <c r="P1152" s="1"/>
      <c r="Q1152" s="1"/>
      <c r="R1152" s="1"/>
      <c r="S1152" s="1"/>
    </row>
    <row r="1153" spans="1:19" ht="33.75" customHeight="1">
      <c r="A1153" s="1" t="s">
        <v>3275</v>
      </c>
      <c r="B1153" s="1" t="s">
        <v>3156</v>
      </c>
      <c r="C1153" s="1">
        <v>18</v>
      </c>
      <c r="D1153" s="4">
        <v>39882.963888888888</v>
      </c>
      <c r="E1153" s="1" t="s">
        <v>14</v>
      </c>
      <c r="F1153" s="1"/>
      <c r="G1153" s="1"/>
      <c r="H1153" s="1"/>
      <c r="I1153" s="1"/>
      <c r="J1153" s="1"/>
      <c r="K1153" s="1"/>
      <c r="L1153" s="1"/>
      <c r="M1153" s="1"/>
      <c r="N1153" s="1"/>
      <c r="O1153" s="1"/>
      <c r="P1153" s="1"/>
      <c r="Q1153" s="1"/>
      <c r="R1153" s="1"/>
      <c r="S1153" s="1"/>
    </row>
    <row r="1154" spans="1:19" ht="33.75" customHeight="1">
      <c r="A1154" s="1" t="s">
        <v>3277</v>
      </c>
      <c r="B1154" s="1" t="s">
        <v>3156</v>
      </c>
      <c r="C1154" s="1">
        <v>18</v>
      </c>
      <c r="D1154" s="4">
        <v>39882.966666666667</v>
      </c>
      <c r="E1154" s="1" t="s">
        <v>14</v>
      </c>
      <c r="F1154" s="1"/>
      <c r="G1154" s="1"/>
      <c r="H1154" s="1"/>
      <c r="I1154" s="1"/>
      <c r="J1154" s="1"/>
      <c r="K1154" s="1"/>
      <c r="L1154" s="1"/>
      <c r="M1154" s="1"/>
      <c r="N1154" s="1"/>
      <c r="O1154" s="1"/>
      <c r="P1154" s="1"/>
      <c r="Q1154" s="1"/>
      <c r="R1154" s="1"/>
      <c r="S1154" s="1"/>
    </row>
    <row r="1155" spans="1:19" ht="33.75" customHeight="1">
      <c r="A1155" s="1" t="s">
        <v>3279</v>
      </c>
      <c r="B1155" s="1" t="s">
        <v>3255</v>
      </c>
      <c r="C1155" s="1">
        <v>19</v>
      </c>
      <c r="D1155" s="4">
        <v>39882.968055555553</v>
      </c>
      <c r="E1155" s="1" t="s">
        <v>3280</v>
      </c>
      <c r="F1155" s="1"/>
      <c r="G1155" s="1"/>
      <c r="H1155" s="1"/>
      <c r="I1155" s="1"/>
      <c r="J1155" s="1"/>
      <c r="K1155" s="1"/>
      <c r="L1155" s="1"/>
      <c r="M1155" s="1"/>
      <c r="N1155" s="1"/>
      <c r="O1155" s="1"/>
      <c r="P1155" s="1"/>
      <c r="Q1155" s="1"/>
      <c r="R1155" s="1"/>
      <c r="S1155" s="1"/>
    </row>
    <row r="1156" spans="1:19" ht="33.75" customHeight="1">
      <c r="A1156" s="1" t="s">
        <v>3284</v>
      </c>
      <c r="B1156" s="1" t="s">
        <v>3156</v>
      </c>
      <c r="C1156" s="1">
        <v>18</v>
      </c>
      <c r="D1156" s="4">
        <v>39882.993055555555</v>
      </c>
      <c r="E1156" s="1" t="s">
        <v>14</v>
      </c>
      <c r="F1156" s="1"/>
      <c r="G1156" s="1"/>
      <c r="H1156" s="1"/>
      <c r="I1156" s="1"/>
      <c r="J1156" s="1"/>
      <c r="K1156" s="1"/>
      <c r="L1156" s="1"/>
      <c r="M1156" s="1"/>
      <c r="N1156" s="1"/>
      <c r="O1156" s="1"/>
      <c r="P1156" s="1"/>
      <c r="Q1156" s="1"/>
      <c r="R1156" s="1"/>
      <c r="S1156" s="1"/>
    </row>
    <row r="1157" spans="1:19" ht="33.75" customHeight="1">
      <c r="A1157" s="1" t="s">
        <v>3287</v>
      </c>
      <c r="B1157" s="1" t="s">
        <v>3156</v>
      </c>
      <c r="C1157" s="1">
        <v>18</v>
      </c>
      <c r="D1157" s="4">
        <v>39882.995138888888</v>
      </c>
      <c r="E1157" s="1" t="s">
        <v>320</v>
      </c>
      <c r="F1157" s="1"/>
      <c r="G1157" s="1"/>
      <c r="H1157" s="1"/>
      <c r="I1157" s="1"/>
      <c r="J1157" s="1"/>
      <c r="K1157" s="1"/>
      <c r="L1157" s="1"/>
      <c r="M1157" s="1"/>
      <c r="N1157" s="1"/>
      <c r="O1157" s="1"/>
      <c r="P1157" s="1"/>
      <c r="Q1157" s="1"/>
      <c r="R1157" s="1"/>
      <c r="S1157" s="1"/>
    </row>
    <row r="1158" spans="1:19" ht="33.75" customHeight="1">
      <c r="A1158" s="1" t="s">
        <v>3289</v>
      </c>
      <c r="B1158" s="1" t="s">
        <v>3255</v>
      </c>
      <c r="C1158" s="1">
        <v>19</v>
      </c>
      <c r="D1158" s="4">
        <v>39883.001388888886</v>
      </c>
      <c r="E1158" s="1" t="s">
        <v>45</v>
      </c>
      <c r="F1158" s="1"/>
      <c r="G1158" s="1"/>
      <c r="H1158" s="1"/>
      <c r="I1158" s="1"/>
      <c r="J1158" s="1"/>
      <c r="K1158" s="1"/>
      <c r="L1158" s="1"/>
      <c r="M1158" s="1"/>
      <c r="N1158" s="1"/>
      <c r="O1158" s="1"/>
      <c r="P1158" s="1"/>
      <c r="Q1158" s="1"/>
      <c r="R1158" s="1"/>
      <c r="S1158" s="1"/>
    </row>
    <row r="1159" spans="1:19" ht="33.75" customHeight="1">
      <c r="A1159" s="1" t="s">
        <v>3292</v>
      </c>
      <c r="B1159" s="1" t="s">
        <v>3156</v>
      </c>
      <c r="C1159" s="1">
        <v>18</v>
      </c>
      <c r="D1159" s="4">
        <v>39883.005555555559</v>
      </c>
      <c r="E1159" s="1" t="s">
        <v>320</v>
      </c>
      <c r="F1159" s="1"/>
      <c r="G1159" s="1"/>
      <c r="H1159" s="1"/>
      <c r="I1159" s="1"/>
      <c r="J1159" s="1"/>
      <c r="K1159" s="1"/>
      <c r="L1159" s="1"/>
      <c r="M1159" s="1"/>
      <c r="N1159" s="1"/>
      <c r="O1159" s="1"/>
      <c r="P1159" s="1"/>
      <c r="Q1159" s="1"/>
      <c r="R1159" s="1"/>
      <c r="S1159" s="1"/>
    </row>
    <row r="1160" spans="1:19" ht="33.75" customHeight="1">
      <c r="A1160" s="1" t="s">
        <v>3294</v>
      </c>
      <c r="B1160" s="1" t="s">
        <v>3156</v>
      </c>
      <c r="C1160" s="1">
        <v>18</v>
      </c>
      <c r="D1160" s="4">
        <v>39883.011111111111</v>
      </c>
      <c r="E1160" s="1" t="s">
        <v>14</v>
      </c>
      <c r="F1160" s="1"/>
      <c r="G1160" s="1"/>
      <c r="H1160" s="1"/>
      <c r="I1160" s="1"/>
      <c r="J1160" s="1"/>
      <c r="K1160" s="1"/>
      <c r="L1160" s="1"/>
      <c r="M1160" s="1"/>
      <c r="N1160" s="1"/>
      <c r="O1160" s="1"/>
      <c r="P1160" s="1"/>
      <c r="Q1160" s="1"/>
      <c r="R1160" s="1"/>
      <c r="S1160" s="1"/>
    </row>
    <row r="1161" spans="1:19" ht="33.75" customHeight="1">
      <c r="A1161" s="1" t="s">
        <v>3296</v>
      </c>
      <c r="B1161" s="1" t="s">
        <v>3255</v>
      </c>
      <c r="C1161" s="1">
        <v>19</v>
      </c>
      <c r="D1161" s="4">
        <v>39883.018750000003</v>
      </c>
      <c r="E1161" s="1" t="s">
        <v>3297</v>
      </c>
      <c r="F1161" s="1"/>
      <c r="G1161" s="1"/>
      <c r="H1161" s="1"/>
      <c r="I1161" s="1"/>
      <c r="J1161" s="1"/>
      <c r="K1161" s="1"/>
      <c r="L1161" s="1"/>
      <c r="M1161" s="1"/>
      <c r="N1161" s="1"/>
      <c r="O1161" s="1"/>
      <c r="P1161" s="1"/>
      <c r="Q1161" s="1"/>
      <c r="R1161" s="1"/>
      <c r="S1161" s="1"/>
    </row>
    <row r="1162" spans="1:19" ht="33.75" customHeight="1">
      <c r="A1162" s="1" t="s">
        <v>3300</v>
      </c>
      <c r="B1162" s="1" t="s">
        <v>3255</v>
      </c>
      <c r="C1162" s="1">
        <v>19</v>
      </c>
      <c r="D1162" s="4">
        <v>39883.019444444442</v>
      </c>
      <c r="E1162" s="1" t="s">
        <v>3297</v>
      </c>
      <c r="F1162" s="1"/>
      <c r="G1162" s="1"/>
      <c r="H1162" s="1"/>
      <c r="I1162" s="1"/>
      <c r="J1162" s="1"/>
      <c r="K1162" s="1"/>
      <c r="L1162" s="1"/>
      <c r="M1162" s="1"/>
      <c r="N1162" s="1"/>
      <c r="O1162" s="1"/>
      <c r="P1162" s="1"/>
      <c r="Q1162" s="1"/>
      <c r="R1162" s="1"/>
      <c r="S1162" s="1"/>
    </row>
    <row r="1163" spans="1:19" ht="33.75" customHeight="1">
      <c r="A1163" s="1" t="s">
        <v>3302</v>
      </c>
      <c r="B1163" s="1" t="s">
        <v>3255</v>
      </c>
      <c r="C1163" s="1">
        <v>19</v>
      </c>
      <c r="D1163" s="4">
        <v>39883.036111111112</v>
      </c>
      <c r="E1163" s="1" t="s">
        <v>3303</v>
      </c>
      <c r="F1163" s="1"/>
      <c r="G1163" s="1"/>
      <c r="H1163" s="1"/>
      <c r="I1163" s="1"/>
      <c r="J1163" s="1"/>
      <c r="K1163" s="1"/>
      <c r="L1163" s="1"/>
      <c r="M1163" s="1"/>
      <c r="N1163" s="1"/>
      <c r="O1163" s="1"/>
      <c r="P1163" s="1"/>
      <c r="Q1163" s="1"/>
      <c r="R1163" s="1"/>
      <c r="S1163" s="1"/>
    </row>
    <row r="1164" spans="1:19" ht="33.75" customHeight="1">
      <c r="A1164" s="1" t="s">
        <v>3306</v>
      </c>
      <c r="B1164" s="1" t="s">
        <v>3156</v>
      </c>
      <c r="C1164" s="1">
        <v>18</v>
      </c>
      <c r="D1164" s="4">
        <v>39883.038194444445</v>
      </c>
      <c r="E1164" s="1" t="s">
        <v>14</v>
      </c>
      <c r="F1164" s="1"/>
      <c r="G1164" s="1"/>
      <c r="H1164" s="1"/>
      <c r="I1164" s="1"/>
      <c r="J1164" s="1"/>
      <c r="K1164" s="1"/>
      <c r="L1164" s="1"/>
      <c r="M1164" s="1"/>
      <c r="N1164" s="1"/>
      <c r="O1164" s="1"/>
      <c r="P1164" s="1"/>
      <c r="Q1164" s="1"/>
      <c r="R1164" s="1"/>
      <c r="S1164" s="1"/>
    </row>
    <row r="1165" spans="1:19" ht="33.75" customHeight="1">
      <c r="A1165" s="1" t="s">
        <v>3309</v>
      </c>
      <c r="B1165" s="1" t="s">
        <v>3255</v>
      </c>
      <c r="C1165" s="1">
        <v>19</v>
      </c>
      <c r="D1165" s="4">
        <v>39883.038888888892</v>
      </c>
      <c r="E1165" s="1" t="s">
        <v>3297</v>
      </c>
      <c r="F1165" s="1"/>
      <c r="G1165" s="1"/>
      <c r="H1165" s="1"/>
      <c r="I1165" s="1"/>
      <c r="J1165" s="1"/>
      <c r="K1165" s="1"/>
      <c r="L1165" s="1"/>
      <c r="M1165" s="1"/>
      <c r="N1165" s="1"/>
      <c r="O1165" s="1"/>
      <c r="P1165" s="1"/>
      <c r="Q1165" s="1"/>
      <c r="R1165" s="1"/>
      <c r="S1165" s="1"/>
    </row>
    <row r="1166" spans="1:19" ht="33.75" customHeight="1">
      <c r="A1166" s="1" t="s">
        <v>3311</v>
      </c>
      <c r="B1166" s="1" t="s">
        <v>3255</v>
      </c>
      <c r="C1166" s="1">
        <v>19</v>
      </c>
      <c r="D1166" s="4">
        <v>39883.038888888892</v>
      </c>
      <c r="E1166" s="1" t="s">
        <v>32</v>
      </c>
      <c r="F1166" s="1"/>
      <c r="G1166" s="1"/>
      <c r="H1166" s="1"/>
      <c r="I1166" s="1"/>
      <c r="J1166" s="1"/>
      <c r="K1166" s="1"/>
      <c r="L1166" s="1"/>
      <c r="M1166" s="1"/>
      <c r="N1166" s="1"/>
      <c r="O1166" s="1"/>
      <c r="P1166" s="1"/>
      <c r="Q1166" s="1"/>
      <c r="R1166" s="1"/>
      <c r="S1166" s="1"/>
    </row>
    <row r="1167" spans="1:19" ht="33.75" customHeight="1">
      <c r="A1167" s="1" t="s">
        <v>3314</v>
      </c>
      <c r="B1167" s="1" t="s">
        <v>3156</v>
      </c>
      <c r="C1167" s="1">
        <v>18</v>
      </c>
      <c r="D1167" s="4">
        <v>39883.055555555555</v>
      </c>
      <c r="E1167" s="1" t="s">
        <v>54</v>
      </c>
      <c r="F1167" s="1"/>
      <c r="G1167" s="1"/>
      <c r="H1167" s="1"/>
      <c r="I1167" s="1"/>
      <c r="J1167" s="1"/>
      <c r="K1167" s="1"/>
      <c r="L1167" s="1"/>
      <c r="M1167" s="1"/>
      <c r="N1167" s="1"/>
      <c r="O1167" s="1"/>
      <c r="P1167" s="1"/>
      <c r="Q1167" s="1"/>
      <c r="R1167" s="1"/>
      <c r="S1167" s="1"/>
    </row>
    <row r="1168" spans="1:19" ht="33.75" customHeight="1">
      <c r="A1168" s="1" t="s">
        <v>3317</v>
      </c>
      <c r="B1168" s="1" t="s">
        <v>2870</v>
      </c>
      <c r="C1168" s="1">
        <v>17</v>
      </c>
      <c r="D1168" s="4">
        <v>39883.06527777778</v>
      </c>
      <c r="E1168" s="1" t="s">
        <v>1887</v>
      </c>
      <c r="F1168" s="1"/>
      <c r="G1168" s="1"/>
      <c r="H1168" s="1"/>
      <c r="I1168" s="1"/>
      <c r="J1168" s="1"/>
      <c r="K1168" s="1"/>
      <c r="L1168" s="1"/>
      <c r="M1168" s="1"/>
      <c r="N1168" s="1"/>
      <c r="O1168" s="1"/>
      <c r="P1168" s="1"/>
      <c r="Q1168" s="1"/>
      <c r="R1168" s="1"/>
      <c r="S1168" s="1"/>
    </row>
    <row r="1169" spans="1:19" ht="33.75" customHeight="1">
      <c r="A1169" s="1" t="s">
        <v>3320</v>
      </c>
      <c r="B1169" s="1" t="s">
        <v>3255</v>
      </c>
      <c r="C1169" s="1">
        <v>19</v>
      </c>
      <c r="D1169" s="4">
        <v>39883.065972222219</v>
      </c>
      <c r="E1169" s="1" t="s">
        <v>3321</v>
      </c>
      <c r="F1169" s="1"/>
      <c r="G1169" s="1"/>
      <c r="H1169" s="1"/>
      <c r="I1169" s="1"/>
      <c r="J1169" s="1"/>
      <c r="K1169" s="1"/>
      <c r="L1169" s="1"/>
      <c r="M1169" s="1"/>
      <c r="N1169" s="1"/>
      <c r="O1169" s="1"/>
      <c r="P1169" s="1"/>
      <c r="Q1169" s="1"/>
      <c r="R1169" s="1"/>
      <c r="S1169" s="1"/>
    </row>
    <row r="1170" spans="1:19" ht="33.75" customHeight="1">
      <c r="A1170" s="1" t="s">
        <v>3324</v>
      </c>
      <c r="B1170" s="1" t="s">
        <v>2870</v>
      </c>
      <c r="C1170" s="1">
        <v>17</v>
      </c>
      <c r="D1170" s="4">
        <v>39883.067361111112</v>
      </c>
      <c r="E1170" s="1" t="s">
        <v>1887</v>
      </c>
      <c r="F1170" s="1"/>
      <c r="G1170" s="1"/>
      <c r="H1170" s="1"/>
      <c r="I1170" s="1"/>
      <c r="J1170" s="1"/>
      <c r="K1170" s="1"/>
      <c r="L1170" s="1"/>
      <c r="M1170" s="1"/>
      <c r="N1170" s="1"/>
      <c r="O1170" s="1"/>
      <c r="P1170" s="1"/>
      <c r="Q1170" s="1"/>
      <c r="R1170" s="1"/>
      <c r="S1170" s="1"/>
    </row>
    <row r="1171" spans="1:19" ht="33.75" customHeight="1">
      <c r="A1171" s="1" t="s">
        <v>3327</v>
      </c>
      <c r="B1171" s="1" t="s">
        <v>3255</v>
      </c>
      <c r="C1171" s="1">
        <v>19</v>
      </c>
      <c r="D1171" s="4">
        <v>39883.085416666669</v>
      </c>
      <c r="E1171" s="1" t="s">
        <v>54</v>
      </c>
      <c r="F1171" s="1"/>
      <c r="G1171" s="1"/>
      <c r="H1171" s="1"/>
      <c r="I1171" s="1"/>
      <c r="J1171" s="1"/>
      <c r="K1171" s="1"/>
      <c r="L1171" s="1"/>
      <c r="M1171" s="1"/>
      <c r="N1171" s="1"/>
      <c r="O1171" s="1"/>
      <c r="P1171" s="1"/>
      <c r="Q1171" s="1"/>
      <c r="R1171" s="1"/>
      <c r="S1171" s="1"/>
    </row>
    <row r="1172" spans="1:19" ht="33.75" customHeight="1">
      <c r="A1172" s="1" t="s">
        <v>3330</v>
      </c>
      <c r="B1172" s="1" t="s">
        <v>3255</v>
      </c>
      <c r="C1172" s="1">
        <v>19</v>
      </c>
      <c r="D1172" s="4">
        <v>39883.106249999997</v>
      </c>
      <c r="E1172" s="1" t="s">
        <v>54</v>
      </c>
      <c r="F1172" s="1"/>
      <c r="G1172" s="1"/>
      <c r="H1172" s="1"/>
      <c r="I1172" s="1"/>
      <c r="J1172" s="1"/>
      <c r="K1172" s="1"/>
      <c r="L1172" s="1"/>
      <c r="M1172" s="1"/>
      <c r="N1172" s="1"/>
      <c r="O1172" s="1"/>
      <c r="P1172" s="1"/>
      <c r="Q1172" s="1"/>
      <c r="R1172" s="1"/>
      <c r="S1172" s="1"/>
    </row>
    <row r="1173" spans="1:19" ht="33.75" customHeight="1">
      <c r="A1173" s="1" t="s">
        <v>3333</v>
      </c>
      <c r="B1173" s="1" t="s">
        <v>2870</v>
      </c>
      <c r="C1173" s="1">
        <v>17</v>
      </c>
      <c r="D1173" s="4">
        <v>39883.107638888891</v>
      </c>
      <c r="E1173" s="1" t="s">
        <v>381</v>
      </c>
      <c r="F1173" s="1"/>
      <c r="G1173" s="1"/>
      <c r="H1173" s="1"/>
      <c r="I1173" s="1"/>
      <c r="J1173" s="1"/>
      <c r="K1173" s="1"/>
      <c r="L1173" s="1"/>
      <c r="M1173" s="1"/>
      <c r="N1173" s="1"/>
      <c r="O1173" s="1"/>
      <c r="P1173" s="1"/>
      <c r="Q1173" s="1"/>
      <c r="R1173" s="1"/>
      <c r="S1173" s="1"/>
    </row>
    <row r="1174" spans="1:19" ht="33.75" customHeight="1">
      <c r="A1174" s="1" t="s">
        <v>3335</v>
      </c>
      <c r="B1174" s="1" t="s">
        <v>3255</v>
      </c>
      <c r="C1174" s="1">
        <v>19</v>
      </c>
      <c r="D1174" s="4">
        <v>39883.175694444442</v>
      </c>
      <c r="E1174" s="1" t="s">
        <v>526</v>
      </c>
      <c r="F1174" s="1"/>
      <c r="G1174" s="1"/>
      <c r="H1174" s="1"/>
      <c r="I1174" s="1"/>
      <c r="J1174" s="1"/>
      <c r="K1174" s="1"/>
      <c r="L1174" s="1"/>
      <c r="M1174" s="1"/>
      <c r="N1174" s="1"/>
      <c r="O1174" s="1"/>
      <c r="P1174" s="1"/>
      <c r="Q1174" s="1"/>
      <c r="R1174" s="1"/>
      <c r="S1174" s="1"/>
    </row>
    <row r="1175" spans="1:19" ht="33.75" customHeight="1">
      <c r="A1175" s="1" t="s">
        <v>3338</v>
      </c>
      <c r="B1175" s="1" t="s">
        <v>3255</v>
      </c>
      <c r="C1175" s="1">
        <v>19</v>
      </c>
      <c r="D1175" s="4">
        <v>39883.199999999997</v>
      </c>
      <c r="E1175" s="1" t="s">
        <v>84</v>
      </c>
      <c r="F1175" s="1"/>
      <c r="G1175" s="1"/>
      <c r="H1175" s="1"/>
      <c r="I1175" s="1"/>
      <c r="J1175" s="1"/>
      <c r="K1175" s="1"/>
      <c r="L1175" s="1"/>
      <c r="M1175" s="1"/>
      <c r="N1175" s="1"/>
      <c r="O1175" s="1"/>
      <c r="P1175" s="1"/>
      <c r="Q1175" s="1"/>
      <c r="R1175" s="1"/>
      <c r="S1175" s="1"/>
    </row>
    <row r="1176" spans="1:19" ht="33.75" customHeight="1">
      <c r="A1176" s="1" t="s">
        <v>3341</v>
      </c>
      <c r="B1176" s="1" t="s">
        <v>3255</v>
      </c>
      <c r="C1176" s="1">
        <v>19</v>
      </c>
      <c r="D1176" s="4">
        <v>39883.231944444444</v>
      </c>
      <c r="E1176" s="1" t="s">
        <v>54</v>
      </c>
      <c r="F1176" s="1"/>
      <c r="G1176" s="1"/>
      <c r="H1176" s="1"/>
      <c r="I1176" s="1"/>
      <c r="J1176" s="1"/>
      <c r="K1176" s="1"/>
      <c r="L1176" s="1"/>
      <c r="M1176" s="1"/>
      <c r="N1176" s="1"/>
      <c r="O1176" s="1"/>
      <c r="P1176" s="1"/>
      <c r="Q1176" s="1"/>
      <c r="R1176" s="1"/>
      <c r="S1176" s="1"/>
    </row>
    <row r="1177" spans="1:19" ht="33.75" customHeight="1">
      <c r="A1177" s="1" t="s">
        <v>3344</v>
      </c>
      <c r="B1177" s="1" t="s">
        <v>3156</v>
      </c>
      <c r="C1177" s="1">
        <v>18</v>
      </c>
      <c r="D1177" s="4">
        <v>39883.234722222223</v>
      </c>
      <c r="E1177" s="1" t="s">
        <v>320</v>
      </c>
      <c r="F1177" s="1"/>
      <c r="G1177" s="1"/>
      <c r="H1177" s="1"/>
      <c r="I1177" s="1"/>
      <c r="J1177" s="1"/>
      <c r="K1177" s="1"/>
      <c r="L1177" s="1"/>
      <c r="M1177" s="1"/>
      <c r="N1177" s="1"/>
      <c r="O1177" s="1"/>
      <c r="P1177" s="1"/>
      <c r="Q1177" s="1"/>
      <c r="R1177" s="1"/>
      <c r="S1177" s="1"/>
    </row>
    <row r="1178" spans="1:19" ht="33.75" customHeight="1">
      <c r="A1178" s="1" t="s">
        <v>3347</v>
      </c>
      <c r="B1178" s="1" t="s">
        <v>3156</v>
      </c>
      <c r="C1178" s="1">
        <v>18</v>
      </c>
      <c r="D1178" s="4">
        <v>39897.872916666667</v>
      </c>
      <c r="E1178" s="1" t="s">
        <v>1528</v>
      </c>
      <c r="F1178" s="1"/>
      <c r="G1178" s="1"/>
      <c r="H1178" s="1"/>
      <c r="I1178" s="1"/>
      <c r="J1178" s="1"/>
      <c r="K1178" s="1"/>
      <c r="L1178" s="1"/>
      <c r="M1178" s="1"/>
      <c r="N1178" s="1"/>
      <c r="O1178" s="1"/>
      <c r="P1178" s="1"/>
      <c r="Q1178" s="1"/>
      <c r="R1178" s="1"/>
      <c r="S1178" s="1"/>
    </row>
    <row r="1179" spans="1:19" ht="33.75" customHeight="1">
      <c r="A1179" s="1" t="s">
        <v>3349</v>
      </c>
      <c r="B1179" s="1" t="s">
        <v>3255</v>
      </c>
      <c r="C1179" s="1">
        <v>19</v>
      </c>
      <c r="D1179" s="4">
        <v>39883.245833333334</v>
      </c>
      <c r="E1179" s="1" t="s">
        <v>178</v>
      </c>
      <c r="F1179" s="1"/>
      <c r="G1179" s="1"/>
      <c r="H1179" s="1"/>
      <c r="I1179" s="1"/>
      <c r="J1179" s="1"/>
      <c r="K1179" s="1"/>
      <c r="L1179" s="1"/>
      <c r="M1179" s="1"/>
      <c r="N1179" s="1"/>
      <c r="O1179" s="1"/>
      <c r="P1179" s="1"/>
      <c r="Q1179" s="1"/>
      <c r="R1179" s="1"/>
      <c r="S1179" s="1"/>
    </row>
    <row r="1180" spans="1:19" ht="33.75" customHeight="1">
      <c r="A1180" s="1" t="s">
        <v>3351</v>
      </c>
      <c r="B1180" s="1" t="s">
        <v>3156</v>
      </c>
      <c r="C1180" s="1">
        <v>18</v>
      </c>
      <c r="D1180" s="4">
        <v>39883.250694444447</v>
      </c>
      <c r="E1180" s="1" t="s">
        <v>320</v>
      </c>
      <c r="F1180" s="1"/>
      <c r="G1180" s="1"/>
      <c r="H1180" s="1"/>
      <c r="I1180" s="1"/>
      <c r="J1180" s="1"/>
      <c r="K1180" s="1"/>
      <c r="L1180" s="1"/>
      <c r="M1180" s="1"/>
      <c r="N1180" s="1"/>
      <c r="O1180" s="1"/>
      <c r="P1180" s="1"/>
      <c r="Q1180" s="1"/>
      <c r="R1180" s="1"/>
      <c r="S1180" s="1"/>
    </row>
    <row r="1181" spans="1:19" ht="33.75" customHeight="1">
      <c r="A1181" s="1" t="s">
        <v>3353</v>
      </c>
      <c r="B1181" s="1" t="s">
        <v>3255</v>
      </c>
      <c r="C1181" s="1">
        <v>19</v>
      </c>
      <c r="D1181" s="4">
        <v>39883.255555555559</v>
      </c>
      <c r="E1181" s="1" t="s">
        <v>320</v>
      </c>
      <c r="F1181" s="1"/>
      <c r="G1181" s="1"/>
      <c r="H1181" s="1"/>
      <c r="I1181" s="1"/>
      <c r="J1181" s="1"/>
      <c r="K1181" s="1"/>
      <c r="L1181" s="1"/>
      <c r="M1181" s="1"/>
      <c r="N1181" s="1"/>
      <c r="O1181" s="1"/>
      <c r="P1181" s="1"/>
      <c r="Q1181" s="1"/>
      <c r="R1181" s="1"/>
      <c r="S1181" s="1"/>
    </row>
    <row r="1182" spans="1:19" ht="33.75" customHeight="1">
      <c r="A1182" s="1" t="s">
        <v>3358</v>
      </c>
      <c r="B1182" s="1" t="s">
        <v>3255</v>
      </c>
      <c r="C1182" s="1">
        <v>19</v>
      </c>
      <c r="D1182" s="4">
        <v>39883.26666666667</v>
      </c>
      <c r="E1182" s="1" t="s">
        <v>178</v>
      </c>
      <c r="F1182" s="1"/>
      <c r="G1182" s="1"/>
      <c r="H1182" s="1"/>
      <c r="I1182" s="1"/>
      <c r="J1182" s="1"/>
      <c r="K1182" s="1"/>
      <c r="L1182" s="1"/>
      <c r="M1182" s="1"/>
      <c r="N1182" s="1"/>
      <c r="O1182" s="1"/>
      <c r="P1182" s="1"/>
      <c r="Q1182" s="1"/>
      <c r="R1182" s="1"/>
      <c r="S1182" s="1"/>
    </row>
    <row r="1183" spans="1:19" ht="33.75" customHeight="1">
      <c r="A1183" s="1" t="s">
        <v>3360</v>
      </c>
      <c r="B1183" s="1" t="s">
        <v>2870</v>
      </c>
      <c r="C1183" s="1">
        <v>17</v>
      </c>
      <c r="D1183" s="4">
        <v>39883.318055555559</v>
      </c>
      <c r="E1183" s="1" t="s">
        <v>2893</v>
      </c>
      <c r="F1183" s="1"/>
      <c r="G1183" s="1"/>
      <c r="H1183" s="1"/>
      <c r="I1183" s="1"/>
      <c r="J1183" s="1"/>
      <c r="K1183" s="1"/>
      <c r="L1183" s="1"/>
      <c r="M1183" s="1"/>
      <c r="N1183" s="1"/>
      <c r="O1183" s="1"/>
      <c r="P1183" s="1"/>
      <c r="Q1183" s="1"/>
      <c r="R1183" s="1"/>
      <c r="S1183" s="1"/>
    </row>
    <row r="1184" spans="1:19" ht="33.75" customHeight="1">
      <c r="A1184" s="1" t="s">
        <v>3363</v>
      </c>
      <c r="B1184" s="1" t="s">
        <v>2870</v>
      </c>
      <c r="C1184" s="1">
        <v>17</v>
      </c>
      <c r="D1184" s="4">
        <v>39883.324305555558</v>
      </c>
      <c r="E1184" s="1" t="s">
        <v>54</v>
      </c>
      <c r="F1184" s="1"/>
      <c r="G1184" s="1"/>
      <c r="H1184" s="1"/>
      <c r="I1184" s="1"/>
      <c r="J1184" s="1"/>
      <c r="K1184" s="1"/>
      <c r="L1184" s="1"/>
      <c r="M1184" s="1"/>
      <c r="N1184" s="1"/>
      <c r="O1184" s="1"/>
      <c r="P1184" s="1"/>
      <c r="Q1184" s="1"/>
      <c r="R1184" s="1"/>
      <c r="S1184" s="1"/>
    </row>
    <row r="1185" spans="1:19" ht="33.75" customHeight="1">
      <c r="A1185" s="1" t="s">
        <v>3365</v>
      </c>
      <c r="B1185" s="1" t="s">
        <v>3255</v>
      </c>
      <c r="C1185" s="1">
        <v>19</v>
      </c>
      <c r="D1185" s="4">
        <v>39883.329861111109</v>
      </c>
      <c r="E1185" s="1" t="s">
        <v>913</v>
      </c>
      <c r="F1185" s="1"/>
      <c r="G1185" s="1"/>
      <c r="H1185" s="1"/>
      <c r="I1185" s="1"/>
      <c r="J1185" s="1"/>
      <c r="K1185" s="1"/>
      <c r="L1185" s="1"/>
      <c r="M1185" s="1"/>
      <c r="N1185" s="1"/>
      <c r="O1185" s="1"/>
      <c r="P1185" s="1"/>
      <c r="Q1185" s="1"/>
      <c r="R1185" s="1"/>
      <c r="S1185" s="1"/>
    </row>
    <row r="1186" spans="1:19" ht="33.75" customHeight="1">
      <c r="A1186" s="1" t="s">
        <v>3366</v>
      </c>
      <c r="B1186" s="1" t="s">
        <v>3156</v>
      </c>
      <c r="C1186" s="1">
        <v>18</v>
      </c>
      <c r="D1186" s="4">
        <v>39883.333333333336</v>
      </c>
      <c r="E1186" s="1" t="s">
        <v>196</v>
      </c>
      <c r="F1186" s="1"/>
      <c r="G1186" s="1"/>
      <c r="H1186" s="1"/>
      <c r="I1186" s="1"/>
      <c r="J1186" s="1"/>
      <c r="K1186" s="1"/>
      <c r="L1186" s="1"/>
      <c r="M1186" s="1"/>
      <c r="N1186" s="1"/>
      <c r="O1186" s="1"/>
      <c r="P1186" s="1"/>
      <c r="Q1186" s="1"/>
      <c r="R1186" s="1"/>
      <c r="S1186" s="1"/>
    </row>
    <row r="1187" spans="1:19" ht="33.75" customHeight="1">
      <c r="A1187" s="1" t="s">
        <v>3369</v>
      </c>
      <c r="B1187" s="1" t="s">
        <v>3156</v>
      </c>
      <c r="C1187" s="1">
        <v>18</v>
      </c>
      <c r="D1187" s="4">
        <v>39883.37222222222</v>
      </c>
      <c r="E1187" s="1" t="s">
        <v>196</v>
      </c>
      <c r="F1187" s="1"/>
      <c r="G1187" s="1"/>
      <c r="H1187" s="1"/>
      <c r="I1187" s="1"/>
      <c r="J1187" s="1"/>
      <c r="K1187" s="1"/>
      <c r="L1187" s="1"/>
      <c r="M1187" s="1"/>
      <c r="N1187" s="1"/>
      <c r="O1187" s="1"/>
      <c r="P1187" s="1"/>
      <c r="Q1187" s="1"/>
      <c r="R1187" s="1"/>
      <c r="S1187" s="1"/>
    </row>
    <row r="1188" spans="1:19" ht="33.75" customHeight="1">
      <c r="A1188" s="1" t="s">
        <v>3372</v>
      </c>
      <c r="B1188" s="1" t="s">
        <v>3156</v>
      </c>
      <c r="C1188" s="1">
        <v>18</v>
      </c>
      <c r="D1188" s="4">
        <v>39883.375</v>
      </c>
      <c r="E1188" s="1" t="s">
        <v>196</v>
      </c>
      <c r="F1188" s="1"/>
      <c r="G1188" s="1"/>
      <c r="H1188" s="1"/>
      <c r="I1188" s="1"/>
      <c r="J1188" s="1"/>
      <c r="K1188" s="1"/>
      <c r="L1188" s="1"/>
      <c r="M1188" s="1"/>
      <c r="N1188" s="1"/>
      <c r="O1188" s="1"/>
      <c r="P1188" s="1"/>
      <c r="Q1188" s="1"/>
      <c r="R1188" s="1"/>
      <c r="S1188" s="1"/>
    </row>
    <row r="1189" spans="1:19" ht="33.75" customHeight="1">
      <c r="A1189" s="1" t="s">
        <v>3375</v>
      </c>
      <c r="B1189" s="1" t="s">
        <v>3156</v>
      </c>
      <c r="C1189" s="1">
        <v>18</v>
      </c>
      <c r="D1189" s="4">
        <v>39883.388888888891</v>
      </c>
      <c r="E1189" s="1" t="s">
        <v>14</v>
      </c>
      <c r="F1189" s="1"/>
      <c r="G1189" s="1"/>
      <c r="H1189" s="1"/>
      <c r="I1189" s="1"/>
      <c r="J1189" s="1"/>
      <c r="K1189" s="1"/>
      <c r="L1189" s="1"/>
      <c r="M1189" s="1"/>
      <c r="N1189" s="1"/>
      <c r="O1189" s="1"/>
      <c r="P1189" s="1"/>
      <c r="Q1189" s="1"/>
      <c r="R1189" s="1"/>
      <c r="S1189" s="1"/>
    </row>
    <row r="1190" spans="1:19" ht="33.75" customHeight="1">
      <c r="A1190" s="1" t="s">
        <v>3379</v>
      </c>
      <c r="B1190" s="1" t="s">
        <v>2870</v>
      </c>
      <c r="C1190" s="1">
        <v>17</v>
      </c>
      <c r="D1190" s="4">
        <v>39883.407638888886</v>
      </c>
      <c r="E1190" s="1" t="s">
        <v>84</v>
      </c>
      <c r="F1190" s="1"/>
      <c r="G1190" s="1"/>
      <c r="H1190" s="1"/>
      <c r="I1190" s="1"/>
      <c r="J1190" s="1"/>
      <c r="K1190" s="1"/>
      <c r="L1190" s="1"/>
      <c r="M1190" s="1"/>
      <c r="N1190" s="1"/>
      <c r="O1190" s="1"/>
      <c r="P1190" s="1"/>
      <c r="Q1190" s="1"/>
      <c r="R1190" s="1"/>
      <c r="S1190" s="1"/>
    </row>
    <row r="1191" spans="1:19" ht="33.75" customHeight="1">
      <c r="A1191" s="1" t="s">
        <v>3381</v>
      </c>
      <c r="B1191" s="1" t="s">
        <v>2870</v>
      </c>
      <c r="C1191" s="1">
        <v>17</v>
      </c>
      <c r="D1191" s="4">
        <v>39883.413194444445</v>
      </c>
      <c r="E1191" s="1" t="s">
        <v>84</v>
      </c>
      <c r="F1191" s="1"/>
      <c r="G1191" s="1"/>
      <c r="H1191" s="1"/>
      <c r="I1191" s="1"/>
      <c r="J1191" s="1"/>
      <c r="K1191" s="1"/>
      <c r="L1191" s="1"/>
      <c r="M1191" s="1"/>
      <c r="N1191" s="1"/>
      <c r="O1191" s="1"/>
      <c r="P1191" s="1"/>
      <c r="Q1191" s="1"/>
      <c r="R1191" s="1"/>
      <c r="S1191" s="1"/>
    </row>
    <row r="1192" spans="1:19" ht="33.75" customHeight="1">
      <c r="A1192" s="1" t="s">
        <v>3383</v>
      </c>
      <c r="B1192" s="1" t="s">
        <v>3255</v>
      </c>
      <c r="C1192" s="1">
        <v>19</v>
      </c>
      <c r="D1192" s="4">
        <v>39883.413888888892</v>
      </c>
      <c r="E1192" s="1" t="s">
        <v>3384</v>
      </c>
      <c r="F1192" s="1"/>
      <c r="G1192" s="1"/>
      <c r="H1192" s="1"/>
      <c r="I1192" s="1"/>
      <c r="J1192" s="1"/>
      <c r="K1192" s="1"/>
      <c r="L1192" s="1"/>
      <c r="M1192" s="1"/>
      <c r="N1192" s="1"/>
      <c r="O1192" s="1"/>
      <c r="P1192" s="1"/>
      <c r="Q1192" s="1"/>
      <c r="R1192" s="1"/>
      <c r="S1192" s="1"/>
    </row>
    <row r="1193" spans="1:19" ht="33.75" customHeight="1">
      <c r="A1193" s="1" t="s">
        <v>3387</v>
      </c>
      <c r="B1193" s="1" t="s">
        <v>3255</v>
      </c>
      <c r="C1193" s="1">
        <v>19</v>
      </c>
      <c r="D1193" s="4">
        <v>39883.452777777777</v>
      </c>
      <c r="E1193" s="1" t="s">
        <v>3388</v>
      </c>
      <c r="F1193" s="1"/>
      <c r="G1193" s="1"/>
      <c r="H1193" s="1"/>
      <c r="I1193" s="1"/>
      <c r="J1193" s="1"/>
      <c r="K1193" s="1"/>
      <c r="L1193" s="1"/>
      <c r="M1193" s="1"/>
      <c r="N1193" s="1"/>
      <c r="O1193" s="1"/>
      <c r="P1193" s="1"/>
      <c r="Q1193" s="1"/>
      <c r="R1193" s="1"/>
      <c r="S1193" s="1"/>
    </row>
    <row r="1194" spans="1:19" ht="33.75" customHeight="1">
      <c r="A1194" s="1" t="s">
        <v>3390</v>
      </c>
      <c r="B1194" s="1" t="s">
        <v>3255</v>
      </c>
      <c r="C1194" s="1">
        <v>19</v>
      </c>
      <c r="D1194" s="4">
        <v>39883.502083333333</v>
      </c>
      <c r="E1194" s="1" t="s">
        <v>14</v>
      </c>
      <c r="F1194" s="1"/>
      <c r="G1194" s="1"/>
      <c r="H1194" s="1"/>
      <c r="I1194" s="1"/>
      <c r="J1194" s="1"/>
      <c r="K1194" s="1"/>
      <c r="L1194" s="1"/>
      <c r="M1194" s="1"/>
      <c r="N1194" s="1"/>
      <c r="O1194" s="1"/>
      <c r="P1194" s="1"/>
      <c r="Q1194" s="1"/>
      <c r="R1194" s="1"/>
      <c r="S1194" s="1"/>
    </row>
    <row r="1195" spans="1:19" ht="33.75" customHeight="1">
      <c r="A1195" s="1" t="s">
        <v>3393</v>
      </c>
      <c r="B1195" s="1" t="s">
        <v>2870</v>
      </c>
      <c r="C1195" s="1">
        <v>17</v>
      </c>
      <c r="D1195" s="4">
        <v>39883.512499999997</v>
      </c>
      <c r="E1195" s="1" t="s">
        <v>772</v>
      </c>
      <c r="F1195" s="1"/>
      <c r="G1195" s="1"/>
      <c r="H1195" s="1"/>
      <c r="I1195" s="1"/>
      <c r="J1195" s="1"/>
      <c r="K1195" s="1"/>
      <c r="L1195" s="1"/>
      <c r="M1195" s="1"/>
      <c r="N1195" s="1"/>
      <c r="O1195" s="1"/>
      <c r="P1195" s="1"/>
      <c r="Q1195" s="1"/>
      <c r="R1195" s="1"/>
      <c r="S1195" s="1"/>
    </row>
    <row r="1196" spans="1:19" ht="33.75" customHeight="1">
      <c r="A1196" s="1" t="s">
        <v>3395</v>
      </c>
      <c r="B1196" s="1" t="s">
        <v>3156</v>
      </c>
      <c r="C1196" s="1">
        <v>18</v>
      </c>
      <c r="D1196" s="4">
        <v>39883.537499999999</v>
      </c>
      <c r="E1196" s="1" t="s">
        <v>14</v>
      </c>
      <c r="F1196" s="1"/>
      <c r="G1196" s="1"/>
      <c r="H1196" s="1"/>
      <c r="I1196" s="1"/>
      <c r="J1196" s="1"/>
      <c r="K1196" s="1"/>
      <c r="L1196" s="1"/>
      <c r="M1196" s="1"/>
      <c r="N1196" s="1"/>
      <c r="O1196" s="1"/>
      <c r="P1196" s="1"/>
      <c r="Q1196" s="1"/>
      <c r="R1196" s="1"/>
      <c r="S1196" s="1"/>
    </row>
    <row r="1197" spans="1:19" ht="33.75" customHeight="1">
      <c r="A1197" s="1" t="s">
        <v>3398</v>
      </c>
      <c r="B1197" s="1" t="s">
        <v>3156</v>
      </c>
      <c r="C1197" s="1">
        <v>18</v>
      </c>
      <c r="D1197" s="4">
        <v>39883.54583333333</v>
      </c>
      <c r="E1197" s="1" t="s">
        <v>14</v>
      </c>
      <c r="F1197" s="1"/>
      <c r="G1197" s="1"/>
      <c r="H1197" s="1"/>
      <c r="I1197" s="1"/>
      <c r="J1197" s="1"/>
      <c r="K1197" s="1"/>
      <c r="L1197" s="1"/>
      <c r="M1197" s="1"/>
      <c r="N1197" s="1"/>
      <c r="O1197" s="1"/>
      <c r="P1197" s="1"/>
      <c r="Q1197" s="1"/>
      <c r="R1197" s="1"/>
      <c r="S1197" s="1"/>
    </row>
    <row r="1198" spans="1:19" ht="33.75" customHeight="1">
      <c r="A1198" s="1" t="s">
        <v>3401</v>
      </c>
      <c r="B1198" s="1" t="s">
        <v>3156</v>
      </c>
      <c r="C1198" s="1">
        <v>18</v>
      </c>
      <c r="D1198" s="4">
        <v>39883.552777777775</v>
      </c>
      <c r="E1198" s="1" t="s">
        <v>14</v>
      </c>
      <c r="F1198" s="1"/>
      <c r="G1198" s="1"/>
      <c r="H1198" s="1"/>
      <c r="I1198" s="1"/>
      <c r="J1198" s="1"/>
      <c r="K1198" s="1"/>
      <c r="L1198" s="1"/>
      <c r="M1198" s="1"/>
      <c r="N1198" s="1"/>
      <c r="O1198" s="1"/>
      <c r="P1198" s="1"/>
      <c r="Q1198" s="1"/>
      <c r="R1198" s="1"/>
      <c r="S1198" s="1"/>
    </row>
    <row r="1199" spans="1:19" ht="33.75" customHeight="1">
      <c r="A1199" s="1" t="s">
        <v>3404</v>
      </c>
      <c r="B1199" s="1" t="s">
        <v>2870</v>
      </c>
      <c r="C1199" s="1">
        <v>17</v>
      </c>
      <c r="D1199" s="4">
        <v>39883.558333333334</v>
      </c>
      <c r="E1199" s="1" t="s">
        <v>2893</v>
      </c>
      <c r="F1199" s="1"/>
      <c r="G1199" s="1"/>
      <c r="H1199" s="1"/>
      <c r="I1199" s="1"/>
      <c r="J1199" s="1"/>
      <c r="K1199" s="1"/>
      <c r="L1199" s="1"/>
      <c r="M1199" s="1"/>
      <c r="N1199" s="1"/>
      <c r="O1199" s="1"/>
      <c r="P1199" s="1"/>
      <c r="Q1199" s="1"/>
      <c r="R1199" s="1"/>
      <c r="S1199" s="1"/>
    </row>
    <row r="1200" spans="1:19" ht="33.75" customHeight="1">
      <c r="A1200" s="1" t="s">
        <v>3407</v>
      </c>
      <c r="B1200" s="1" t="s">
        <v>3255</v>
      </c>
      <c r="C1200" s="1">
        <v>19</v>
      </c>
      <c r="D1200" s="4">
        <v>39883.57708333333</v>
      </c>
      <c r="E1200" s="1" t="s">
        <v>1089</v>
      </c>
      <c r="F1200" s="1"/>
      <c r="G1200" s="1"/>
      <c r="H1200" s="1"/>
      <c r="I1200" s="1"/>
      <c r="J1200" s="1"/>
      <c r="K1200" s="1"/>
      <c r="L1200" s="1"/>
      <c r="M1200" s="1"/>
      <c r="N1200" s="1"/>
      <c r="O1200" s="1"/>
      <c r="P1200" s="1"/>
      <c r="Q1200" s="1"/>
      <c r="R1200" s="1"/>
      <c r="S1200" s="1"/>
    </row>
    <row r="1201" spans="1:19" ht="33.75" customHeight="1">
      <c r="A1201" s="1" t="s">
        <v>3410</v>
      </c>
      <c r="B1201" s="1" t="s">
        <v>3255</v>
      </c>
      <c r="C1201" s="1">
        <v>19</v>
      </c>
      <c r="D1201" s="4">
        <v>39883.618750000001</v>
      </c>
      <c r="E1201" s="1" t="s">
        <v>84</v>
      </c>
      <c r="F1201" s="1"/>
      <c r="G1201" s="1"/>
      <c r="H1201" s="1"/>
      <c r="I1201" s="1"/>
      <c r="J1201" s="1"/>
      <c r="K1201" s="1"/>
      <c r="L1201" s="1"/>
      <c r="M1201" s="1"/>
      <c r="N1201" s="1"/>
      <c r="O1201" s="1"/>
      <c r="P1201" s="1"/>
      <c r="Q1201" s="1"/>
      <c r="R1201" s="1"/>
      <c r="S1201" s="1"/>
    </row>
    <row r="1202" spans="1:19" ht="33.75" customHeight="1">
      <c r="A1202" s="1" t="s">
        <v>3413</v>
      </c>
      <c r="B1202" s="1" t="s">
        <v>2870</v>
      </c>
      <c r="C1202" s="1">
        <v>17</v>
      </c>
      <c r="D1202" s="4">
        <v>39883.620138888888</v>
      </c>
      <c r="E1202" s="1" t="s">
        <v>381</v>
      </c>
      <c r="F1202" s="1"/>
      <c r="G1202" s="1"/>
      <c r="H1202" s="1"/>
      <c r="I1202" s="1"/>
      <c r="J1202" s="1"/>
      <c r="K1202" s="1"/>
      <c r="L1202" s="1"/>
      <c r="M1202" s="1"/>
      <c r="N1202" s="1"/>
      <c r="O1202" s="1"/>
      <c r="P1202" s="1"/>
      <c r="Q1202" s="1"/>
      <c r="R1202" s="1"/>
      <c r="S1202" s="1"/>
    </row>
    <row r="1203" spans="1:19" ht="33.75" customHeight="1">
      <c r="A1203" s="1" t="s">
        <v>3415</v>
      </c>
      <c r="B1203" s="1" t="s">
        <v>3255</v>
      </c>
      <c r="C1203" s="1">
        <v>19</v>
      </c>
      <c r="D1203" s="4">
        <v>39883.668055555558</v>
      </c>
      <c r="E1203" s="1" t="s">
        <v>84</v>
      </c>
      <c r="F1203" s="1"/>
      <c r="G1203" s="1"/>
      <c r="H1203" s="1"/>
      <c r="I1203" s="1"/>
      <c r="J1203" s="1"/>
      <c r="K1203" s="1"/>
      <c r="L1203" s="1"/>
      <c r="M1203" s="1"/>
      <c r="N1203" s="1"/>
      <c r="O1203" s="1"/>
      <c r="P1203" s="1"/>
      <c r="Q1203" s="1"/>
      <c r="R1203" s="1"/>
      <c r="S1203" s="1"/>
    </row>
    <row r="1204" spans="1:19" ht="33.75" customHeight="1">
      <c r="A1204" s="1" t="s">
        <v>3418</v>
      </c>
      <c r="B1204" s="1" t="s">
        <v>2870</v>
      </c>
      <c r="C1204" s="1">
        <v>17</v>
      </c>
      <c r="D1204" s="4">
        <v>39883.676388888889</v>
      </c>
      <c r="E1204" s="1" t="s">
        <v>54</v>
      </c>
      <c r="F1204" s="1"/>
      <c r="G1204" s="1"/>
      <c r="H1204" s="1"/>
      <c r="I1204" s="1"/>
      <c r="J1204" s="1"/>
      <c r="K1204" s="1"/>
      <c r="L1204" s="1"/>
      <c r="M1204" s="1"/>
      <c r="N1204" s="1"/>
      <c r="O1204" s="1"/>
      <c r="P1204" s="1"/>
      <c r="Q1204" s="1"/>
      <c r="R1204" s="1"/>
      <c r="S1204" s="1"/>
    </row>
    <row r="1205" spans="1:19" ht="33.75" customHeight="1">
      <c r="A1205" s="1" t="s">
        <v>3421</v>
      </c>
      <c r="B1205" s="1" t="s">
        <v>2870</v>
      </c>
      <c r="C1205" s="1">
        <v>17</v>
      </c>
      <c r="D1205" s="4">
        <v>39883.714583333334</v>
      </c>
      <c r="E1205" s="1" t="s">
        <v>54</v>
      </c>
      <c r="F1205" s="1"/>
      <c r="G1205" s="1"/>
      <c r="H1205" s="1"/>
      <c r="I1205" s="1"/>
      <c r="J1205" s="1"/>
      <c r="K1205" s="1"/>
      <c r="L1205" s="1"/>
      <c r="M1205" s="1"/>
      <c r="N1205" s="1"/>
      <c r="O1205" s="1"/>
      <c r="P1205" s="1"/>
      <c r="Q1205" s="1"/>
      <c r="R1205" s="1"/>
      <c r="S1205" s="1"/>
    </row>
    <row r="1206" spans="1:19" ht="33.75" customHeight="1">
      <c r="A1206" s="1" t="s">
        <v>3423</v>
      </c>
      <c r="B1206" s="1" t="s">
        <v>2870</v>
      </c>
      <c r="C1206" s="1">
        <v>17</v>
      </c>
      <c r="D1206" s="4">
        <v>39883.738194444442</v>
      </c>
      <c r="E1206" s="1" t="s">
        <v>54</v>
      </c>
      <c r="F1206" s="1"/>
      <c r="G1206" s="1"/>
      <c r="H1206" s="1"/>
      <c r="I1206" s="1"/>
      <c r="J1206" s="1"/>
      <c r="K1206" s="1"/>
      <c r="L1206" s="1"/>
      <c r="M1206" s="1"/>
      <c r="N1206" s="1"/>
      <c r="O1206" s="1"/>
      <c r="P1206" s="1"/>
      <c r="Q1206" s="1"/>
      <c r="R1206" s="1"/>
      <c r="S1206" s="1"/>
    </row>
    <row r="1207" spans="1:19" ht="33.75" customHeight="1">
      <c r="A1207" s="1" t="s">
        <v>3426</v>
      </c>
      <c r="B1207" s="1" t="s">
        <v>3156</v>
      </c>
      <c r="C1207" s="1">
        <v>18</v>
      </c>
      <c r="D1207" s="4">
        <v>39883.740972222222</v>
      </c>
      <c r="E1207" s="1" t="s">
        <v>196</v>
      </c>
      <c r="F1207" s="1"/>
      <c r="G1207" s="1"/>
      <c r="H1207" s="1"/>
      <c r="I1207" s="1"/>
      <c r="J1207" s="1"/>
      <c r="K1207" s="1"/>
      <c r="L1207" s="1"/>
      <c r="M1207" s="1"/>
      <c r="N1207" s="1"/>
      <c r="O1207" s="1"/>
      <c r="P1207" s="1"/>
      <c r="Q1207" s="1"/>
      <c r="R1207" s="1"/>
      <c r="S1207" s="1"/>
    </row>
    <row r="1208" spans="1:19" ht="33.75" customHeight="1">
      <c r="A1208" s="1" t="s">
        <v>3428</v>
      </c>
      <c r="B1208" s="1" t="s">
        <v>2870</v>
      </c>
      <c r="C1208" s="1">
        <v>17</v>
      </c>
      <c r="D1208" s="4">
        <v>39883.745138888888</v>
      </c>
      <c r="E1208" s="1" t="s">
        <v>2893</v>
      </c>
      <c r="F1208" s="1"/>
      <c r="G1208" s="1"/>
      <c r="H1208" s="1"/>
      <c r="I1208" s="1"/>
      <c r="J1208" s="1"/>
      <c r="K1208" s="1"/>
      <c r="L1208" s="1"/>
      <c r="M1208" s="1"/>
      <c r="N1208" s="1"/>
      <c r="O1208" s="1"/>
      <c r="P1208" s="1"/>
      <c r="Q1208" s="1"/>
      <c r="R1208" s="1"/>
      <c r="S1208" s="1"/>
    </row>
    <row r="1209" spans="1:19" ht="33.75" customHeight="1">
      <c r="A1209" s="1" t="s">
        <v>3430</v>
      </c>
      <c r="B1209" s="1" t="s">
        <v>3156</v>
      </c>
      <c r="C1209" s="1">
        <v>18</v>
      </c>
      <c r="D1209" s="4">
        <v>39883.762499999997</v>
      </c>
      <c r="E1209" s="1" t="s">
        <v>196</v>
      </c>
      <c r="F1209" s="1"/>
      <c r="G1209" s="1"/>
      <c r="H1209" s="1"/>
      <c r="I1209" s="1"/>
      <c r="J1209" s="1"/>
      <c r="K1209" s="1"/>
      <c r="L1209" s="1"/>
      <c r="M1209" s="1"/>
      <c r="N1209" s="1"/>
      <c r="O1209" s="1"/>
      <c r="P1209" s="1"/>
      <c r="Q1209" s="1"/>
      <c r="R1209" s="1"/>
      <c r="S1209" s="1"/>
    </row>
    <row r="1210" spans="1:19" ht="33.75" customHeight="1">
      <c r="A1210" s="1" t="s">
        <v>3433</v>
      </c>
      <c r="B1210" s="1" t="s">
        <v>3255</v>
      </c>
      <c r="C1210" s="1">
        <v>19</v>
      </c>
      <c r="D1210" s="4">
        <v>39883.772916666669</v>
      </c>
      <c r="E1210" s="1" t="s">
        <v>59</v>
      </c>
      <c r="F1210" s="1"/>
      <c r="G1210" s="1"/>
      <c r="H1210" s="1"/>
      <c r="I1210" s="1"/>
      <c r="J1210" s="1"/>
      <c r="K1210" s="1"/>
      <c r="L1210" s="1"/>
      <c r="M1210" s="1"/>
      <c r="N1210" s="1"/>
      <c r="O1210" s="1"/>
      <c r="P1210" s="1"/>
      <c r="Q1210" s="1"/>
      <c r="R1210" s="1"/>
      <c r="S1210" s="1"/>
    </row>
    <row r="1211" spans="1:19" ht="33.75" customHeight="1">
      <c r="A1211" s="1" t="s">
        <v>3436</v>
      </c>
      <c r="B1211" s="1" t="s">
        <v>3255</v>
      </c>
      <c r="C1211" s="1">
        <v>19</v>
      </c>
      <c r="D1211" s="4">
        <v>39883.787499999999</v>
      </c>
      <c r="E1211" s="1" t="s">
        <v>3437</v>
      </c>
      <c r="F1211" s="1"/>
      <c r="G1211" s="1"/>
      <c r="H1211" s="1"/>
      <c r="I1211" s="1"/>
      <c r="J1211" s="1"/>
      <c r="K1211" s="1"/>
      <c r="L1211" s="1"/>
      <c r="M1211" s="1"/>
      <c r="N1211" s="1"/>
      <c r="O1211" s="1"/>
      <c r="P1211" s="1"/>
      <c r="Q1211" s="1"/>
      <c r="R1211" s="1"/>
      <c r="S1211" s="1"/>
    </row>
    <row r="1212" spans="1:19" ht="33.75" customHeight="1">
      <c r="A1212" s="1" t="s">
        <v>3441</v>
      </c>
      <c r="B1212" s="1" t="s">
        <v>3156</v>
      </c>
      <c r="C1212" s="1">
        <v>18</v>
      </c>
      <c r="D1212" s="4">
        <v>39883.802083333336</v>
      </c>
      <c r="E1212" s="1" t="s">
        <v>14</v>
      </c>
      <c r="F1212" s="1"/>
      <c r="G1212" s="1"/>
      <c r="H1212" s="1"/>
      <c r="I1212" s="1"/>
      <c r="J1212" s="1"/>
      <c r="K1212" s="1"/>
      <c r="L1212" s="1"/>
      <c r="M1212" s="1"/>
      <c r="N1212" s="1"/>
      <c r="O1212" s="1"/>
      <c r="P1212" s="1"/>
      <c r="Q1212" s="1"/>
      <c r="R1212" s="1"/>
      <c r="S1212" s="1"/>
    </row>
    <row r="1213" spans="1:19" ht="33.75" customHeight="1">
      <c r="A1213" s="1" t="s">
        <v>3443</v>
      </c>
      <c r="B1213" s="1" t="s">
        <v>3255</v>
      </c>
      <c r="C1213" s="1">
        <v>19</v>
      </c>
      <c r="D1213" s="4">
        <v>39883.804166666669</v>
      </c>
      <c r="E1213" s="1" t="s">
        <v>3437</v>
      </c>
      <c r="F1213" s="1"/>
      <c r="G1213" s="1"/>
      <c r="H1213" s="1"/>
      <c r="I1213" s="1"/>
      <c r="J1213" s="1"/>
      <c r="K1213" s="1"/>
      <c r="L1213" s="1"/>
      <c r="M1213" s="1"/>
      <c r="N1213" s="1"/>
      <c r="O1213" s="1"/>
      <c r="P1213" s="1"/>
      <c r="Q1213" s="1"/>
      <c r="R1213" s="1"/>
      <c r="S1213" s="1"/>
    </row>
    <row r="1214" spans="1:19" ht="33.75" customHeight="1">
      <c r="A1214" s="1" t="s">
        <v>3447</v>
      </c>
      <c r="B1214" s="1" t="s">
        <v>3156</v>
      </c>
      <c r="C1214" s="1">
        <v>18</v>
      </c>
      <c r="D1214" s="4">
        <v>39886.927777777775</v>
      </c>
      <c r="E1214" s="1" t="s">
        <v>1528</v>
      </c>
      <c r="F1214" s="1"/>
      <c r="G1214" s="1"/>
      <c r="H1214" s="1"/>
      <c r="I1214" s="1"/>
      <c r="J1214" s="1"/>
      <c r="K1214" s="1"/>
      <c r="L1214" s="1"/>
      <c r="M1214" s="1"/>
      <c r="N1214" s="1"/>
      <c r="O1214" s="1"/>
      <c r="P1214" s="1"/>
      <c r="Q1214" s="1"/>
      <c r="R1214" s="1"/>
      <c r="S1214" s="1"/>
    </row>
    <row r="1215" spans="1:19" ht="33.75" customHeight="1">
      <c r="A1215" s="1" t="s">
        <v>3449</v>
      </c>
      <c r="B1215" s="1" t="s">
        <v>3255</v>
      </c>
      <c r="C1215" s="1">
        <v>19</v>
      </c>
      <c r="D1215" s="4">
        <v>39883.817361111112</v>
      </c>
      <c r="E1215" s="1" t="s">
        <v>3437</v>
      </c>
      <c r="F1215" s="1"/>
      <c r="G1215" s="1"/>
      <c r="H1215" s="1"/>
      <c r="I1215" s="1"/>
      <c r="J1215" s="1"/>
      <c r="K1215" s="1"/>
      <c r="L1215" s="1"/>
      <c r="M1215" s="1"/>
      <c r="N1215" s="1"/>
      <c r="O1215" s="1"/>
      <c r="P1215" s="1"/>
      <c r="Q1215" s="1"/>
      <c r="R1215" s="1"/>
      <c r="S1215" s="1"/>
    </row>
    <row r="1216" spans="1:19" ht="33.75" customHeight="1">
      <c r="A1216" s="1" t="s">
        <v>3452</v>
      </c>
      <c r="B1216" s="1" t="s">
        <v>3255</v>
      </c>
      <c r="C1216" s="1">
        <v>19</v>
      </c>
      <c r="D1216" s="4">
        <v>39883.817361111112</v>
      </c>
      <c r="E1216" s="1" t="s">
        <v>14</v>
      </c>
      <c r="F1216" s="1"/>
      <c r="G1216" s="1"/>
      <c r="H1216" s="1"/>
      <c r="I1216" s="1"/>
      <c r="J1216" s="1"/>
      <c r="K1216" s="1"/>
      <c r="L1216" s="1"/>
      <c r="M1216" s="1"/>
      <c r="N1216" s="1"/>
      <c r="O1216" s="1"/>
      <c r="P1216" s="1"/>
      <c r="Q1216" s="1"/>
      <c r="R1216" s="1"/>
      <c r="S1216" s="1"/>
    </row>
    <row r="1217" spans="1:19" ht="33.75" customHeight="1">
      <c r="A1217" s="1" t="s">
        <v>3456</v>
      </c>
      <c r="B1217" s="1" t="s">
        <v>3156</v>
      </c>
      <c r="C1217" s="1">
        <v>18</v>
      </c>
      <c r="D1217" s="4">
        <v>39883.818749999999</v>
      </c>
      <c r="E1217" s="1" t="s">
        <v>314</v>
      </c>
      <c r="F1217" s="1"/>
      <c r="G1217" s="1"/>
      <c r="H1217" s="1"/>
      <c r="I1217" s="1"/>
      <c r="J1217" s="1"/>
      <c r="K1217" s="1"/>
      <c r="L1217" s="1"/>
      <c r="M1217" s="1"/>
      <c r="N1217" s="1"/>
      <c r="O1217" s="1"/>
      <c r="P1217" s="1"/>
      <c r="Q1217" s="1"/>
      <c r="R1217" s="1"/>
      <c r="S1217" s="1"/>
    </row>
    <row r="1218" spans="1:19" ht="33.75" customHeight="1">
      <c r="A1218" s="1" t="s">
        <v>3460</v>
      </c>
      <c r="B1218" s="1" t="s">
        <v>3255</v>
      </c>
      <c r="C1218" s="1">
        <v>19</v>
      </c>
      <c r="D1218" s="4">
        <v>39883.820833333331</v>
      </c>
      <c r="E1218" s="1" t="s">
        <v>3461</v>
      </c>
      <c r="F1218" s="1"/>
      <c r="G1218" s="1"/>
      <c r="H1218" s="1"/>
      <c r="I1218" s="1"/>
      <c r="J1218" s="1"/>
      <c r="K1218" s="1"/>
      <c r="L1218" s="1"/>
      <c r="M1218" s="1"/>
      <c r="N1218" s="1"/>
      <c r="O1218" s="1"/>
      <c r="P1218" s="1"/>
      <c r="Q1218" s="1"/>
      <c r="R1218" s="1"/>
      <c r="S1218" s="1"/>
    </row>
    <row r="1219" spans="1:19" ht="33.75" customHeight="1">
      <c r="A1219" s="1" t="s">
        <v>3464</v>
      </c>
      <c r="B1219" s="1" t="s">
        <v>3156</v>
      </c>
      <c r="C1219" s="1">
        <v>18</v>
      </c>
      <c r="D1219" s="4">
        <v>39883.825694444444</v>
      </c>
      <c r="E1219" s="1" t="s">
        <v>14</v>
      </c>
      <c r="F1219" s="1"/>
      <c r="G1219" s="1"/>
      <c r="H1219" s="1"/>
      <c r="I1219" s="1"/>
      <c r="J1219" s="1"/>
      <c r="K1219" s="1"/>
      <c r="L1219" s="1"/>
      <c r="M1219" s="1"/>
      <c r="N1219" s="1"/>
      <c r="O1219" s="1"/>
      <c r="P1219" s="1"/>
      <c r="Q1219" s="1"/>
      <c r="R1219" s="1"/>
      <c r="S1219" s="1"/>
    </row>
    <row r="1220" spans="1:19" ht="33.75" customHeight="1">
      <c r="A1220" s="1" t="s">
        <v>3466</v>
      </c>
      <c r="B1220" s="1" t="s">
        <v>3156</v>
      </c>
      <c r="C1220" s="1">
        <v>18</v>
      </c>
      <c r="D1220" s="4">
        <v>39883.832638888889</v>
      </c>
      <c r="E1220" s="1" t="s">
        <v>196</v>
      </c>
      <c r="F1220" s="1"/>
      <c r="G1220" s="1"/>
      <c r="H1220" s="1"/>
      <c r="I1220" s="1"/>
      <c r="J1220" s="1"/>
      <c r="K1220" s="1"/>
      <c r="L1220" s="1"/>
      <c r="M1220" s="1"/>
      <c r="N1220" s="1"/>
      <c r="O1220" s="1"/>
      <c r="P1220" s="1"/>
      <c r="Q1220" s="1"/>
      <c r="R1220" s="1"/>
      <c r="S1220" s="1"/>
    </row>
    <row r="1221" spans="1:19" ht="33.75" customHeight="1">
      <c r="A1221" s="1" t="s">
        <v>3469</v>
      </c>
      <c r="B1221" s="1" t="s">
        <v>3156</v>
      </c>
      <c r="C1221" s="1">
        <v>18</v>
      </c>
      <c r="D1221" s="4">
        <v>39883.834722222222</v>
      </c>
      <c r="E1221" s="1" t="s">
        <v>14</v>
      </c>
      <c r="F1221" s="1"/>
      <c r="G1221" s="1"/>
      <c r="H1221" s="1"/>
      <c r="I1221" s="1"/>
      <c r="J1221" s="1"/>
      <c r="K1221" s="1"/>
      <c r="L1221" s="1"/>
      <c r="M1221" s="1"/>
      <c r="N1221" s="1"/>
      <c r="O1221" s="1"/>
      <c r="P1221" s="1"/>
      <c r="Q1221" s="1"/>
      <c r="R1221" s="1"/>
      <c r="S1221" s="1"/>
    </row>
    <row r="1222" spans="1:19" ht="33.75" customHeight="1">
      <c r="A1222" s="1" t="s">
        <v>3471</v>
      </c>
      <c r="B1222" s="1" t="s">
        <v>3255</v>
      </c>
      <c r="C1222" s="1">
        <v>19</v>
      </c>
      <c r="D1222" s="4">
        <v>39883.836805555555</v>
      </c>
      <c r="E1222" s="1" t="s">
        <v>314</v>
      </c>
      <c r="F1222" s="1"/>
      <c r="G1222" s="1"/>
      <c r="H1222" s="1"/>
      <c r="I1222" s="1"/>
      <c r="J1222" s="1"/>
      <c r="K1222" s="1"/>
      <c r="L1222" s="1"/>
      <c r="M1222" s="1"/>
      <c r="N1222" s="1"/>
      <c r="O1222" s="1"/>
      <c r="P1222" s="1"/>
      <c r="Q1222" s="1"/>
      <c r="R1222" s="1"/>
      <c r="S1222" s="1"/>
    </row>
    <row r="1223" spans="1:19" ht="33.75" customHeight="1">
      <c r="A1223" s="1" t="s">
        <v>3474</v>
      </c>
      <c r="B1223" s="1" t="s">
        <v>3156</v>
      </c>
      <c r="C1223" s="1">
        <v>18</v>
      </c>
      <c r="D1223" s="4">
        <v>39883.841666666667</v>
      </c>
      <c r="E1223" s="1" t="s">
        <v>14</v>
      </c>
      <c r="F1223" s="1"/>
      <c r="G1223" s="1"/>
      <c r="H1223" s="1"/>
      <c r="I1223" s="1"/>
      <c r="J1223" s="1"/>
      <c r="K1223" s="1"/>
      <c r="L1223" s="1"/>
      <c r="M1223" s="1"/>
      <c r="N1223" s="1"/>
      <c r="O1223" s="1"/>
      <c r="P1223" s="1"/>
      <c r="Q1223" s="1"/>
      <c r="R1223" s="1"/>
      <c r="S1223" s="1"/>
    </row>
    <row r="1224" spans="1:19" ht="33.75" customHeight="1">
      <c r="A1224" s="1" t="s">
        <v>3476</v>
      </c>
      <c r="B1224" s="1" t="s">
        <v>3255</v>
      </c>
      <c r="C1224" s="1">
        <v>19</v>
      </c>
      <c r="D1224" s="4">
        <v>39883.844444444447</v>
      </c>
      <c r="E1224" s="1" t="s">
        <v>14</v>
      </c>
      <c r="F1224" s="1"/>
      <c r="G1224" s="1"/>
      <c r="H1224" s="1"/>
      <c r="I1224" s="1"/>
      <c r="J1224" s="1"/>
      <c r="K1224" s="1"/>
      <c r="L1224" s="1"/>
      <c r="M1224" s="1"/>
      <c r="N1224" s="1"/>
      <c r="O1224" s="1"/>
      <c r="P1224" s="1"/>
      <c r="Q1224" s="1"/>
      <c r="R1224" s="1"/>
      <c r="S1224" s="1"/>
    </row>
    <row r="1225" spans="1:19" ht="33.75" customHeight="1">
      <c r="A1225" s="1" t="s">
        <v>3479</v>
      </c>
      <c r="B1225" s="1" t="s">
        <v>3156</v>
      </c>
      <c r="C1225" s="1">
        <v>18</v>
      </c>
      <c r="D1225" s="4">
        <v>39883.869444444441</v>
      </c>
      <c r="E1225" s="1" t="s">
        <v>196</v>
      </c>
      <c r="F1225" s="1"/>
      <c r="G1225" s="1"/>
      <c r="H1225" s="1"/>
      <c r="I1225" s="1"/>
      <c r="J1225" s="1"/>
      <c r="K1225" s="1"/>
      <c r="L1225" s="1"/>
      <c r="M1225" s="1"/>
      <c r="N1225" s="1"/>
      <c r="O1225" s="1"/>
      <c r="P1225" s="1"/>
      <c r="Q1225" s="1"/>
      <c r="R1225" s="1"/>
      <c r="S1225" s="1"/>
    </row>
    <row r="1226" spans="1:19" ht="33.75" customHeight="1">
      <c r="A1226" s="1" t="s">
        <v>3481</v>
      </c>
      <c r="B1226" s="1" t="s">
        <v>3255</v>
      </c>
      <c r="C1226" s="1">
        <v>19</v>
      </c>
      <c r="D1226" s="4">
        <v>39883.908333333333</v>
      </c>
      <c r="E1226" s="1" t="s">
        <v>54</v>
      </c>
      <c r="F1226" s="1"/>
      <c r="G1226" s="1"/>
      <c r="H1226" s="1"/>
      <c r="I1226" s="1"/>
      <c r="J1226" s="1"/>
      <c r="K1226" s="1"/>
      <c r="L1226" s="1"/>
      <c r="M1226" s="1"/>
      <c r="N1226" s="1"/>
      <c r="O1226" s="1"/>
      <c r="P1226" s="1"/>
      <c r="Q1226" s="1"/>
      <c r="R1226" s="1"/>
      <c r="S1226" s="1"/>
    </row>
    <row r="1227" spans="1:19" ht="33.75" customHeight="1">
      <c r="A1227" s="1" t="s">
        <v>3484</v>
      </c>
      <c r="B1227" s="1" t="s">
        <v>3255</v>
      </c>
      <c r="C1227" s="1">
        <v>19</v>
      </c>
      <c r="D1227" s="4">
        <v>39883.911111111112</v>
      </c>
      <c r="E1227" s="1" t="s">
        <v>3485</v>
      </c>
      <c r="F1227" s="1"/>
      <c r="G1227" s="1"/>
      <c r="H1227" s="1"/>
      <c r="I1227" s="1"/>
      <c r="J1227" s="1"/>
      <c r="K1227" s="1"/>
      <c r="L1227" s="1"/>
      <c r="M1227" s="1"/>
      <c r="N1227" s="1"/>
      <c r="O1227" s="1"/>
      <c r="P1227" s="1"/>
      <c r="Q1227" s="1"/>
      <c r="R1227" s="1"/>
      <c r="S1227" s="1"/>
    </row>
    <row r="1228" spans="1:19" ht="33.75" customHeight="1">
      <c r="A1228" s="1" t="s">
        <v>3488</v>
      </c>
      <c r="B1228" s="1" t="s">
        <v>3255</v>
      </c>
      <c r="C1228" s="1">
        <v>19</v>
      </c>
      <c r="D1228" s="4">
        <v>39883.929861111108</v>
      </c>
      <c r="E1228" s="1" t="s">
        <v>14</v>
      </c>
      <c r="F1228" s="1"/>
      <c r="G1228" s="1"/>
      <c r="H1228" s="1"/>
      <c r="I1228" s="1"/>
      <c r="J1228" s="1"/>
      <c r="K1228" s="1"/>
      <c r="L1228" s="1"/>
      <c r="M1228" s="1"/>
      <c r="N1228" s="1"/>
      <c r="O1228" s="1"/>
      <c r="P1228" s="1"/>
      <c r="Q1228" s="1"/>
      <c r="R1228" s="1"/>
      <c r="S1228" s="1"/>
    </row>
    <row r="1229" spans="1:19" ht="33.75" customHeight="1">
      <c r="A1229" s="1" t="s">
        <v>3490</v>
      </c>
      <c r="B1229" s="1" t="s">
        <v>3156</v>
      </c>
      <c r="C1229" s="1">
        <v>18</v>
      </c>
      <c r="D1229" s="4">
        <v>39883.944444444445</v>
      </c>
      <c r="E1229" s="1" t="s">
        <v>196</v>
      </c>
      <c r="F1229" s="1"/>
      <c r="G1229" s="1"/>
      <c r="H1229" s="1"/>
      <c r="I1229" s="1"/>
      <c r="J1229" s="1"/>
      <c r="K1229" s="1"/>
      <c r="L1229" s="1"/>
      <c r="M1229" s="1"/>
      <c r="N1229" s="1"/>
      <c r="O1229" s="1"/>
      <c r="P1229" s="1"/>
      <c r="Q1229" s="1"/>
      <c r="R1229" s="1"/>
      <c r="S1229" s="1"/>
    </row>
    <row r="1230" spans="1:19" ht="33.75" customHeight="1">
      <c r="A1230" s="1" t="s">
        <v>3493</v>
      </c>
      <c r="B1230" s="1" t="s">
        <v>3156</v>
      </c>
      <c r="C1230" s="1">
        <v>18</v>
      </c>
      <c r="D1230" s="4">
        <v>39883.946527777778</v>
      </c>
      <c r="E1230" s="1" t="s">
        <v>320</v>
      </c>
      <c r="F1230" s="1"/>
      <c r="G1230" s="1"/>
      <c r="H1230" s="1"/>
      <c r="I1230" s="1"/>
      <c r="J1230" s="1"/>
      <c r="K1230" s="1"/>
      <c r="L1230" s="1"/>
      <c r="M1230" s="1"/>
      <c r="N1230" s="1"/>
      <c r="O1230" s="1"/>
      <c r="P1230" s="1"/>
      <c r="Q1230" s="1"/>
      <c r="R1230" s="1"/>
      <c r="S1230" s="1"/>
    </row>
    <row r="1231" spans="1:19" ht="33.75" customHeight="1">
      <c r="A1231" s="1" t="s">
        <v>3496</v>
      </c>
      <c r="B1231" s="1" t="s">
        <v>3156</v>
      </c>
      <c r="C1231" s="1">
        <v>18</v>
      </c>
      <c r="D1231" s="4">
        <v>39883.950694444444</v>
      </c>
      <c r="E1231" s="1" t="s">
        <v>14</v>
      </c>
      <c r="F1231" s="1"/>
      <c r="G1231" s="1"/>
      <c r="H1231" s="1"/>
      <c r="I1231" s="1"/>
      <c r="J1231" s="1"/>
      <c r="K1231" s="1"/>
      <c r="L1231" s="1"/>
      <c r="M1231" s="1"/>
      <c r="N1231" s="1"/>
      <c r="O1231" s="1"/>
      <c r="P1231" s="1"/>
      <c r="Q1231" s="1"/>
      <c r="R1231" s="1"/>
      <c r="S1231" s="1"/>
    </row>
    <row r="1232" spans="1:19" ht="33.75" customHeight="1">
      <c r="A1232" s="1" t="s">
        <v>3498</v>
      </c>
      <c r="B1232" s="1" t="s">
        <v>3156</v>
      </c>
      <c r="C1232" s="1">
        <v>18</v>
      </c>
      <c r="D1232" s="4">
        <v>39883.951388888891</v>
      </c>
      <c r="E1232" s="1" t="s">
        <v>14</v>
      </c>
      <c r="F1232" s="1"/>
      <c r="G1232" s="1"/>
      <c r="H1232" s="1"/>
      <c r="I1232" s="1"/>
      <c r="J1232" s="1"/>
      <c r="K1232" s="1"/>
      <c r="L1232" s="1"/>
      <c r="M1232" s="1"/>
      <c r="N1232" s="1"/>
      <c r="O1232" s="1"/>
      <c r="P1232" s="1"/>
      <c r="Q1232" s="1"/>
      <c r="R1232" s="1"/>
      <c r="S1232" s="1"/>
    </row>
    <row r="1233" spans="1:19" ht="33.75" customHeight="1">
      <c r="A1233" s="1" t="s">
        <v>3502</v>
      </c>
      <c r="B1233" s="1" t="s">
        <v>3255</v>
      </c>
      <c r="C1233" s="1">
        <v>19</v>
      </c>
      <c r="D1233" s="4">
        <v>39883.96597222222</v>
      </c>
      <c r="E1233" s="1" t="s">
        <v>393</v>
      </c>
      <c r="F1233" s="1"/>
      <c r="G1233" s="1"/>
      <c r="H1233" s="1"/>
      <c r="I1233" s="1"/>
      <c r="J1233" s="1"/>
      <c r="K1233" s="1"/>
      <c r="L1233" s="1"/>
      <c r="M1233" s="1"/>
      <c r="N1233" s="1"/>
      <c r="O1233" s="1"/>
      <c r="P1233" s="1"/>
      <c r="Q1233" s="1"/>
      <c r="R1233" s="1"/>
      <c r="S1233" s="1"/>
    </row>
    <row r="1234" spans="1:19" ht="33.75" customHeight="1">
      <c r="A1234" s="1" t="s">
        <v>3505</v>
      </c>
      <c r="B1234" s="1" t="s">
        <v>3255</v>
      </c>
      <c r="C1234" s="1">
        <v>19</v>
      </c>
      <c r="D1234" s="4">
        <v>39883.970833333333</v>
      </c>
      <c r="E1234" s="1" t="s">
        <v>54</v>
      </c>
      <c r="F1234" s="1"/>
      <c r="G1234" s="1"/>
      <c r="H1234" s="1"/>
      <c r="I1234" s="1"/>
      <c r="J1234" s="1"/>
      <c r="K1234" s="1"/>
      <c r="L1234" s="1"/>
      <c r="M1234" s="1"/>
      <c r="N1234" s="1"/>
      <c r="O1234" s="1"/>
      <c r="P1234" s="1"/>
      <c r="Q1234" s="1"/>
      <c r="R1234" s="1"/>
      <c r="S1234" s="1"/>
    </row>
    <row r="1235" spans="1:19" ht="33.75" customHeight="1">
      <c r="A1235" s="1" t="s">
        <v>3508</v>
      </c>
      <c r="B1235" s="1" t="s">
        <v>3156</v>
      </c>
      <c r="C1235" s="1">
        <v>18</v>
      </c>
      <c r="D1235" s="4">
        <v>39883.986111111109</v>
      </c>
      <c r="E1235" s="1" t="s">
        <v>320</v>
      </c>
      <c r="F1235" s="1"/>
      <c r="G1235" s="1"/>
      <c r="H1235" s="1"/>
      <c r="I1235" s="1"/>
      <c r="J1235" s="1"/>
      <c r="K1235" s="1"/>
      <c r="L1235" s="1"/>
      <c r="M1235" s="1"/>
      <c r="N1235" s="1"/>
      <c r="O1235" s="1"/>
      <c r="P1235" s="1"/>
      <c r="Q1235" s="1"/>
      <c r="R1235" s="1"/>
      <c r="S1235" s="1"/>
    </row>
    <row r="1236" spans="1:19" ht="33.75" customHeight="1">
      <c r="A1236" s="1" t="s">
        <v>3510</v>
      </c>
      <c r="B1236" s="1" t="s">
        <v>3156</v>
      </c>
      <c r="C1236" s="1">
        <v>18</v>
      </c>
      <c r="D1236" s="4">
        <v>39883.987500000003</v>
      </c>
      <c r="E1236" s="1" t="s">
        <v>196</v>
      </c>
      <c r="F1236" s="1"/>
      <c r="G1236" s="1"/>
      <c r="H1236" s="1"/>
      <c r="I1236" s="1"/>
      <c r="J1236" s="1"/>
      <c r="K1236" s="1"/>
      <c r="L1236" s="1"/>
      <c r="M1236" s="1"/>
      <c r="N1236" s="1"/>
      <c r="O1236" s="1"/>
      <c r="P1236" s="1"/>
      <c r="Q1236" s="1"/>
      <c r="R1236" s="1"/>
      <c r="S1236" s="1"/>
    </row>
    <row r="1237" spans="1:19" ht="33.75" customHeight="1">
      <c r="A1237" s="1" t="s">
        <v>3513</v>
      </c>
      <c r="B1237" s="1" t="s">
        <v>3156</v>
      </c>
      <c r="C1237" s="1">
        <v>18</v>
      </c>
      <c r="D1237" s="4">
        <v>39883.995138888888</v>
      </c>
      <c r="E1237" s="1" t="s">
        <v>320</v>
      </c>
      <c r="F1237" s="1"/>
      <c r="G1237" s="1"/>
      <c r="H1237" s="1"/>
      <c r="I1237" s="1"/>
      <c r="J1237" s="1"/>
      <c r="K1237" s="1"/>
      <c r="L1237" s="1"/>
      <c r="M1237" s="1"/>
      <c r="N1237" s="1"/>
      <c r="O1237" s="1"/>
      <c r="P1237" s="1"/>
      <c r="Q1237" s="1"/>
      <c r="R1237" s="1"/>
      <c r="S1237" s="1"/>
    </row>
    <row r="1238" spans="1:19" ht="33.75" customHeight="1">
      <c r="A1238" s="1" t="s">
        <v>3516</v>
      </c>
      <c r="B1238" s="1" t="s">
        <v>2870</v>
      </c>
      <c r="C1238" s="1">
        <v>17</v>
      </c>
      <c r="D1238" s="4">
        <v>39884.025694444441</v>
      </c>
      <c r="E1238" s="1" t="s">
        <v>1887</v>
      </c>
      <c r="F1238" s="1"/>
      <c r="G1238" s="1"/>
      <c r="H1238" s="1"/>
      <c r="I1238" s="1"/>
      <c r="J1238" s="1"/>
      <c r="K1238" s="1"/>
      <c r="L1238" s="1"/>
      <c r="M1238" s="1"/>
      <c r="N1238" s="1"/>
      <c r="O1238" s="1"/>
      <c r="P1238" s="1"/>
      <c r="Q1238" s="1"/>
      <c r="R1238" s="1"/>
      <c r="S1238" s="1"/>
    </row>
    <row r="1239" spans="1:19" ht="33.75" customHeight="1">
      <c r="A1239" s="1" t="s">
        <v>3518</v>
      </c>
      <c r="B1239" s="1" t="s">
        <v>3255</v>
      </c>
      <c r="C1239" s="1">
        <v>19</v>
      </c>
      <c r="D1239" s="4">
        <v>39884.027083333334</v>
      </c>
      <c r="E1239" s="1" t="s">
        <v>3485</v>
      </c>
      <c r="F1239" s="1"/>
      <c r="G1239" s="1"/>
      <c r="H1239" s="1"/>
      <c r="I1239" s="1"/>
      <c r="J1239" s="1"/>
      <c r="K1239" s="1"/>
      <c r="L1239" s="1"/>
      <c r="M1239" s="1"/>
      <c r="N1239" s="1"/>
      <c r="O1239" s="1"/>
      <c r="P1239" s="1"/>
      <c r="Q1239" s="1"/>
      <c r="R1239" s="1"/>
      <c r="S1239" s="1"/>
    </row>
    <row r="1240" spans="1:19" ht="33.75" customHeight="1">
      <c r="A1240" s="1" t="s">
        <v>3521</v>
      </c>
      <c r="B1240" s="1" t="s">
        <v>3255</v>
      </c>
      <c r="C1240" s="1">
        <v>19</v>
      </c>
      <c r="D1240" s="4">
        <v>39884.031944444447</v>
      </c>
      <c r="E1240" s="1" t="s">
        <v>84</v>
      </c>
      <c r="F1240" s="1"/>
      <c r="G1240" s="1"/>
      <c r="H1240" s="1"/>
      <c r="I1240" s="1"/>
      <c r="J1240" s="1"/>
      <c r="K1240" s="1"/>
      <c r="L1240" s="1"/>
      <c r="M1240" s="1"/>
      <c r="N1240" s="1"/>
      <c r="O1240" s="1"/>
      <c r="P1240" s="1"/>
      <c r="Q1240" s="1"/>
      <c r="R1240" s="1"/>
      <c r="S1240" s="1"/>
    </row>
    <row r="1241" spans="1:19" ht="33.75" customHeight="1">
      <c r="A1241" s="1" t="s">
        <v>3525</v>
      </c>
      <c r="B1241" s="1" t="s">
        <v>3255</v>
      </c>
      <c r="C1241" s="1">
        <v>19</v>
      </c>
      <c r="D1241" s="4">
        <v>39884.040277777778</v>
      </c>
      <c r="E1241" s="1" t="s">
        <v>3280</v>
      </c>
      <c r="F1241" s="1"/>
      <c r="G1241" s="1"/>
      <c r="H1241" s="1"/>
      <c r="I1241" s="1"/>
      <c r="J1241" s="1"/>
      <c r="K1241" s="1"/>
      <c r="L1241" s="1"/>
      <c r="M1241" s="1"/>
      <c r="N1241" s="1"/>
      <c r="O1241" s="1"/>
      <c r="P1241" s="1"/>
      <c r="Q1241" s="1"/>
      <c r="R1241" s="1"/>
      <c r="S1241" s="1"/>
    </row>
    <row r="1242" spans="1:19" ht="33.75" customHeight="1">
      <c r="A1242" s="1" t="s">
        <v>3527</v>
      </c>
      <c r="B1242" s="1" t="s">
        <v>3255</v>
      </c>
      <c r="C1242" s="1">
        <v>19</v>
      </c>
      <c r="D1242" s="4">
        <v>39884.061805555553</v>
      </c>
      <c r="E1242" s="1" t="s">
        <v>14</v>
      </c>
      <c r="F1242" s="1"/>
      <c r="G1242" s="1"/>
      <c r="H1242" s="1"/>
      <c r="I1242" s="1"/>
      <c r="J1242" s="1"/>
      <c r="K1242" s="1"/>
      <c r="L1242" s="1"/>
      <c r="M1242" s="1"/>
      <c r="N1242" s="1"/>
      <c r="O1242" s="1"/>
      <c r="P1242" s="1"/>
      <c r="Q1242" s="1"/>
      <c r="R1242" s="1"/>
      <c r="S1242" s="1"/>
    </row>
    <row r="1243" spans="1:19" ht="33.75" customHeight="1">
      <c r="A1243" s="1" t="s">
        <v>3529</v>
      </c>
      <c r="B1243" s="1" t="s">
        <v>3156</v>
      </c>
      <c r="C1243" s="1">
        <v>18</v>
      </c>
      <c r="D1243" s="4">
        <v>39884.066666666666</v>
      </c>
      <c r="E1243" s="1" t="s">
        <v>14</v>
      </c>
      <c r="F1243" s="1"/>
      <c r="G1243" s="1"/>
      <c r="H1243" s="1"/>
      <c r="I1243" s="1"/>
      <c r="J1243" s="1"/>
      <c r="K1243" s="1"/>
      <c r="L1243" s="1"/>
      <c r="M1243" s="1"/>
      <c r="N1243" s="1"/>
      <c r="O1243" s="1"/>
      <c r="P1243" s="1"/>
      <c r="Q1243" s="1"/>
      <c r="R1243" s="1"/>
      <c r="S1243" s="1"/>
    </row>
    <row r="1244" spans="1:19" ht="33.75" customHeight="1">
      <c r="A1244" s="1" t="s">
        <v>3532</v>
      </c>
      <c r="B1244" s="1" t="s">
        <v>3255</v>
      </c>
      <c r="C1244" s="1">
        <v>19</v>
      </c>
      <c r="D1244" s="4">
        <v>39884.213888888888</v>
      </c>
      <c r="E1244" s="1" t="s">
        <v>3533</v>
      </c>
      <c r="F1244" s="1"/>
      <c r="G1244" s="1"/>
      <c r="H1244" s="1"/>
      <c r="I1244" s="1"/>
      <c r="J1244" s="1"/>
      <c r="K1244" s="1"/>
      <c r="L1244" s="1"/>
      <c r="M1244" s="1"/>
      <c r="N1244" s="1"/>
      <c r="O1244" s="1"/>
      <c r="P1244" s="1"/>
      <c r="Q1244" s="1"/>
      <c r="R1244" s="1"/>
      <c r="S1244" s="1"/>
    </row>
    <row r="1245" spans="1:19" ht="33.75" customHeight="1">
      <c r="A1245" s="1" t="s">
        <v>3535</v>
      </c>
      <c r="B1245" s="1" t="s">
        <v>3255</v>
      </c>
      <c r="C1245" s="1">
        <v>19</v>
      </c>
      <c r="D1245" s="4">
        <v>39884.222222222219</v>
      </c>
      <c r="E1245" s="1" t="s">
        <v>320</v>
      </c>
      <c r="F1245" s="1"/>
      <c r="G1245" s="1"/>
      <c r="H1245" s="1"/>
      <c r="I1245" s="1"/>
      <c r="J1245" s="1"/>
      <c r="K1245" s="1"/>
      <c r="L1245" s="1"/>
      <c r="M1245" s="1"/>
      <c r="N1245" s="1"/>
      <c r="O1245" s="1"/>
      <c r="P1245" s="1"/>
      <c r="Q1245" s="1"/>
      <c r="R1245" s="1"/>
      <c r="S1245" s="1"/>
    </row>
    <row r="1246" spans="1:19" ht="33.75" customHeight="1">
      <c r="A1246" s="1" t="s">
        <v>3537</v>
      </c>
      <c r="B1246" s="1" t="s">
        <v>2870</v>
      </c>
      <c r="C1246" s="1">
        <v>17</v>
      </c>
      <c r="D1246" s="4">
        <v>39884.242361111108</v>
      </c>
      <c r="E1246" s="1" t="s">
        <v>84</v>
      </c>
      <c r="F1246" s="1"/>
      <c r="G1246" s="1"/>
      <c r="H1246" s="1"/>
      <c r="I1246" s="1"/>
      <c r="J1246" s="1"/>
      <c r="K1246" s="1"/>
      <c r="L1246" s="1"/>
      <c r="M1246" s="1"/>
      <c r="N1246" s="1"/>
      <c r="O1246" s="1"/>
      <c r="P1246" s="1"/>
      <c r="Q1246" s="1"/>
      <c r="R1246" s="1"/>
      <c r="S1246" s="1"/>
    </row>
    <row r="1247" spans="1:19" ht="33.75" customHeight="1">
      <c r="A1247" s="1" t="s">
        <v>3540</v>
      </c>
      <c r="B1247" s="1" t="s">
        <v>3156</v>
      </c>
      <c r="C1247" s="1">
        <v>18</v>
      </c>
      <c r="D1247" s="4">
        <v>39884.25</v>
      </c>
      <c r="E1247" s="1" t="s">
        <v>320</v>
      </c>
      <c r="F1247" s="1"/>
      <c r="G1247" s="1"/>
      <c r="H1247" s="1"/>
      <c r="I1247" s="1"/>
      <c r="J1247" s="1"/>
      <c r="K1247" s="1"/>
      <c r="L1247" s="1"/>
      <c r="M1247" s="1"/>
      <c r="N1247" s="1"/>
      <c r="O1247" s="1"/>
      <c r="P1247" s="1"/>
      <c r="Q1247" s="1"/>
      <c r="R1247" s="1"/>
      <c r="S1247" s="1"/>
    </row>
    <row r="1248" spans="1:19" ht="33.75" customHeight="1">
      <c r="A1248" s="1" t="s">
        <v>3542</v>
      </c>
      <c r="B1248" s="1" t="s">
        <v>3156</v>
      </c>
      <c r="C1248" s="1">
        <v>18</v>
      </c>
      <c r="D1248" s="4">
        <v>39884.270138888889</v>
      </c>
      <c r="E1248" s="1" t="s">
        <v>320</v>
      </c>
      <c r="F1248" s="1"/>
      <c r="G1248" s="1"/>
      <c r="H1248" s="1"/>
      <c r="I1248" s="1"/>
      <c r="J1248" s="1"/>
      <c r="K1248" s="1"/>
      <c r="L1248" s="1"/>
      <c r="M1248" s="1"/>
      <c r="N1248" s="1"/>
      <c r="O1248" s="1"/>
      <c r="P1248" s="1"/>
      <c r="Q1248" s="1"/>
      <c r="R1248" s="1"/>
      <c r="S1248" s="1"/>
    </row>
    <row r="1249" spans="1:19" ht="33.75" customHeight="1">
      <c r="A1249" s="1" t="s">
        <v>3545</v>
      </c>
      <c r="B1249" s="1" t="s">
        <v>3156</v>
      </c>
      <c r="C1249" s="1">
        <v>18</v>
      </c>
      <c r="D1249" s="4">
        <v>39884.270833333336</v>
      </c>
      <c r="E1249" s="1" t="s">
        <v>320</v>
      </c>
      <c r="F1249" s="1"/>
      <c r="G1249" s="1"/>
      <c r="H1249" s="1"/>
      <c r="I1249" s="1"/>
      <c r="J1249" s="1"/>
      <c r="K1249" s="1"/>
      <c r="L1249" s="1"/>
      <c r="M1249" s="1"/>
      <c r="N1249" s="1"/>
      <c r="O1249" s="1"/>
      <c r="P1249" s="1"/>
      <c r="Q1249" s="1"/>
      <c r="R1249" s="1"/>
      <c r="S1249" s="1"/>
    </row>
    <row r="1250" spans="1:19" ht="33.75" customHeight="1">
      <c r="A1250" s="1" t="s">
        <v>3547</v>
      </c>
      <c r="B1250" s="1" t="s">
        <v>3156</v>
      </c>
      <c r="C1250" s="1">
        <v>18</v>
      </c>
      <c r="D1250" s="4">
        <v>39884.300694444442</v>
      </c>
      <c r="E1250" s="1" t="s">
        <v>320</v>
      </c>
      <c r="F1250" s="1"/>
      <c r="G1250" s="1"/>
      <c r="H1250" s="1"/>
      <c r="I1250" s="1"/>
      <c r="J1250" s="1"/>
      <c r="K1250" s="1"/>
      <c r="L1250" s="1"/>
      <c r="M1250" s="1"/>
      <c r="N1250" s="1"/>
      <c r="O1250" s="1"/>
      <c r="P1250" s="1"/>
      <c r="Q1250" s="1"/>
      <c r="R1250" s="1"/>
      <c r="S1250" s="1"/>
    </row>
    <row r="1251" spans="1:19" ht="33.75" customHeight="1">
      <c r="A1251" s="1" t="s">
        <v>3550</v>
      </c>
      <c r="B1251" s="1" t="s">
        <v>3255</v>
      </c>
      <c r="C1251" s="1">
        <v>19</v>
      </c>
      <c r="D1251" s="4">
        <v>39884.347916666666</v>
      </c>
      <c r="E1251" s="1" t="s">
        <v>3551</v>
      </c>
      <c r="F1251" s="1"/>
      <c r="G1251" s="1"/>
      <c r="H1251" s="1"/>
      <c r="I1251" s="1"/>
      <c r="J1251" s="1"/>
      <c r="K1251" s="1"/>
      <c r="L1251" s="1"/>
      <c r="M1251" s="1"/>
      <c r="N1251" s="1"/>
      <c r="O1251" s="1"/>
      <c r="P1251" s="1"/>
      <c r="Q1251" s="1"/>
      <c r="R1251" s="1"/>
      <c r="S1251" s="1"/>
    </row>
    <row r="1252" spans="1:19" ht="33.75" customHeight="1">
      <c r="A1252" s="1" t="s">
        <v>3554</v>
      </c>
      <c r="B1252" s="1" t="s">
        <v>2870</v>
      </c>
      <c r="C1252" s="1">
        <v>17</v>
      </c>
      <c r="D1252" s="4">
        <v>39884.373611111114</v>
      </c>
      <c r="E1252" s="1" t="s">
        <v>54</v>
      </c>
      <c r="F1252" s="1"/>
      <c r="G1252" s="1"/>
      <c r="H1252" s="1"/>
      <c r="I1252" s="1"/>
      <c r="J1252" s="1"/>
      <c r="K1252" s="1"/>
      <c r="L1252" s="1"/>
      <c r="M1252" s="1"/>
      <c r="N1252" s="1"/>
      <c r="O1252" s="1"/>
      <c r="P1252" s="1"/>
      <c r="Q1252" s="1"/>
      <c r="R1252" s="1"/>
      <c r="S1252" s="1"/>
    </row>
    <row r="1253" spans="1:19" ht="33.75" customHeight="1">
      <c r="A1253" s="1" t="s">
        <v>3558</v>
      </c>
      <c r="B1253" s="1" t="s">
        <v>3255</v>
      </c>
      <c r="C1253" s="1">
        <v>19</v>
      </c>
      <c r="D1253" s="4">
        <v>39884.375</v>
      </c>
      <c r="E1253" s="1" t="s">
        <v>830</v>
      </c>
      <c r="F1253" s="1"/>
      <c r="G1253" s="1"/>
      <c r="H1253" s="1"/>
      <c r="I1253" s="1"/>
      <c r="J1253" s="1"/>
      <c r="K1253" s="1"/>
      <c r="L1253" s="1"/>
      <c r="M1253" s="1"/>
      <c r="N1253" s="1"/>
      <c r="O1253" s="1"/>
      <c r="P1253" s="1"/>
      <c r="Q1253" s="1"/>
      <c r="R1253" s="1"/>
      <c r="S1253" s="1"/>
    </row>
    <row r="1254" spans="1:19" ht="33.75" customHeight="1">
      <c r="A1254" s="1" t="s">
        <v>3561</v>
      </c>
      <c r="B1254" s="1" t="s">
        <v>3156</v>
      </c>
      <c r="C1254" s="1">
        <v>18</v>
      </c>
      <c r="D1254" s="4">
        <v>39884.431250000001</v>
      </c>
      <c r="E1254" s="1" t="s">
        <v>14</v>
      </c>
      <c r="F1254" s="1"/>
      <c r="G1254" s="1"/>
      <c r="H1254" s="1"/>
      <c r="I1254" s="1"/>
      <c r="J1254" s="1"/>
      <c r="K1254" s="1"/>
      <c r="L1254" s="1"/>
      <c r="M1254" s="1"/>
      <c r="N1254" s="1"/>
      <c r="O1254" s="1"/>
      <c r="P1254" s="1"/>
      <c r="Q1254" s="1"/>
      <c r="R1254" s="1"/>
      <c r="S1254" s="1"/>
    </row>
    <row r="1255" spans="1:19" ht="33.75" customHeight="1">
      <c r="A1255" s="1" t="s">
        <v>3564</v>
      </c>
      <c r="B1255" s="1" t="s">
        <v>2870</v>
      </c>
      <c r="C1255" s="1">
        <v>17</v>
      </c>
      <c r="D1255" s="4">
        <v>39884.436805555553</v>
      </c>
      <c r="E1255" s="1" t="s">
        <v>84</v>
      </c>
      <c r="F1255" s="1"/>
      <c r="G1255" s="1"/>
      <c r="H1255" s="1"/>
      <c r="I1255" s="1"/>
      <c r="J1255" s="1"/>
      <c r="K1255" s="1"/>
      <c r="L1255" s="1"/>
      <c r="M1255" s="1"/>
      <c r="N1255" s="1"/>
      <c r="O1255" s="1"/>
      <c r="P1255" s="1"/>
      <c r="Q1255" s="1"/>
      <c r="R1255" s="1"/>
      <c r="S1255" s="1"/>
    </row>
    <row r="1256" spans="1:19" ht="33.75" customHeight="1">
      <c r="A1256" s="1" t="s">
        <v>3568</v>
      </c>
      <c r="B1256" s="1" t="s">
        <v>2870</v>
      </c>
      <c r="C1256" s="1">
        <v>17</v>
      </c>
      <c r="D1256" s="4">
        <v>39884.461805555555</v>
      </c>
      <c r="E1256" s="1" t="s">
        <v>772</v>
      </c>
      <c r="F1256" s="1"/>
      <c r="G1256" s="1"/>
      <c r="H1256" s="1"/>
      <c r="I1256" s="1"/>
      <c r="J1256" s="1"/>
      <c r="K1256" s="1"/>
      <c r="L1256" s="1"/>
      <c r="M1256" s="1"/>
      <c r="N1256" s="1"/>
      <c r="O1256" s="1"/>
      <c r="P1256" s="1"/>
      <c r="Q1256" s="1"/>
      <c r="R1256" s="1"/>
      <c r="S1256" s="1"/>
    </row>
    <row r="1257" spans="1:19" ht="33.75" customHeight="1">
      <c r="A1257" s="1" t="s">
        <v>3570</v>
      </c>
      <c r="B1257" s="1" t="s">
        <v>2870</v>
      </c>
      <c r="C1257" s="1">
        <v>17</v>
      </c>
      <c r="D1257" s="4">
        <v>39884.466666666667</v>
      </c>
      <c r="E1257" s="1" t="s">
        <v>1887</v>
      </c>
      <c r="F1257" s="1"/>
      <c r="G1257" s="1"/>
      <c r="H1257" s="1"/>
      <c r="I1257" s="1"/>
      <c r="J1257" s="1"/>
      <c r="K1257" s="1"/>
      <c r="L1257" s="1"/>
      <c r="M1257" s="1"/>
      <c r="N1257" s="1"/>
      <c r="O1257" s="1"/>
      <c r="P1257" s="1"/>
      <c r="Q1257" s="1"/>
      <c r="R1257" s="1"/>
      <c r="S1257" s="1"/>
    </row>
    <row r="1258" spans="1:19" ht="33.75" customHeight="1">
      <c r="A1258" s="1" t="s">
        <v>3572</v>
      </c>
      <c r="B1258" s="1" t="s">
        <v>3255</v>
      </c>
      <c r="C1258" s="1">
        <v>19</v>
      </c>
      <c r="D1258" s="4">
        <v>39884.492361111108</v>
      </c>
      <c r="E1258" s="1" t="s">
        <v>14</v>
      </c>
      <c r="F1258" s="1"/>
      <c r="G1258" s="1"/>
      <c r="H1258" s="1"/>
      <c r="I1258" s="1"/>
      <c r="J1258" s="1"/>
      <c r="K1258" s="1"/>
      <c r="L1258" s="1"/>
      <c r="M1258" s="1"/>
      <c r="N1258" s="1"/>
      <c r="O1258" s="1"/>
      <c r="P1258" s="1"/>
      <c r="Q1258" s="1"/>
      <c r="R1258" s="1"/>
      <c r="S1258" s="1"/>
    </row>
    <row r="1259" spans="1:19" ht="33.75" customHeight="1">
      <c r="A1259" s="1" t="s">
        <v>3575</v>
      </c>
      <c r="B1259" s="1" t="s">
        <v>3255</v>
      </c>
      <c r="C1259" s="1">
        <v>19</v>
      </c>
      <c r="D1259" s="4">
        <v>39884.542361111111</v>
      </c>
      <c r="E1259" s="1" t="s">
        <v>3576</v>
      </c>
      <c r="F1259" s="1"/>
      <c r="G1259" s="1"/>
      <c r="H1259" s="1"/>
      <c r="I1259" s="1"/>
      <c r="J1259" s="1"/>
      <c r="K1259" s="1"/>
      <c r="L1259" s="1"/>
      <c r="M1259" s="1"/>
      <c r="N1259" s="1"/>
      <c r="O1259" s="1"/>
      <c r="P1259" s="1"/>
      <c r="Q1259" s="1"/>
      <c r="R1259" s="1"/>
      <c r="S1259" s="1"/>
    </row>
    <row r="1260" spans="1:19" ht="33.75" customHeight="1">
      <c r="A1260" s="1" t="s">
        <v>3579</v>
      </c>
      <c r="B1260" s="1" t="s">
        <v>3255</v>
      </c>
      <c r="C1260" s="1">
        <v>19</v>
      </c>
      <c r="D1260" s="4">
        <v>39884.574999999997</v>
      </c>
      <c r="E1260" s="1" t="s">
        <v>14</v>
      </c>
      <c r="F1260" s="1"/>
      <c r="G1260" s="1"/>
      <c r="H1260" s="1"/>
      <c r="I1260" s="1"/>
      <c r="J1260" s="1"/>
      <c r="K1260" s="1"/>
      <c r="L1260" s="1"/>
      <c r="M1260" s="1"/>
      <c r="N1260" s="1"/>
      <c r="O1260" s="1"/>
      <c r="P1260" s="1"/>
      <c r="Q1260" s="1"/>
      <c r="R1260" s="1"/>
      <c r="S1260" s="1"/>
    </row>
    <row r="1261" spans="1:19" ht="33.75" customHeight="1">
      <c r="A1261" s="1" t="s">
        <v>3581</v>
      </c>
      <c r="B1261" s="1" t="s">
        <v>3255</v>
      </c>
      <c r="C1261" s="1">
        <v>19</v>
      </c>
      <c r="D1261" s="4">
        <v>39884.640972222223</v>
      </c>
      <c r="E1261" s="1" t="s">
        <v>3582</v>
      </c>
      <c r="F1261" s="1"/>
      <c r="G1261" s="1"/>
      <c r="H1261" s="1"/>
      <c r="I1261" s="1"/>
      <c r="J1261" s="1"/>
      <c r="K1261" s="1"/>
      <c r="L1261" s="1"/>
      <c r="M1261" s="1"/>
      <c r="N1261" s="1"/>
      <c r="O1261" s="1"/>
      <c r="P1261" s="1"/>
      <c r="Q1261" s="1"/>
      <c r="R1261" s="1"/>
      <c r="S1261" s="1"/>
    </row>
    <row r="1262" spans="1:19" ht="33.75" customHeight="1">
      <c r="A1262" s="1" t="s">
        <v>3585</v>
      </c>
      <c r="B1262" s="1" t="s">
        <v>3255</v>
      </c>
      <c r="C1262" s="1">
        <v>19</v>
      </c>
      <c r="D1262" s="4">
        <v>39884.660416666666</v>
      </c>
      <c r="E1262" s="1" t="s">
        <v>84</v>
      </c>
      <c r="F1262" s="1"/>
      <c r="G1262" s="1"/>
      <c r="H1262" s="1"/>
      <c r="I1262" s="1"/>
      <c r="J1262" s="1"/>
      <c r="K1262" s="1"/>
      <c r="L1262" s="1"/>
      <c r="M1262" s="1"/>
      <c r="N1262" s="1"/>
      <c r="O1262" s="1"/>
      <c r="P1262" s="1"/>
      <c r="Q1262" s="1"/>
      <c r="R1262" s="1"/>
      <c r="S1262" s="1"/>
    </row>
    <row r="1263" spans="1:19" ht="33.75" customHeight="1">
      <c r="A1263" s="1" t="s">
        <v>3588</v>
      </c>
      <c r="B1263" s="1" t="s">
        <v>3156</v>
      </c>
      <c r="C1263" s="1">
        <v>18</v>
      </c>
      <c r="D1263" s="4">
        <v>39884.698611111111</v>
      </c>
      <c r="E1263" s="1" t="s">
        <v>320</v>
      </c>
      <c r="F1263" s="1"/>
      <c r="G1263" s="1"/>
      <c r="H1263" s="1"/>
      <c r="I1263" s="1"/>
      <c r="J1263" s="1"/>
      <c r="K1263" s="1"/>
      <c r="L1263" s="1"/>
      <c r="M1263" s="1"/>
      <c r="N1263" s="1"/>
      <c r="O1263" s="1"/>
      <c r="P1263" s="1"/>
      <c r="Q1263" s="1"/>
      <c r="R1263" s="1"/>
      <c r="S1263" s="1"/>
    </row>
    <row r="1264" spans="1:19" ht="33.75" customHeight="1">
      <c r="A1264" s="1" t="s">
        <v>3592</v>
      </c>
      <c r="B1264" s="1" t="s">
        <v>3255</v>
      </c>
      <c r="C1264" s="1">
        <v>19</v>
      </c>
      <c r="D1264" s="4">
        <v>39884.699305555558</v>
      </c>
      <c r="E1264" s="1" t="s">
        <v>14</v>
      </c>
      <c r="F1264" s="1"/>
      <c r="G1264" s="1"/>
      <c r="H1264" s="1"/>
      <c r="I1264" s="1"/>
      <c r="J1264" s="1"/>
      <c r="K1264" s="1"/>
      <c r="L1264" s="1"/>
      <c r="M1264" s="1"/>
      <c r="N1264" s="1"/>
      <c r="O1264" s="1"/>
      <c r="P1264" s="1"/>
      <c r="Q1264" s="1"/>
      <c r="R1264" s="1"/>
      <c r="S1264" s="1"/>
    </row>
    <row r="1265" spans="1:19" ht="33.75" customHeight="1">
      <c r="A1265" s="1" t="s">
        <v>3595</v>
      </c>
      <c r="B1265" s="1" t="s">
        <v>3156</v>
      </c>
      <c r="C1265" s="1">
        <v>18</v>
      </c>
      <c r="D1265" s="4">
        <v>39884.70208333333</v>
      </c>
      <c r="E1265" s="1" t="s">
        <v>320</v>
      </c>
      <c r="F1265" s="1"/>
      <c r="G1265" s="1"/>
      <c r="H1265" s="1"/>
      <c r="I1265" s="1"/>
      <c r="J1265" s="1"/>
      <c r="K1265" s="1"/>
      <c r="L1265" s="1"/>
      <c r="M1265" s="1"/>
      <c r="N1265" s="1"/>
      <c r="O1265" s="1"/>
      <c r="P1265" s="1"/>
      <c r="Q1265" s="1"/>
      <c r="R1265" s="1"/>
      <c r="S1265" s="1"/>
    </row>
    <row r="1266" spans="1:19" ht="33.75" customHeight="1">
      <c r="A1266" s="1" t="s">
        <v>3597</v>
      </c>
      <c r="B1266" s="1" t="s">
        <v>3255</v>
      </c>
      <c r="C1266" s="1">
        <v>19</v>
      </c>
      <c r="D1266" s="4">
        <v>39884.71597222222</v>
      </c>
      <c r="E1266" s="1" t="s">
        <v>320</v>
      </c>
      <c r="F1266" s="1"/>
      <c r="G1266" s="1"/>
      <c r="H1266" s="1"/>
      <c r="I1266" s="1"/>
      <c r="J1266" s="1"/>
      <c r="K1266" s="1"/>
      <c r="L1266" s="1"/>
      <c r="M1266" s="1"/>
      <c r="N1266" s="1"/>
      <c r="O1266" s="1"/>
      <c r="P1266" s="1"/>
      <c r="Q1266" s="1"/>
      <c r="R1266" s="1"/>
      <c r="S1266" s="1"/>
    </row>
    <row r="1267" spans="1:19" ht="33.75" customHeight="1">
      <c r="A1267" s="1" t="s">
        <v>3600</v>
      </c>
      <c r="B1267" s="1" t="s">
        <v>3255</v>
      </c>
      <c r="C1267" s="1">
        <v>19</v>
      </c>
      <c r="D1267" s="4">
        <v>39884.738194444442</v>
      </c>
      <c r="E1267" s="1" t="s">
        <v>3321</v>
      </c>
      <c r="F1267" s="1"/>
      <c r="G1267" s="1"/>
      <c r="H1267" s="1"/>
      <c r="I1267" s="1"/>
      <c r="J1267" s="1"/>
      <c r="K1267" s="1"/>
      <c r="L1267" s="1"/>
      <c r="M1267" s="1"/>
      <c r="N1267" s="1"/>
      <c r="O1267" s="1"/>
      <c r="P1267" s="1"/>
      <c r="Q1267" s="1"/>
      <c r="R1267" s="1"/>
      <c r="S1267" s="1"/>
    </row>
    <row r="1268" spans="1:19" ht="33.75" customHeight="1">
      <c r="A1268" s="1" t="s">
        <v>3603</v>
      </c>
      <c r="B1268" s="1" t="s">
        <v>3255</v>
      </c>
      <c r="C1268" s="1">
        <v>19</v>
      </c>
      <c r="D1268" s="4">
        <v>39884.747916666667</v>
      </c>
      <c r="E1268" s="1" t="s">
        <v>14</v>
      </c>
      <c r="F1268" s="1"/>
      <c r="G1268" s="1"/>
      <c r="H1268" s="1"/>
      <c r="I1268" s="1"/>
      <c r="J1268" s="1"/>
      <c r="K1268" s="1"/>
      <c r="L1268" s="1"/>
      <c r="M1268" s="1"/>
      <c r="N1268" s="1"/>
      <c r="O1268" s="1"/>
      <c r="P1268" s="1"/>
      <c r="Q1268" s="1"/>
      <c r="R1268" s="1"/>
      <c r="S1268" s="1"/>
    </row>
    <row r="1269" spans="1:19" ht="33.75" customHeight="1">
      <c r="A1269" s="1" t="s">
        <v>3606</v>
      </c>
      <c r="B1269" s="1" t="s">
        <v>3255</v>
      </c>
      <c r="C1269" s="1">
        <v>19</v>
      </c>
      <c r="D1269" s="4">
        <v>39884.753472222219</v>
      </c>
      <c r="E1269" s="1" t="s">
        <v>84</v>
      </c>
      <c r="F1269" s="1"/>
      <c r="G1269" s="1"/>
      <c r="H1269" s="1"/>
      <c r="I1269" s="1"/>
      <c r="J1269" s="1"/>
      <c r="K1269" s="1"/>
      <c r="L1269" s="1"/>
      <c r="M1269" s="1"/>
      <c r="N1269" s="1"/>
      <c r="O1269" s="1"/>
      <c r="P1269" s="1"/>
      <c r="Q1269" s="1"/>
      <c r="R1269" s="1"/>
      <c r="S1269" s="1"/>
    </row>
    <row r="1270" spans="1:19" ht="33.75" customHeight="1">
      <c r="A1270" s="1" t="s">
        <v>3609</v>
      </c>
      <c r="B1270" s="1" t="s">
        <v>3255</v>
      </c>
      <c r="C1270" s="1">
        <v>19</v>
      </c>
      <c r="D1270" s="4">
        <v>39884.756249999999</v>
      </c>
      <c r="E1270" s="1" t="s">
        <v>3610</v>
      </c>
      <c r="F1270" s="1"/>
      <c r="G1270" s="1"/>
      <c r="H1270" s="1"/>
      <c r="I1270" s="1"/>
      <c r="J1270" s="1"/>
      <c r="K1270" s="1"/>
      <c r="L1270" s="1"/>
      <c r="M1270" s="1"/>
      <c r="N1270" s="1"/>
      <c r="O1270" s="1"/>
      <c r="P1270" s="1"/>
      <c r="Q1270" s="1"/>
      <c r="R1270" s="1"/>
      <c r="S1270" s="1"/>
    </row>
    <row r="1271" spans="1:19" ht="33.75" customHeight="1">
      <c r="A1271" s="1" t="s">
        <v>3613</v>
      </c>
      <c r="B1271" s="1" t="s">
        <v>2870</v>
      </c>
      <c r="C1271" s="1">
        <v>17</v>
      </c>
      <c r="D1271" s="4">
        <v>39884.770138888889</v>
      </c>
      <c r="E1271" s="1" t="s">
        <v>84</v>
      </c>
      <c r="F1271" s="1"/>
      <c r="G1271" s="1"/>
      <c r="H1271" s="1"/>
      <c r="I1271" s="1"/>
      <c r="J1271" s="1"/>
      <c r="K1271" s="1"/>
      <c r="L1271" s="1"/>
      <c r="M1271" s="1"/>
      <c r="N1271" s="1"/>
      <c r="O1271" s="1"/>
      <c r="P1271" s="1"/>
      <c r="Q1271" s="1"/>
      <c r="R1271" s="1"/>
      <c r="S1271" s="1"/>
    </row>
    <row r="1272" spans="1:19" ht="33.75" customHeight="1">
      <c r="A1272" s="1" t="s">
        <v>3616</v>
      </c>
      <c r="B1272" s="1" t="s">
        <v>3255</v>
      </c>
      <c r="C1272" s="1">
        <v>19</v>
      </c>
      <c r="D1272" s="4">
        <v>39884.851388888892</v>
      </c>
      <c r="E1272" s="1" t="s">
        <v>14</v>
      </c>
      <c r="F1272" s="1"/>
      <c r="G1272" s="1"/>
      <c r="H1272" s="1"/>
      <c r="I1272" s="1"/>
      <c r="J1272" s="1"/>
      <c r="K1272" s="1"/>
      <c r="L1272" s="1"/>
      <c r="M1272" s="1"/>
      <c r="N1272" s="1"/>
      <c r="O1272" s="1"/>
      <c r="P1272" s="1"/>
      <c r="Q1272" s="1"/>
      <c r="R1272" s="1"/>
      <c r="S1272" s="1"/>
    </row>
    <row r="1273" spans="1:19" ht="33.75" customHeight="1">
      <c r="A1273" s="1" t="s">
        <v>3619</v>
      </c>
      <c r="B1273" s="1" t="s">
        <v>3255</v>
      </c>
      <c r="C1273" s="1">
        <v>19</v>
      </c>
      <c r="D1273" s="4">
        <v>39884.852083333331</v>
      </c>
      <c r="E1273" s="1" t="s">
        <v>3297</v>
      </c>
      <c r="F1273" s="1"/>
      <c r="G1273" s="1"/>
      <c r="H1273" s="1"/>
      <c r="I1273" s="1"/>
      <c r="J1273" s="1"/>
      <c r="K1273" s="1"/>
      <c r="L1273" s="1"/>
      <c r="M1273" s="1"/>
      <c r="N1273" s="1"/>
      <c r="O1273" s="1"/>
      <c r="P1273" s="1"/>
      <c r="Q1273" s="1"/>
      <c r="R1273" s="1"/>
      <c r="S1273" s="1"/>
    </row>
    <row r="1274" spans="1:19" ht="33.75" customHeight="1">
      <c r="A1274" s="1" t="s">
        <v>3622</v>
      </c>
      <c r="B1274" s="1" t="s">
        <v>3255</v>
      </c>
      <c r="C1274" s="1">
        <v>19</v>
      </c>
      <c r="D1274" s="4">
        <v>39884.882638888892</v>
      </c>
      <c r="E1274" s="1" t="s">
        <v>584</v>
      </c>
      <c r="F1274" s="1"/>
      <c r="G1274" s="1"/>
      <c r="H1274" s="1"/>
      <c r="I1274" s="1"/>
      <c r="J1274" s="1"/>
      <c r="K1274" s="1"/>
      <c r="L1274" s="1"/>
      <c r="M1274" s="1"/>
      <c r="N1274" s="1"/>
      <c r="O1274" s="1"/>
      <c r="P1274" s="1"/>
      <c r="Q1274" s="1"/>
      <c r="R1274" s="1"/>
      <c r="S1274" s="1"/>
    </row>
    <row r="1275" spans="1:19" ht="33.75" customHeight="1">
      <c r="A1275" s="1" t="s">
        <v>3625</v>
      </c>
      <c r="B1275" s="1" t="s">
        <v>3255</v>
      </c>
      <c r="C1275" s="1">
        <v>19</v>
      </c>
      <c r="D1275" s="4">
        <v>39884.882638888892</v>
      </c>
      <c r="E1275" s="1" t="s">
        <v>772</v>
      </c>
      <c r="F1275" s="1"/>
      <c r="G1275" s="1"/>
      <c r="H1275" s="1"/>
      <c r="I1275" s="1"/>
      <c r="J1275" s="1"/>
      <c r="K1275" s="1"/>
      <c r="L1275" s="1"/>
      <c r="M1275" s="1"/>
      <c r="N1275" s="1"/>
      <c r="O1275" s="1"/>
      <c r="P1275" s="1"/>
      <c r="Q1275" s="1"/>
      <c r="R1275" s="1"/>
      <c r="S1275" s="1"/>
    </row>
    <row r="1276" spans="1:19" ht="33.75" customHeight="1">
      <c r="A1276" s="1" t="s">
        <v>3627</v>
      </c>
      <c r="B1276" s="1" t="s">
        <v>2870</v>
      </c>
      <c r="C1276" s="1">
        <v>17</v>
      </c>
      <c r="D1276" s="4">
        <v>39884.890972222223</v>
      </c>
      <c r="E1276" s="1" t="s">
        <v>54</v>
      </c>
      <c r="F1276" s="1"/>
      <c r="G1276" s="1"/>
      <c r="H1276" s="1"/>
      <c r="I1276" s="1"/>
      <c r="J1276" s="1"/>
      <c r="K1276" s="1"/>
      <c r="L1276" s="1"/>
      <c r="M1276" s="1"/>
      <c r="N1276" s="1"/>
      <c r="O1276" s="1"/>
      <c r="P1276" s="1"/>
      <c r="Q1276" s="1"/>
      <c r="R1276" s="1"/>
      <c r="S1276" s="1"/>
    </row>
    <row r="1277" spans="1:19" ht="33.75" customHeight="1">
      <c r="A1277" s="1" t="s">
        <v>3632</v>
      </c>
      <c r="B1277" s="1" t="s">
        <v>3255</v>
      </c>
      <c r="C1277" s="1">
        <v>19</v>
      </c>
      <c r="D1277" s="4">
        <v>39884.919444444444</v>
      </c>
      <c r="E1277" s="1" t="s">
        <v>435</v>
      </c>
      <c r="F1277" s="1"/>
      <c r="G1277" s="1"/>
      <c r="H1277" s="1"/>
      <c r="I1277" s="1"/>
      <c r="J1277" s="1"/>
      <c r="K1277" s="1"/>
      <c r="L1277" s="1"/>
      <c r="M1277" s="1"/>
      <c r="N1277" s="1"/>
      <c r="O1277" s="1"/>
      <c r="P1277" s="1"/>
      <c r="Q1277" s="1"/>
      <c r="R1277" s="1"/>
      <c r="S1277" s="1"/>
    </row>
    <row r="1278" spans="1:19" ht="33.75" customHeight="1">
      <c r="A1278" s="1" t="s">
        <v>3635</v>
      </c>
      <c r="B1278" s="1" t="s">
        <v>3255</v>
      </c>
      <c r="C1278" s="1">
        <v>19</v>
      </c>
      <c r="D1278" s="4">
        <v>39884.931250000001</v>
      </c>
      <c r="E1278" s="1" t="s">
        <v>435</v>
      </c>
      <c r="F1278" s="1"/>
      <c r="G1278" s="1"/>
      <c r="H1278" s="1"/>
      <c r="I1278" s="1"/>
      <c r="J1278" s="1"/>
      <c r="K1278" s="1"/>
      <c r="L1278" s="1"/>
      <c r="M1278" s="1"/>
      <c r="N1278" s="1"/>
      <c r="O1278" s="1"/>
      <c r="P1278" s="1"/>
      <c r="Q1278" s="1"/>
      <c r="R1278" s="1"/>
      <c r="S1278" s="1"/>
    </row>
    <row r="1279" spans="1:19" ht="33.75" customHeight="1">
      <c r="A1279" s="1" t="s">
        <v>3638</v>
      </c>
      <c r="B1279" s="1" t="s">
        <v>3156</v>
      </c>
      <c r="C1279" s="1">
        <v>18</v>
      </c>
      <c r="D1279" s="4">
        <v>39884.956944444442</v>
      </c>
      <c r="E1279" s="1" t="s">
        <v>14</v>
      </c>
      <c r="F1279" s="1"/>
      <c r="G1279" s="1"/>
      <c r="H1279" s="1"/>
      <c r="I1279" s="1"/>
      <c r="J1279" s="1"/>
      <c r="K1279" s="1"/>
      <c r="L1279" s="1"/>
      <c r="M1279" s="1"/>
      <c r="N1279" s="1"/>
      <c r="O1279" s="1"/>
      <c r="P1279" s="1"/>
      <c r="Q1279" s="1"/>
      <c r="R1279" s="1"/>
      <c r="S1279" s="1"/>
    </row>
    <row r="1280" spans="1:19" ht="33.75" customHeight="1">
      <c r="A1280" s="1" t="s">
        <v>3641</v>
      </c>
      <c r="B1280" s="1" t="s">
        <v>3255</v>
      </c>
      <c r="C1280" s="1">
        <v>19</v>
      </c>
      <c r="D1280" s="4">
        <v>39884.964583333334</v>
      </c>
      <c r="E1280" s="1" t="s">
        <v>54</v>
      </c>
      <c r="F1280" s="1"/>
      <c r="G1280" s="1"/>
      <c r="H1280" s="1"/>
      <c r="I1280" s="1"/>
      <c r="J1280" s="1"/>
      <c r="K1280" s="1"/>
      <c r="L1280" s="1"/>
      <c r="M1280" s="1"/>
      <c r="N1280" s="1"/>
      <c r="O1280" s="1"/>
      <c r="P1280" s="1"/>
      <c r="Q1280" s="1"/>
      <c r="R1280" s="1"/>
      <c r="S1280" s="1"/>
    </row>
    <row r="1281" spans="1:19" ht="33.75" customHeight="1">
      <c r="A1281" s="1" t="s">
        <v>3643</v>
      </c>
      <c r="B1281" s="1" t="s">
        <v>3255</v>
      </c>
      <c r="C1281" s="1">
        <v>19</v>
      </c>
      <c r="D1281" s="4">
        <v>39884.976388888892</v>
      </c>
      <c r="E1281" s="1" t="s">
        <v>14</v>
      </c>
      <c r="F1281" s="1"/>
      <c r="G1281" s="1"/>
      <c r="H1281" s="1"/>
      <c r="I1281" s="1"/>
      <c r="J1281" s="1"/>
      <c r="K1281" s="1"/>
      <c r="L1281" s="1"/>
      <c r="M1281" s="1"/>
      <c r="N1281" s="1"/>
      <c r="O1281" s="1"/>
      <c r="P1281" s="1"/>
      <c r="Q1281" s="1"/>
      <c r="R1281" s="1"/>
      <c r="S1281" s="1"/>
    </row>
    <row r="1282" spans="1:19" ht="33.75" customHeight="1">
      <c r="A1282" s="1" t="s">
        <v>3646</v>
      </c>
      <c r="B1282" s="1" t="s">
        <v>3156</v>
      </c>
      <c r="C1282" s="1">
        <v>18</v>
      </c>
      <c r="D1282" s="4">
        <v>39884.986111111109</v>
      </c>
      <c r="E1282" s="1" t="s">
        <v>14</v>
      </c>
      <c r="F1282" s="1"/>
      <c r="G1282" s="1"/>
      <c r="H1282" s="1"/>
      <c r="I1282" s="1"/>
      <c r="J1282" s="1"/>
      <c r="K1282" s="1"/>
      <c r="L1282" s="1"/>
      <c r="M1282" s="1"/>
      <c r="N1282" s="1"/>
      <c r="O1282" s="1"/>
      <c r="P1282" s="1"/>
      <c r="Q1282" s="1"/>
      <c r="R1282" s="1"/>
      <c r="S1282" s="1"/>
    </row>
    <row r="1283" spans="1:19" ht="33.75" customHeight="1">
      <c r="A1283" s="1" t="s">
        <v>3648</v>
      </c>
      <c r="B1283" s="1" t="s">
        <v>3156</v>
      </c>
      <c r="C1283" s="1">
        <v>18</v>
      </c>
      <c r="D1283" s="4">
        <v>39884.986805555556</v>
      </c>
      <c r="E1283" s="1" t="s">
        <v>14</v>
      </c>
      <c r="F1283" s="1"/>
      <c r="G1283" s="1"/>
      <c r="H1283" s="1"/>
      <c r="I1283" s="1"/>
      <c r="J1283" s="1"/>
      <c r="K1283" s="1"/>
      <c r="L1283" s="1"/>
      <c r="M1283" s="1"/>
      <c r="N1283" s="1"/>
      <c r="O1283" s="1"/>
      <c r="P1283" s="1"/>
      <c r="Q1283" s="1"/>
      <c r="R1283" s="1"/>
      <c r="S1283" s="1"/>
    </row>
    <row r="1284" spans="1:19" ht="33.75" customHeight="1">
      <c r="A1284" s="1" t="s">
        <v>3650</v>
      </c>
      <c r="B1284" s="1" t="s">
        <v>3156</v>
      </c>
      <c r="C1284" s="1">
        <v>18</v>
      </c>
      <c r="D1284" s="4">
        <v>39884.989583333336</v>
      </c>
      <c r="E1284" s="1" t="s">
        <v>54</v>
      </c>
      <c r="F1284" s="1"/>
      <c r="G1284" s="1"/>
      <c r="H1284" s="1"/>
      <c r="I1284" s="1"/>
      <c r="J1284" s="1"/>
      <c r="K1284" s="1"/>
      <c r="L1284" s="1"/>
      <c r="M1284" s="1"/>
      <c r="N1284" s="1"/>
      <c r="O1284" s="1"/>
      <c r="P1284" s="1"/>
      <c r="Q1284" s="1"/>
      <c r="R1284" s="1"/>
      <c r="S1284" s="1"/>
    </row>
    <row r="1285" spans="1:19" ht="33.75" customHeight="1">
      <c r="A1285" s="1" t="s">
        <v>3654</v>
      </c>
      <c r="B1285" s="1" t="s">
        <v>3156</v>
      </c>
      <c r="C1285" s="1">
        <v>18</v>
      </c>
      <c r="D1285" s="4">
        <v>39884.990972222222</v>
      </c>
      <c r="E1285" s="1" t="s">
        <v>320</v>
      </c>
      <c r="F1285" s="1"/>
      <c r="G1285" s="1"/>
      <c r="H1285" s="1"/>
      <c r="I1285" s="1"/>
      <c r="J1285" s="1"/>
      <c r="K1285" s="1"/>
      <c r="L1285" s="1"/>
      <c r="M1285" s="1"/>
      <c r="N1285" s="1"/>
      <c r="O1285" s="1"/>
      <c r="P1285" s="1"/>
      <c r="Q1285" s="1"/>
      <c r="R1285" s="1"/>
      <c r="S1285" s="1"/>
    </row>
    <row r="1286" spans="1:19" ht="33.75" customHeight="1">
      <c r="A1286" s="1" t="s">
        <v>3657</v>
      </c>
      <c r="B1286" s="1" t="s">
        <v>3156</v>
      </c>
      <c r="C1286" s="1">
        <v>18</v>
      </c>
      <c r="D1286" s="4">
        <v>39884.995833333334</v>
      </c>
      <c r="E1286" s="1" t="s">
        <v>14</v>
      </c>
      <c r="F1286" s="1"/>
      <c r="G1286" s="1"/>
      <c r="H1286" s="1"/>
      <c r="I1286" s="1"/>
      <c r="J1286" s="1"/>
      <c r="K1286" s="1"/>
      <c r="L1286" s="1"/>
      <c r="M1286" s="1"/>
      <c r="N1286" s="1"/>
      <c r="O1286" s="1"/>
      <c r="P1286" s="1"/>
      <c r="Q1286" s="1"/>
      <c r="R1286" s="1"/>
      <c r="S1286" s="1"/>
    </row>
    <row r="1287" spans="1:19" ht="33.75" customHeight="1">
      <c r="A1287" s="1" t="s">
        <v>3660</v>
      </c>
      <c r="B1287" s="1" t="s">
        <v>3156</v>
      </c>
      <c r="C1287" s="1">
        <v>18</v>
      </c>
      <c r="D1287" s="4">
        <v>39884.996527777781</v>
      </c>
      <c r="E1287" s="1" t="s">
        <v>54</v>
      </c>
      <c r="F1287" s="1"/>
      <c r="G1287" s="1"/>
      <c r="H1287" s="1"/>
      <c r="I1287" s="1"/>
      <c r="J1287" s="1"/>
      <c r="K1287" s="1"/>
      <c r="L1287" s="1"/>
      <c r="M1287" s="1"/>
      <c r="N1287" s="1"/>
      <c r="O1287" s="1"/>
      <c r="P1287" s="1"/>
      <c r="Q1287" s="1"/>
      <c r="R1287" s="1"/>
      <c r="S1287" s="1"/>
    </row>
    <row r="1288" spans="1:19" ht="33.75" customHeight="1">
      <c r="A1288" s="1" t="s">
        <v>3662</v>
      </c>
      <c r="B1288" s="1" t="s">
        <v>3255</v>
      </c>
      <c r="C1288" s="1">
        <v>19</v>
      </c>
      <c r="D1288" s="4">
        <v>39885</v>
      </c>
      <c r="E1288" s="1" t="s">
        <v>320</v>
      </c>
      <c r="F1288" s="1"/>
      <c r="G1288" s="1"/>
      <c r="H1288" s="1"/>
      <c r="I1288" s="1"/>
      <c r="J1288" s="1"/>
      <c r="K1288" s="1"/>
      <c r="L1288" s="1"/>
      <c r="M1288" s="1"/>
      <c r="N1288" s="1"/>
      <c r="O1288" s="1"/>
      <c r="P1288" s="1"/>
      <c r="Q1288" s="1"/>
      <c r="R1288" s="1"/>
      <c r="S1288" s="1"/>
    </row>
    <row r="1289" spans="1:19" ht="33.75" customHeight="1">
      <c r="A1289" s="1" t="s">
        <v>3667</v>
      </c>
      <c r="B1289" s="1" t="s">
        <v>3255</v>
      </c>
      <c r="C1289" s="1">
        <v>19</v>
      </c>
      <c r="D1289" s="4">
        <v>39885.002083333333</v>
      </c>
      <c r="E1289" s="1" t="s">
        <v>14</v>
      </c>
      <c r="F1289" s="1"/>
      <c r="G1289" s="1"/>
      <c r="H1289" s="1"/>
      <c r="I1289" s="1"/>
      <c r="J1289" s="1"/>
      <c r="K1289" s="1"/>
      <c r="L1289" s="1"/>
      <c r="M1289" s="1"/>
      <c r="N1289" s="1"/>
      <c r="O1289" s="1"/>
      <c r="P1289" s="1"/>
      <c r="Q1289" s="1"/>
      <c r="R1289" s="1"/>
      <c r="S1289" s="1"/>
    </row>
    <row r="1290" spans="1:19" ht="33.75" customHeight="1">
      <c r="A1290" s="1" t="s">
        <v>3670</v>
      </c>
      <c r="B1290" s="1" t="s">
        <v>3255</v>
      </c>
      <c r="C1290" s="1">
        <v>19</v>
      </c>
      <c r="D1290" s="4">
        <v>39885.008333333331</v>
      </c>
      <c r="E1290" s="1" t="s">
        <v>3461</v>
      </c>
      <c r="F1290" s="1"/>
      <c r="G1290" s="1"/>
      <c r="H1290" s="1"/>
      <c r="I1290" s="1"/>
      <c r="J1290" s="1"/>
      <c r="K1290" s="1"/>
      <c r="L1290" s="1"/>
      <c r="M1290" s="1"/>
      <c r="N1290" s="1"/>
      <c r="O1290" s="1"/>
      <c r="P1290" s="1"/>
      <c r="Q1290" s="1"/>
      <c r="R1290" s="1"/>
      <c r="S1290" s="1"/>
    </row>
    <row r="1291" spans="1:19" ht="33.75" customHeight="1">
      <c r="A1291" s="1" t="s">
        <v>3673</v>
      </c>
      <c r="B1291" s="1" t="s">
        <v>3255</v>
      </c>
      <c r="C1291" s="1">
        <v>19</v>
      </c>
      <c r="D1291" s="4">
        <v>39885.008333333331</v>
      </c>
      <c r="E1291" s="1" t="s">
        <v>320</v>
      </c>
      <c r="F1291" s="1"/>
      <c r="G1291" s="1"/>
      <c r="H1291" s="1"/>
      <c r="I1291" s="1"/>
      <c r="J1291" s="1"/>
      <c r="K1291" s="1"/>
      <c r="L1291" s="1"/>
      <c r="M1291" s="1"/>
      <c r="N1291" s="1"/>
      <c r="O1291" s="1"/>
      <c r="P1291" s="1"/>
      <c r="Q1291" s="1"/>
      <c r="R1291" s="1"/>
      <c r="S1291" s="1"/>
    </row>
    <row r="1292" spans="1:19" ht="33.75" customHeight="1">
      <c r="A1292" s="1" t="s">
        <v>3675</v>
      </c>
      <c r="B1292" s="1" t="s">
        <v>3255</v>
      </c>
      <c r="C1292" s="1">
        <v>19</v>
      </c>
      <c r="D1292" s="4">
        <v>39885.010416666664</v>
      </c>
      <c r="E1292" s="1" t="s">
        <v>320</v>
      </c>
      <c r="F1292" s="1"/>
      <c r="G1292" s="1"/>
      <c r="H1292" s="1"/>
      <c r="I1292" s="1"/>
      <c r="J1292" s="1"/>
      <c r="K1292" s="1"/>
      <c r="L1292" s="1"/>
      <c r="M1292" s="1"/>
      <c r="N1292" s="1"/>
      <c r="O1292" s="1"/>
      <c r="P1292" s="1"/>
      <c r="Q1292" s="1"/>
      <c r="R1292" s="1"/>
      <c r="S1292" s="1"/>
    </row>
    <row r="1293" spans="1:19" ht="33.75" customHeight="1">
      <c r="A1293" s="1" t="s">
        <v>3677</v>
      </c>
      <c r="B1293" s="1" t="s">
        <v>3156</v>
      </c>
      <c r="C1293" s="1">
        <v>18</v>
      </c>
      <c r="D1293" s="4">
        <v>39885.018055555556</v>
      </c>
      <c r="E1293" s="1" t="s">
        <v>14</v>
      </c>
      <c r="F1293" s="1"/>
      <c r="G1293" s="1"/>
      <c r="H1293" s="1"/>
      <c r="I1293" s="1"/>
      <c r="J1293" s="1"/>
      <c r="K1293" s="1"/>
      <c r="L1293" s="1"/>
      <c r="M1293" s="1"/>
      <c r="N1293" s="1"/>
      <c r="O1293" s="1"/>
      <c r="P1293" s="1"/>
      <c r="Q1293" s="1"/>
      <c r="R1293" s="1"/>
      <c r="S1293" s="1"/>
    </row>
    <row r="1294" spans="1:19" ht="33.75" customHeight="1">
      <c r="A1294" s="1" t="s">
        <v>3680</v>
      </c>
      <c r="B1294" s="1" t="s">
        <v>3255</v>
      </c>
      <c r="C1294" s="1">
        <v>19</v>
      </c>
      <c r="D1294" s="4">
        <v>39885.038194444445</v>
      </c>
      <c r="E1294" s="1" t="s">
        <v>3681</v>
      </c>
      <c r="F1294" s="1"/>
      <c r="G1294" s="1"/>
      <c r="H1294" s="1"/>
      <c r="I1294" s="1"/>
      <c r="J1294" s="1"/>
      <c r="K1294" s="1"/>
      <c r="L1294" s="1"/>
      <c r="M1294" s="1"/>
      <c r="N1294" s="1"/>
      <c r="O1294" s="1"/>
      <c r="P1294" s="1"/>
      <c r="Q1294" s="1"/>
      <c r="R1294" s="1"/>
      <c r="S1294" s="1"/>
    </row>
    <row r="1295" spans="1:19" ht="33.75" customHeight="1">
      <c r="A1295" s="1" t="s">
        <v>3684</v>
      </c>
      <c r="B1295" s="1" t="s">
        <v>3156</v>
      </c>
      <c r="C1295" s="1">
        <v>18</v>
      </c>
      <c r="D1295" s="4">
        <v>39885.046527777777</v>
      </c>
      <c r="E1295" s="1" t="s">
        <v>196</v>
      </c>
      <c r="F1295" s="1"/>
      <c r="G1295" s="1"/>
      <c r="H1295" s="1"/>
      <c r="I1295" s="1"/>
      <c r="J1295" s="1"/>
      <c r="K1295" s="1"/>
      <c r="L1295" s="1"/>
      <c r="M1295" s="1"/>
      <c r="N1295" s="1"/>
      <c r="O1295" s="1"/>
      <c r="P1295" s="1"/>
      <c r="Q1295" s="1"/>
      <c r="R1295" s="1"/>
      <c r="S1295" s="1"/>
    </row>
    <row r="1296" spans="1:19" ht="33.75" customHeight="1">
      <c r="A1296" s="1" t="s">
        <v>3687</v>
      </c>
      <c r="B1296" s="1" t="s">
        <v>3156</v>
      </c>
      <c r="C1296" s="1">
        <v>18</v>
      </c>
      <c r="D1296" s="4">
        <v>39885.053472222222</v>
      </c>
      <c r="E1296" s="1" t="s">
        <v>14</v>
      </c>
      <c r="F1296" s="1"/>
      <c r="G1296" s="1"/>
      <c r="H1296" s="1"/>
      <c r="I1296" s="1"/>
      <c r="J1296" s="1"/>
      <c r="K1296" s="1"/>
      <c r="L1296" s="1"/>
      <c r="M1296" s="1"/>
      <c r="N1296" s="1"/>
      <c r="O1296" s="1"/>
      <c r="P1296" s="1"/>
      <c r="Q1296" s="1"/>
      <c r="R1296" s="1"/>
      <c r="S1296" s="1"/>
    </row>
    <row r="1297" spans="1:19" ht="33.75" customHeight="1">
      <c r="A1297" s="1" t="s">
        <v>3690</v>
      </c>
      <c r="B1297" s="1" t="s">
        <v>3156</v>
      </c>
      <c r="C1297" s="1">
        <v>18</v>
      </c>
      <c r="D1297" s="4">
        <v>39885.090277777781</v>
      </c>
      <c r="E1297" s="1" t="s">
        <v>196</v>
      </c>
      <c r="F1297" s="1"/>
      <c r="G1297" s="1"/>
      <c r="H1297" s="1"/>
      <c r="I1297" s="1"/>
      <c r="J1297" s="1"/>
      <c r="K1297" s="1"/>
      <c r="L1297" s="1"/>
      <c r="M1297" s="1"/>
      <c r="N1297" s="1"/>
      <c r="O1297" s="1"/>
      <c r="P1297" s="1"/>
      <c r="Q1297" s="1"/>
      <c r="R1297" s="1"/>
      <c r="S1297" s="1"/>
    </row>
    <row r="1298" spans="1:19" ht="33.75" customHeight="1">
      <c r="A1298" s="1" t="s">
        <v>3692</v>
      </c>
      <c r="B1298" s="1" t="s">
        <v>3156</v>
      </c>
      <c r="C1298" s="1">
        <v>18</v>
      </c>
      <c r="D1298" s="4">
        <v>39885.1</v>
      </c>
      <c r="E1298" s="1" t="s">
        <v>320</v>
      </c>
      <c r="F1298" s="1"/>
      <c r="G1298" s="1"/>
      <c r="H1298" s="1"/>
      <c r="I1298" s="1"/>
      <c r="J1298" s="1"/>
      <c r="K1298" s="1"/>
      <c r="L1298" s="1"/>
      <c r="M1298" s="1"/>
      <c r="N1298" s="1"/>
      <c r="O1298" s="1"/>
      <c r="P1298" s="1"/>
      <c r="Q1298" s="1"/>
      <c r="R1298" s="1"/>
      <c r="S1298" s="1"/>
    </row>
    <row r="1299" spans="1:19" ht="33.75" customHeight="1">
      <c r="A1299" s="1" t="s">
        <v>3695</v>
      </c>
      <c r="B1299" s="1" t="s">
        <v>3255</v>
      </c>
      <c r="C1299" s="1">
        <v>19</v>
      </c>
      <c r="D1299" s="4">
        <v>39885.113888888889</v>
      </c>
      <c r="E1299" s="1" t="s">
        <v>3696</v>
      </c>
      <c r="F1299" s="1"/>
      <c r="G1299" s="1"/>
      <c r="H1299" s="1"/>
      <c r="I1299" s="1"/>
      <c r="J1299" s="1"/>
      <c r="K1299" s="1"/>
      <c r="L1299" s="1"/>
      <c r="M1299" s="1"/>
      <c r="N1299" s="1"/>
      <c r="O1299" s="1"/>
      <c r="P1299" s="1"/>
      <c r="Q1299" s="1"/>
      <c r="R1299" s="1"/>
      <c r="S1299" s="1"/>
    </row>
    <row r="1300" spans="1:19" ht="33.75" customHeight="1">
      <c r="A1300" s="1" t="s">
        <v>3699</v>
      </c>
      <c r="B1300" s="1" t="s">
        <v>3156</v>
      </c>
      <c r="C1300" s="1">
        <v>18</v>
      </c>
      <c r="D1300" s="4">
        <v>39885.145138888889</v>
      </c>
      <c r="E1300" s="1" t="s">
        <v>196</v>
      </c>
      <c r="F1300" s="1"/>
      <c r="G1300" s="1"/>
      <c r="H1300" s="1"/>
      <c r="I1300" s="1"/>
      <c r="J1300" s="1"/>
      <c r="K1300" s="1"/>
      <c r="L1300" s="1"/>
      <c r="M1300" s="1"/>
      <c r="N1300" s="1"/>
      <c r="O1300" s="1"/>
      <c r="P1300" s="1"/>
      <c r="Q1300" s="1"/>
      <c r="R1300" s="1"/>
      <c r="S1300" s="1"/>
    </row>
    <row r="1301" spans="1:19" ht="33.75" customHeight="1">
      <c r="A1301" s="1" t="s">
        <v>3701</v>
      </c>
      <c r="B1301" s="1" t="s">
        <v>2870</v>
      </c>
      <c r="C1301" s="1">
        <v>17</v>
      </c>
      <c r="D1301" s="4">
        <v>39885.299305555556</v>
      </c>
      <c r="E1301" s="1" t="s">
        <v>381</v>
      </c>
      <c r="F1301" s="1"/>
      <c r="G1301" s="1"/>
      <c r="H1301" s="1"/>
      <c r="I1301" s="1"/>
      <c r="J1301" s="1"/>
      <c r="K1301" s="1"/>
      <c r="L1301" s="1"/>
      <c r="M1301" s="1"/>
      <c r="N1301" s="1"/>
      <c r="O1301" s="1"/>
      <c r="P1301" s="1"/>
      <c r="Q1301" s="1"/>
      <c r="R1301" s="1"/>
      <c r="S1301" s="1"/>
    </row>
    <row r="1302" spans="1:19" ht="33.75" customHeight="1">
      <c r="A1302" s="1" t="s">
        <v>3704</v>
      </c>
      <c r="B1302" s="1" t="s">
        <v>3156</v>
      </c>
      <c r="C1302" s="1">
        <v>18</v>
      </c>
      <c r="D1302" s="4">
        <v>39885.306944444441</v>
      </c>
      <c r="E1302" s="1" t="s">
        <v>320</v>
      </c>
      <c r="F1302" s="1"/>
      <c r="G1302" s="1"/>
      <c r="H1302" s="1"/>
      <c r="I1302" s="1"/>
      <c r="J1302" s="1"/>
      <c r="K1302" s="1"/>
      <c r="L1302" s="1"/>
      <c r="M1302" s="1"/>
      <c r="N1302" s="1"/>
      <c r="O1302" s="1"/>
      <c r="P1302" s="1"/>
      <c r="Q1302" s="1"/>
      <c r="R1302" s="1"/>
      <c r="S1302" s="1"/>
    </row>
    <row r="1303" spans="1:19" ht="33.75" customHeight="1">
      <c r="A1303" s="1" t="s">
        <v>3706</v>
      </c>
      <c r="B1303" s="1" t="s">
        <v>2870</v>
      </c>
      <c r="C1303" s="1">
        <v>17</v>
      </c>
      <c r="D1303" s="4">
        <v>39885.352777777778</v>
      </c>
      <c r="E1303" s="1" t="s">
        <v>54</v>
      </c>
      <c r="F1303" s="1"/>
      <c r="G1303" s="1"/>
      <c r="H1303" s="1"/>
      <c r="I1303" s="1"/>
      <c r="J1303" s="1"/>
      <c r="K1303" s="1"/>
      <c r="L1303" s="1"/>
      <c r="M1303" s="1"/>
      <c r="N1303" s="1"/>
      <c r="O1303" s="1"/>
      <c r="P1303" s="1"/>
      <c r="Q1303" s="1"/>
      <c r="R1303" s="1"/>
      <c r="S1303" s="1"/>
    </row>
    <row r="1304" spans="1:19" ht="33.75" customHeight="1">
      <c r="A1304" s="1" t="s">
        <v>3708</v>
      </c>
      <c r="B1304" s="1" t="s">
        <v>3255</v>
      </c>
      <c r="C1304" s="1">
        <v>19</v>
      </c>
      <c r="D1304" s="4">
        <v>39885.385416666664</v>
      </c>
      <c r="E1304" s="1" t="s">
        <v>14</v>
      </c>
      <c r="F1304" s="1"/>
      <c r="G1304" s="1"/>
      <c r="H1304" s="1"/>
      <c r="I1304" s="1"/>
      <c r="J1304" s="1"/>
      <c r="K1304" s="1"/>
      <c r="L1304" s="1"/>
      <c r="M1304" s="1"/>
      <c r="N1304" s="1"/>
      <c r="O1304" s="1"/>
      <c r="P1304" s="1"/>
      <c r="Q1304" s="1"/>
      <c r="R1304" s="1"/>
      <c r="S1304" s="1"/>
    </row>
    <row r="1305" spans="1:19" ht="33.75" customHeight="1">
      <c r="A1305" s="1" t="s">
        <v>3711</v>
      </c>
      <c r="B1305" s="1" t="s">
        <v>3255</v>
      </c>
      <c r="C1305" s="1">
        <v>19</v>
      </c>
      <c r="D1305" s="4">
        <v>39885.388194444444</v>
      </c>
      <c r="E1305" s="1" t="s">
        <v>14</v>
      </c>
      <c r="F1305" s="1"/>
      <c r="G1305" s="1"/>
      <c r="H1305" s="1"/>
      <c r="I1305" s="1"/>
      <c r="J1305" s="1"/>
      <c r="K1305" s="1"/>
      <c r="L1305" s="1"/>
      <c r="M1305" s="1"/>
      <c r="N1305" s="1"/>
      <c r="O1305" s="1"/>
      <c r="P1305" s="1"/>
      <c r="Q1305" s="1"/>
      <c r="R1305" s="1"/>
      <c r="S1305" s="1"/>
    </row>
    <row r="1306" spans="1:19" ht="33.75" customHeight="1">
      <c r="A1306" s="1" t="s">
        <v>3714</v>
      </c>
      <c r="B1306" s="1" t="s">
        <v>3156</v>
      </c>
      <c r="C1306" s="1">
        <v>18</v>
      </c>
      <c r="D1306" s="4">
        <v>39885.395833333336</v>
      </c>
      <c r="E1306" s="1" t="s">
        <v>1887</v>
      </c>
      <c r="F1306" s="1"/>
      <c r="G1306" s="1"/>
      <c r="H1306" s="1"/>
      <c r="I1306" s="1"/>
      <c r="J1306" s="1"/>
      <c r="K1306" s="1"/>
      <c r="L1306" s="1"/>
      <c r="M1306" s="1"/>
      <c r="N1306" s="1"/>
      <c r="O1306" s="1"/>
      <c r="P1306" s="1"/>
      <c r="Q1306" s="1"/>
      <c r="R1306" s="1"/>
      <c r="S1306" s="1"/>
    </row>
    <row r="1307" spans="1:19" ht="33.75" customHeight="1">
      <c r="A1307" s="1" t="s">
        <v>3716</v>
      </c>
      <c r="B1307" s="1" t="s">
        <v>3156</v>
      </c>
      <c r="C1307" s="1">
        <v>18</v>
      </c>
      <c r="D1307" s="4">
        <v>39885.415972222225</v>
      </c>
      <c r="E1307" s="1" t="s">
        <v>14</v>
      </c>
      <c r="F1307" s="1"/>
      <c r="G1307" s="1"/>
      <c r="H1307" s="1"/>
      <c r="I1307" s="1"/>
      <c r="J1307" s="1"/>
      <c r="K1307" s="1"/>
      <c r="L1307" s="1"/>
      <c r="M1307" s="1"/>
      <c r="N1307" s="1"/>
      <c r="O1307" s="1"/>
      <c r="P1307" s="1"/>
      <c r="Q1307" s="1"/>
      <c r="R1307" s="1"/>
      <c r="S1307" s="1"/>
    </row>
    <row r="1308" spans="1:19" ht="33.75" customHeight="1">
      <c r="A1308" s="1" t="s">
        <v>3719</v>
      </c>
      <c r="B1308" s="1" t="s">
        <v>3255</v>
      </c>
      <c r="C1308" s="1">
        <v>19</v>
      </c>
      <c r="D1308" s="4">
        <v>39885.421527777777</v>
      </c>
      <c r="E1308" s="1" t="s">
        <v>14</v>
      </c>
      <c r="F1308" s="1"/>
      <c r="G1308" s="1"/>
      <c r="H1308" s="1"/>
      <c r="I1308" s="1"/>
      <c r="J1308" s="1"/>
      <c r="K1308" s="1"/>
      <c r="L1308" s="1"/>
      <c r="M1308" s="1"/>
      <c r="N1308" s="1"/>
      <c r="O1308" s="1"/>
      <c r="P1308" s="1"/>
      <c r="Q1308" s="1"/>
      <c r="R1308" s="1"/>
      <c r="S1308" s="1"/>
    </row>
    <row r="1309" spans="1:19" ht="33.75" customHeight="1">
      <c r="A1309" s="1" t="s">
        <v>3722</v>
      </c>
      <c r="B1309" s="1" t="s">
        <v>2870</v>
      </c>
      <c r="C1309" s="1">
        <v>17</v>
      </c>
      <c r="D1309" s="4">
        <v>39885.438888888886</v>
      </c>
      <c r="E1309" s="1" t="s">
        <v>1089</v>
      </c>
      <c r="F1309" s="1"/>
      <c r="G1309" s="1"/>
      <c r="H1309" s="1"/>
      <c r="I1309" s="1"/>
      <c r="J1309" s="1"/>
      <c r="K1309" s="1"/>
      <c r="L1309" s="1"/>
      <c r="M1309" s="1"/>
      <c r="N1309" s="1"/>
      <c r="O1309" s="1"/>
      <c r="P1309" s="1"/>
      <c r="Q1309" s="1"/>
      <c r="R1309" s="1"/>
      <c r="S1309" s="1"/>
    </row>
    <row r="1310" spans="1:19" ht="33.75" customHeight="1">
      <c r="A1310" s="1" t="s">
        <v>3724</v>
      </c>
      <c r="B1310" s="1" t="s">
        <v>2870</v>
      </c>
      <c r="C1310" s="1">
        <v>17</v>
      </c>
      <c r="D1310" s="4">
        <v>39885.445833333331</v>
      </c>
      <c r="E1310" s="1" t="s">
        <v>54</v>
      </c>
      <c r="F1310" s="1"/>
      <c r="G1310" s="1"/>
      <c r="H1310" s="1"/>
      <c r="I1310" s="1"/>
      <c r="J1310" s="1"/>
      <c r="K1310" s="1"/>
      <c r="L1310" s="1"/>
      <c r="M1310" s="1"/>
      <c r="N1310" s="1"/>
      <c r="O1310" s="1"/>
      <c r="P1310" s="1"/>
      <c r="Q1310" s="1"/>
      <c r="R1310" s="1"/>
      <c r="S1310" s="1"/>
    </row>
    <row r="1311" spans="1:19" ht="33.75" customHeight="1">
      <c r="A1311" s="1" t="s">
        <v>3726</v>
      </c>
      <c r="B1311" s="1" t="s">
        <v>2870</v>
      </c>
      <c r="C1311" s="1">
        <v>17</v>
      </c>
      <c r="D1311" s="4">
        <v>39885.506944444445</v>
      </c>
      <c r="E1311" s="1" t="s">
        <v>760</v>
      </c>
      <c r="F1311" s="1"/>
      <c r="G1311" s="1"/>
      <c r="H1311" s="1"/>
      <c r="I1311" s="1"/>
      <c r="J1311" s="1"/>
      <c r="K1311" s="1"/>
      <c r="L1311" s="1"/>
      <c r="M1311" s="1"/>
      <c r="N1311" s="1"/>
      <c r="O1311" s="1"/>
      <c r="P1311" s="1"/>
      <c r="Q1311" s="1"/>
      <c r="R1311" s="1"/>
      <c r="S1311" s="1"/>
    </row>
    <row r="1312" spans="1:19" ht="33.75" customHeight="1">
      <c r="A1312" s="1" t="s">
        <v>3729</v>
      </c>
      <c r="B1312" s="1" t="s">
        <v>3156</v>
      </c>
      <c r="C1312" s="1">
        <v>18</v>
      </c>
      <c r="D1312" s="4">
        <v>39885.532638888886</v>
      </c>
      <c r="E1312" s="1" t="s">
        <v>14</v>
      </c>
      <c r="F1312" s="1"/>
      <c r="G1312" s="1"/>
      <c r="H1312" s="1"/>
      <c r="I1312" s="1"/>
      <c r="J1312" s="1"/>
      <c r="K1312" s="1"/>
      <c r="L1312" s="1"/>
      <c r="M1312" s="1"/>
      <c r="N1312" s="1"/>
      <c r="O1312" s="1"/>
      <c r="P1312" s="1"/>
      <c r="Q1312" s="1"/>
      <c r="R1312" s="1"/>
      <c r="S1312" s="1"/>
    </row>
    <row r="1313" spans="1:19" ht="33.75" customHeight="1">
      <c r="A1313" s="1" t="s">
        <v>3731</v>
      </c>
      <c r="B1313" s="1" t="s">
        <v>2870</v>
      </c>
      <c r="C1313" s="1">
        <v>17</v>
      </c>
      <c r="D1313" s="4">
        <v>39885.535416666666</v>
      </c>
      <c r="E1313" s="1" t="s">
        <v>772</v>
      </c>
      <c r="F1313" s="1"/>
      <c r="G1313" s="1"/>
      <c r="H1313" s="1"/>
      <c r="I1313" s="1"/>
      <c r="J1313" s="1"/>
      <c r="K1313" s="1"/>
      <c r="L1313" s="1"/>
      <c r="M1313" s="1"/>
      <c r="N1313" s="1"/>
      <c r="O1313" s="1"/>
      <c r="P1313" s="1"/>
      <c r="Q1313" s="1"/>
      <c r="R1313" s="1"/>
      <c r="S1313" s="1"/>
    </row>
    <row r="1314" spans="1:19" ht="33.75" customHeight="1">
      <c r="A1314" s="1" t="s">
        <v>3733</v>
      </c>
      <c r="B1314" s="1" t="s">
        <v>2870</v>
      </c>
      <c r="C1314" s="1">
        <v>17</v>
      </c>
      <c r="D1314" s="4">
        <v>39885.559027777781</v>
      </c>
      <c r="E1314" s="1" t="s">
        <v>772</v>
      </c>
      <c r="F1314" s="1"/>
      <c r="G1314" s="1"/>
      <c r="H1314" s="1"/>
      <c r="I1314" s="1"/>
      <c r="J1314" s="1"/>
      <c r="K1314" s="1"/>
      <c r="L1314" s="1"/>
      <c r="M1314" s="1"/>
      <c r="N1314" s="1"/>
      <c r="O1314" s="1"/>
      <c r="P1314" s="1"/>
      <c r="Q1314" s="1"/>
      <c r="R1314" s="1"/>
      <c r="S1314" s="1"/>
    </row>
    <row r="1315" spans="1:19" ht="33.75" customHeight="1">
      <c r="A1315" s="1" t="s">
        <v>3735</v>
      </c>
      <c r="B1315" s="1" t="s">
        <v>2870</v>
      </c>
      <c r="C1315" s="1">
        <v>17</v>
      </c>
      <c r="D1315" s="4">
        <v>39885.570833333331</v>
      </c>
      <c r="E1315" s="1" t="s">
        <v>1089</v>
      </c>
      <c r="F1315" s="1"/>
      <c r="G1315" s="1"/>
      <c r="H1315" s="1"/>
      <c r="I1315" s="1"/>
      <c r="J1315" s="1"/>
      <c r="K1315" s="1"/>
      <c r="L1315" s="1"/>
      <c r="M1315" s="1"/>
      <c r="N1315" s="1"/>
      <c r="O1315" s="1"/>
      <c r="P1315" s="1"/>
      <c r="Q1315" s="1"/>
      <c r="R1315" s="1"/>
      <c r="S1315" s="1"/>
    </row>
    <row r="1316" spans="1:19" ht="33.75" customHeight="1">
      <c r="A1316" s="1" t="s">
        <v>3737</v>
      </c>
      <c r="B1316" s="1" t="s">
        <v>2870</v>
      </c>
      <c r="C1316" s="1">
        <v>17</v>
      </c>
      <c r="D1316" s="4">
        <v>39885.588194444441</v>
      </c>
      <c r="E1316" s="1" t="s">
        <v>84</v>
      </c>
      <c r="F1316" s="1"/>
      <c r="G1316" s="1"/>
      <c r="H1316" s="1"/>
      <c r="I1316" s="1"/>
      <c r="J1316" s="1"/>
      <c r="K1316" s="1"/>
      <c r="L1316" s="1"/>
      <c r="M1316" s="1"/>
      <c r="N1316" s="1"/>
      <c r="O1316" s="1"/>
      <c r="P1316" s="1"/>
      <c r="Q1316" s="1"/>
      <c r="R1316" s="1"/>
      <c r="S1316" s="1"/>
    </row>
    <row r="1317" spans="1:19" ht="33.75" customHeight="1">
      <c r="A1317" s="1" t="s">
        <v>3739</v>
      </c>
      <c r="B1317" s="1" t="s">
        <v>3255</v>
      </c>
      <c r="C1317" s="1">
        <v>19</v>
      </c>
      <c r="D1317" s="4">
        <v>39885.611805555556</v>
      </c>
      <c r="E1317" s="1" t="s">
        <v>84</v>
      </c>
      <c r="F1317" s="1"/>
      <c r="G1317" s="1"/>
      <c r="H1317" s="1"/>
      <c r="I1317" s="1"/>
      <c r="J1317" s="1"/>
      <c r="K1317" s="1"/>
      <c r="L1317" s="1"/>
      <c r="M1317" s="1"/>
      <c r="N1317" s="1"/>
      <c r="O1317" s="1"/>
      <c r="P1317" s="1"/>
      <c r="Q1317" s="1"/>
      <c r="R1317" s="1"/>
      <c r="S1317" s="1"/>
    </row>
    <row r="1318" spans="1:19" ht="33.75" customHeight="1">
      <c r="A1318" s="1" t="s">
        <v>3742</v>
      </c>
      <c r="B1318" s="1" t="s">
        <v>2870</v>
      </c>
      <c r="C1318" s="1">
        <v>17</v>
      </c>
      <c r="D1318" s="4">
        <v>39885.613888888889</v>
      </c>
      <c r="E1318" s="1" t="s">
        <v>84</v>
      </c>
      <c r="F1318" s="1"/>
      <c r="G1318" s="1"/>
      <c r="H1318" s="1"/>
      <c r="I1318" s="1"/>
      <c r="J1318" s="1"/>
      <c r="K1318" s="1"/>
      <c r="L1318" s="1"/>
      <c r="M1318" s="1"/>
      <c r="N1318" s="1"/>
      <c r="O1318" s="1"/>
      <c r="P1318" s="1"/>
      <c r="Q1318" s="1"/>
      <c r="R1318" s="1"/>
      <c r="S1318" s="1"/>
    </row>
    <row r="1319" spans="1:19" ht="33.75" customHeight="1">
      <c r="A1319" s="1" t="s">
        <v>3745</v>
      </c>
      <c r="B1319" s="1" t="s">
        <v>2870</v>
      </c>
      <c r="C1319" s="1">
        <v>17</v>
      </c>
      <c r="D1319" s="4">
        <v>39885.617361111108</v>
      </c>
      <c r="E1319" s="1" t="s">
        <v>1089</v>
      </c>
      <c r="F1319" s="1"/>
      <c r="G1319" s="1"/>
      <c r="H1319" s="1"/>
      <c r="I1319" s="1"/>
      <c r="J1319" s="1"/>
      <c r="K1319" s="1"/>
      <c r="L1319" s="1"/>
      <c r="M1319" s="1"/>
      <c r="N1319" s="1"/>
      <c r="O1319" s="1"/>
      <c r="P1319" s="1"/>
      <c r="Q1319" s="1"/>
      <c r="R1319" s="1"/>
      <c r="S1319" s="1"/>
    </row>
    <row r="1320" spans="1:19" ht="33.75" customHeight="1">
      <c r="A1320" s="1" t="s">
        <v>3747</v>
      </c>
      <c r="B1320" s="1" t="s">
        <v>2870</v>
      </c>
      <c r="C1320" s="1">
        <v>17</v>
      </c>
      <c r="D1320" s="4">
        <v>39885.635416666664</v>
      </c>
      <c r="E1320" s="1" t="s">
        <v>54</v>
      </c>
      <c r="F1320" s="1"/>
      <c r="G1320" s="1"/>
      <c r="H1320" s="1"/>
      <c r="I1320" s="1"/>
      <c r="J1320" s="1"/>
      <c r="K1320" s="1"/>
      <c r="L1320" s="1"/>
      <c r="M1320" s="1"/>
      <c r="N1320" s="1"/>
      <c r="O1320" s="1"/>
      <c r="P1320" s="1"/>
      <c r="Q1320" s="1"/>
      <c r="R1320" s="1"/>
      <c r="S1320" s="1"/>
    </row>
    <row r="1321" spans="1:19" ht="33.75" customHeight="1">
      <c r="A1321" s="1" t="s">
        <v>3749</v>
      </c>
      <c r="B1321" s="1" t="s">
        <v>3255</v>
      </c>
      <c r="C1321" s="1">
        <v>19</v>
      </c>
      <c r="D1321" s="4">
        <v>39885.65</v>
      </c>
      <c r="E1321" s="1" t="s">
        <v>3750</v>
      </c>
      <c r="F1321" s="1"/>
      <c r="G1321" s="1"/>
      <c r="H1321" s="1"/>
      <c r="I1321" s="1"/>
      <c r="J1321" s="1"/>
      <c r="K1321" s="1"/>
      <c r="L1321" s="1"/>
      <c r="M1321" s="1"/>
      <c r="N1321" s="1"/>
      <c r="O1321" s="1"/>
      <c r="P1321" s="1"/>
      <c r="Q1321" s="1"/>
      <c r="R1321" s="1"/>
      <c r="S1321" s="1"/>
    </row>
    <row r="1322" spans="1:19" ht="33.75" customHeight="1">
      <c r="A1322" s="1" t="s">
        <v>3753</v>
      </c>
      <c r="B1322" s="1" t="s">
        <v>3156</v>
      </c>
      <c r="C1322" s="1">
        <v>18</v>
      </c>
      <c r="D1322" s="4">
        <v>39885.665277777778</v>
      </c>
      <c r="E1322" s="1" t="s">
        <v>320</v>
      </c>
      <c r="F1322" s="1"/>
      <c r="G1322" s="1"/>
      <c r="H1322" s="1"/>
      <c r="I1322" s="1"/>
      <c r="J1322" s="1"/>
      <c r="K1322" s="1"/>
      <c r="L1322" s="1"/>
      <c r="M1322" s="1"/>
      <c r="N1322" s="1"/>
      <c r="O1322" s="1"/>
      <c r="P1322" s="1"/>
      <c r="Q1322" s="1"/>
      <c r="R1322" s="1"/>
      <c r="S1322" s="1"/>
    </row>
    <row r="1323" spans="1:19" ht="33.75" customHeight="1">
      <c r="A1323" s="1" t="s">
        <v>3755</v>
      </c>
      <c r="B1323" s="1" t="s">
        <v>3156</v>
      </c>
      <c r="C1323" s="1">
        <v>18</v>
      </c>
      <c r="D1323" s="4">
        <v>39885.672222222223</v>
      </c>
      <c r="E1323" s="1" t="s">
        <v>14</v>
      </c>
      <c r="F1323" s="1"/>
      <c r="G1323" s="1"/>
      <c r="H1323" s="1"/>
      <c r="I1323" s="1"/>
      <c r="J1323" s="1"/>
      <c r="K1323" s="1"/>
      <c r="L1323" s="1"/>
      <c r="M1323" s="1"/>
      <c r="N1323" s="1"/>
      <c r="O1323" s="1"/>
      <c r="P1323" s="1"/>
      <c r="Q1323" s="1"/>
      <c r="R1323" s="1"/>
      <c r="S1323" s="1"/>
    </row>
    <row r="1324" spans="1:19" ht="33.75" customHeight="1">
      <c r="A1324" s="1" t="s">
        <v>3757</v>
      </c>
      <c r="B1324" s="1" t="s">
        <v>3156</v>
      </c>
      <c r="C1324" s="1">
        <v>18</v>
      </c>
      <c r="D1324" s="4">
        <v>39885.69027777778</v>
      </c>
      <c r="E1324" s="1" t="s">
        <v>196</v>
      </c>
      <c r="F1324" s="1"/>
      <c r="G1324" s="1"/>
      <c r="H1324" s="1"/>
      <c r="I1324" s="1"/>
      <c r="J1324" s="1"/>
      <c r="K1324" s="1"/>
      <c r="L1324" s="1"/>
      <c r="M1324" s="1"/>
      <c r="N1324" s="1"/>
      <c r="O1324" s="1"/>
      <c r="P1324" s="1"/>
      <c r="Q1324" s="1"/>
      <c r="R1324" s="1"/>
      <c r="S1324" s="1"/>
    </row>
    <row r="1325" spans="1:19" ht="33.75" customHeight="1">
      <c r="A1325" s="1" t="s">
        <v>3759</v>
      </c>
      <c r="B1325" s="1" t="s">
        <v>3255</v>
      </c>
      <c r="C1325" s="1">
        <v>19</v>
      </c>
      <c r="D1325" s="4">
        <v>39885.699999999997</v>
      </c>
      <c r="E1325" s="1" t="s">
        <v>54</v>
      </c>
      <c r="F1325" s="1"/>
      <c r="G1325" s="1"/>
      <c r="H1325" s="1"/>
      <c r="I1325" s="1"/>
      <c r="J1325" s="1"/>
      <c r="K1325" s="1"/>
      <c r="L1325" s="1"/>
      <c r="M1325" s="1"/>
      <c r="N1325" s="1"/>
      <c r="O1325" s="1"/>
      <c r="P1325" s="1"/>
      <c r="Q1325" s="1"/>
      <c r="R1325" s="1"/>
      <c r="S1325" s="1"/>
    </row>
    <row r="1326" spans="1:19" ht="33.75" customHeight="1">
      <c r="A1326" s="1" t="s">
        <v>3763</v>
      </c>
      <c r="B1326" s="1" t="s">
        <v>2870</v>
      </c>
      <c r="C1326" s="1">
        <v>17</v>
      </c>
      <c r="D1326" s="4">
        <v>39885.715277777781</v>
      </c>
      <c r="E1326" s="1" t="s">
        <v>1089</v>
      </c>
      <c r="F1326" s="1"/>
      <c r="G1326" s="1"/>
      <c r="H1326" s="1"/>
      <c r="I1326" s="1"/>
      <c r="J1326" s="1"/>
      <c r="K1326" s="1"/>
      <c r="L1326" s="1"/>
      <c r="M1326" s="1"/>
      <c r="N1326" s="1"/>
      <c r="O1326" s="1"/>
      <c r="P1326" s="1"/>
      <c r="Q1326" s="1"/>
      <c r="R1326" s="1"/>
      <c r="S1326" s="1"/>
    </row>
    <row r="1327" spans="1:19" ht="33.75" customHeight="1">
      <c r="A1327" s="1" t="s">
        <v>3765</v>
      </c>
      <c r="B1327" s="1" t="s">
        <v>3156</v>
      </c>
      <c r="C1327" s="1">
        <v>18</v>
      </c>
      <c r="D1327" s="4">
        <v>39888.769444444442</v>
      </c>
      <c r="E1327" s="1" t="s">
        <v>1528</v>
      </c>
      <c r="F1327" s="1"/>
      <c r="G1327" s="1"/>
      <c r="H1327" s="1"/>
      <c r="I1327" s="1"/>
      <c r="J1327" s="1"/>
      <c r="K1327" s="1"/>
      <c r="L1327" s="1"/>
      <c r="M1327" s="1"/>
      <c r="N1327" s="1"/>
      <c r="O1327" s="1"/>
      <c r="P1327" s="1"/>
      <c r="Q1327" s="1"/>
      <c r="R1327" s="1"/>
      <c r="S1327" s="1"/>
    </row>
    <row r="1328" spans="1:19" ht="33.75" customHeight="1">
      <c r="A1328" s="1" t="s">
        <v>3768</v>
      </c>
      <c r="B1328" s="1" t="s">
        <v>3156</v>
      </c>
      <c r="C1328" s="1">
        <v>18</v>
      </c>
      <c r="D1328" s="4">
        <v>39885.821527777778</v>
      </c>
      <c r="E1328" s="1" t="s">
        <v>14</v>
      </c>
      <c r="F1328" s="1"/>
      <c r="G1328" s="1"/>
      <c r="H1328" s="1"/>
      <c r="I1328" s="1"/>
      <c r="J1328" s="1"/>
      <c r="K1328" s="1"/>
      <c r="L1328" s="1"/>
      <c r="M1328" s="1"/>
      <c r="N1328" s="1"/>
      <c r="O1328" s="1"/>
      <c r="P1328" s="1"/>
      <c r="Q1328" s="1"/>
      <c r="R1328" s="1"/>
      <c r="S1328" s="1"/>
    </row>
    <row r="1329" spans="1:19" ht="33.75" customHeight="1">
      <c r="A1329" s="1" t="s">
        <v>3770</v>
      </c>
      <c r="B1329" s="1" t="s">
        <v>3156</v>
      </c>
      <c r="C1329" s="1">
        <v>18</v>
      </c>
      <c r="D1329" s="4">
        <v>39885.84375</v>
      </c>
      <c r="E1329" s="1" t="s">
        <v>14</v>
      </c>
      <c r="F1329" s="1"/>
      <c r="G1329" s="1"/>
      <c r="H1329" s="1"/>
      <c r="I1329" s="1"/>
      <c r="J1329" s="1"/>
      <c r="K1329" s="1"/>
      <c r="L1329" s="1"/>
      <c r="M1329" s="1"/>
      <c r="N1329" s="1"/>
      <c r="O1329" s="1"/>
      <c r="P1329" s="1"/>
      <c r="Q1329" s="1"/>
      <c r="R1329" s="1"/>
      <c r="S1329" s="1"/>
    </row>
    <row r="1330" spans="1:19" ht="33.75" customHeight="1">
      <c r="A1330" s="1" t="s">
        <v>3772</v>
      </c>
      <c r="B1330" s="1" t="s">
        <v>3156</v>
      </c>
      <c r="C1330" s="1">
        <v>18</v>
      </c>
      <c r="D1330" s="4">
        <v>39885.845833333333</v>
      </c>
      <c r="E1330" s="1" t="s">
        <v>196</v>
      </c>
      <c r="F1330" s="1"/>
      <c r="G1330" s="1"/>
      <c r="H1330" s="1"/>
      <c r="I1330" s="1"/>
      <c r="J1330" s="1"/>
      <c r="K1330" s="1"/>
      <c r="L1330" s="1"/>
      <c r="M1330" s="1"/>
      <c r="N1330" s="1"/>
      <c r="O1330" s="1"/>
      <c r="P1330" s="1"/>
      <c r="Q1330" s="1"/>
      <c r="R1330" s="1"/>
      <c r="S1330" s="1"/>
    </row>
    <row r="1331" spans="1:19" ht="33.75" customHeight="1">
      <c r="A1331" s="1" t="s">
        <v>3774</v>
      </c>
      <c r="B1331" s="1" t="s">
        <v>3156</v>
      </c>
      <c r="C1331" s="1">
        <v>18</v>
      </c>
      <c r="D1331" s="4">
        <v>39885.853472222225</v>
      </c>
      <c r="E1331" s="1" t="s">
        <v>14</v>
      </c>
      <c r="F1331" s="1"/>
      <c r="G1331" s="1"/>
      <c r="H1331" s="1"/>
      <c r="I1331" s="1"/>
      <c r="J1331" s="1"/>
      <c r="K1331" s="1"/>
      <c r="L1331" s="1"/>
      <c r="M1331" s="1"/>
      <c r="N1331" s="1"/>
      <c r="O1331" s="1"/>
      <c r="P1331" s="1"/>
      <c r="Q1331" s="1"/>
      <c r="R1331" s="1"/>
      <c r="S1331" s="1"/>
    </row>
    <row r="1332" spans="1:19" ht="33.75" customHeight="1">
      <c r="A1332" s="1" t="s">
        <v>3776</v>
      </c>
      <c r="B1332" s="1" t="s">
        <v>2870</v>
      </c>
      <c r="C1332" s="1">
        <v>17</v>
      </c>
      <c r="D1332" s="4">
        <v>39885.86041666667</v>
      </c>
      <c r="E1332" s="1" t="s">
        <v>54</v>
      </c>
      <c r="F1332" s="1"/>
      <c r="G1332" s="1"/>
      <c r="H1332" s="1"/>
      <c r="I1332" s="1"/>
      <c r="J1332" s="1"/>
      <c r="K1332" s="1"/>
      <c r="L1332" s="1"/>
      <c r="M1332" s="1"/>
      <c r="N1332" s="1"/>
      <c r="O1332" s="1"/>
      <c r="P1332" s="1"/>
      <c r="Q1332" s="1"/>
      <c r="R1332" s="1"/>
      <c r="S1332" s="1"/>
    </row>
    <row r="1333" spans="1:19" ht="33.75" customHeight="1">
      <c r="A1333" s="1" t="s">
        <v>3779</v>
      </c>
      <c r="B1333" s="1" t="s">
        <v>3156</v>
      </c>
      <c r="C1333" s="1">
        <v>18</v>
      </c>
      <c r="D1333" s="4">
        <v>39885.865972222222</v>
      </c>
      <c r="E1333" s="1" t="s">
        <v>196</v>
      </c>
      <c r="F1333" s="1"/>
      <c r="G1333" s="1"/>
      <c r="H1333" s="1"/>
      <c r="I1333" s="1"/>
      <c r="J1333" s="1"/>
      <c r="K1333" s="1"/>
      <c r="L1333" s="1"/>
      <c r="M1333" s="1"/>
      <c r="N1333" s="1"/>
      <c r="O1333" s="1"/>
      <c r="P1333" s="1"/>
      <c r="Q1333" s="1"/>
      <c r="R1333" s="1"/>
      <c r="S1333" s="1"/>
    </row>
    <row r="1334" spans="1:19" ht="33.75" customHeight="1">
      <c r="A1334" s="1" t="s">
        <v>3782</v>
      </c>
      <c r="B1334" s="1" t="s">
        <v>3156</v>
      </c>
      <c r="C1334" s="1">
        <v>18</v>
      </c>
      <c r="D1334" s="4">
        <v>39885.866666666669</v>
      </c>
      <c r="E1334" s="1" t="s">
        <v>14</v>
      </c>
      <c r="F1334" s="1"/>
      <c r="G1334" s="1"/>
      <c r="H1334" s="1"/>
      <c r="I1334" s="1"/>
      <c r="J1334" s="1"/>
      <c r="K1334" s="1"/>
      <c r="L1334" s="1"/>
      <c r="M1334" s="1"/>
      <c r="N1334" s="1"/>
      <c r="O1334" s="1"/>
      <c r="P1334" s="1"/>
      <c r="Q1334" s="1"/>
      <c r="R1334" s="1"/>
      <c r="S1334" s="1"/>
    </row>
    <row r="1335" spans="1:19" ht="33.75" customHeight="1">
      <c r="A1335" s="1" t="s">
        <v>3785</v>
      </c>
      <c r="B1335" s="1" t="s">
        <v>2870</v>
      </c>
      <c r="C1335" s="1">
        <v>17</v>
      </c>
      <c r="D1335" s="4">
        <v>39885.923611111109</v>
      </c>
      <c r="E1335" s="1" t="s">
        <v>760</v>
      </c>
      <c r="F1335" s="1"/>
      <c r="G1335" s="1"/>
      <c r="H1335" s="1"/>
      <c r="I1335" s="1"/>
      <c r="J1335" s="1"/>
      <c r="K1335" s="1"/>
      <c r="L1335" s="1"/>
      <c r="M1335" s="1"/>
      <c r="N1335" s="1"/>
      <c r="O1335" s="1"/>
      <c r="P1335" s="1"/>
      <c r="Q1335" s="1"/>
      <c r="R1335" s="1"/>
      <c r="S1335" s="1"/>
    </row>
    <row r="1336" spans="1:19" ht="33.75" customHeight="1">
      <c r="A1336" s="1" t="s">
        <v>3788</v>
      </c>
      <c r="B1336" s="1" t="s">
        <v>2870</v>
      </c>
      <c r="C1336" s="1">
        <v>17</v>
      </c>
      <c r="D1336" s="4">
        <v>39885.970833333333</v>
      </c>
      <c r="E1336" s="1" t="s">
        <v>1089</v>
      </c>
      <c r="F1336" s="1"/>
      <c r="G1336" s="1"/>
      <c r="H1336" s="1"/>
      <c r="I1336" s="1"/>
      <c r="J1336" s="1"/>
      <c r="K1336" s="1"/>
      <c r="L1336" s="1"/>
      <c r="M1336" s="1"/>
      <c r="N1336" s="1"/>
      <c r="O1336" s="1"/>
      <c r="P1336" s="1"/>
      <c r="Q1336" s="1"/>
      <c r="R1336" s="1"/>
      <c r="S1336" s="1"/>
    </row>
    <row r="1337" spans="1:19" ht="33.75" customHeight="1">
      <c r="A1337" s="1" t="s">
        <v>3791</v>
      </c>
      <c r="B1337" s="1" t="s">
        <v>3156</v>
      </c>
      <c r="C1337" s="1">
        <v>18</v>
      </c>
      <c r="D1337" s="4">
        <v>39886.199305555558</v>
      </c>
      <c r="E1337" s="1" t="s">
        <v>54</v>
      </c>
      <c r="F1337" s="1"/>
      <c r="G1337" s="1"/>
      <c r="H1337" s="1"/>
      <c r="I1337" s="1"/>
      <c r="J1337" s="1"/>
      <c r="K1337" s="1"/>
      <c r="L1337" s="1"/>
      <c r="M1337" s="1"/>
      <c r="N1337" s="1"/>
      <c r="O1337" s="1"/>
      <c r="P1337" s="1"/>
      <c r="Q1337" s="1"/>
      <c r="R1337" s="1"/>
      <c r="S1337" s="1"/>
    </row>
    <row r="1338" spans="1:19" ht="33.75" customHeight="1">
      <c r="A1338" s="1" t="s">
        <v>3793</v>
      </c>
      <c r="B1338" s="1" t="s">
        <v>2870</v>
      </c>
      <c r="C1338" s="1">
        <v>17</v>
      </c>
      <c r="D1338" s="4">
        <v>39886.25277777778</v>
      </c>
      <c r="E1338" s="1" t="s">
        <v>2242</v>
      </c>
      <c r="F1338" s="1"/>
      <c r="G1338" s="1"/>
      <c r="H1338" s="1"/>
      <c r="I1338" s="1"/>
      <c r="J1338" s="1"/>
      <c r="K1338" s="1"/>
      <c r="L1338" s="1"/>
      <c r="M1338" s="1"/>
      <c r="N1338" s="1"/>
      <c r="O1338" s="1"/>
      <c r="P1338" s="1"/>
      <c r="Q1338" s="1"/>
      <c r="R1338" s="1"/>
      <c r="S1338" s="1"/>
    </row>
    <row r="1339" spans="1:19" ht="33.75" customHeight="1">
      <c r="A1339" s="1" t="s">
        <v>3796</v>
      </c>
      <c r="B1339" s="1" t="s">
        <v>2870</v>
      </c>
      <c r="C1339" s="1">
        <v>17</v>
      </c>
      <c r="D1339" s="4">
        <v>39886.359027777777</v>
      </c>
      <c r="E1339" s="1" t="s">
        <v>54</v>
      </c>
      <c r="F1339" s="1"/>
      <c r="G1339" s="1"/>
      <c r="H1339" s="1"/>
      <c r="I1339" s="1"/>
      <c r="J1339" s="1"/>
      <c r="K1339" s="1"/>
      <c r="L1339" s="1"/>
      <c r="M1339" s="1"/>
      <c r="N1339" s="1"/>
      <c r="O1339" s="1"/>
      <c r="P1339" s="1"/>
      <c r="Q1339" s="1"/>
      <c r="R1339" s="1"/>
      <c r="S1339" s="1"/>
    </row>
    <row r="1340" spans="1:19" ht="33.75" customHeight="1">
      <c r="A1340" s="1" t="s">
        <v>3799</v>
      </c>
      <c r="B1340" s="1" t="s">
        <v>3800</v>
      </c>
      <c r="C1340" s="1">
        <v>20</v>
      </c>
      <c r="D1340" s="4">
        <v>39886.380555555559</v>
      </c>
      <c r="E1340" s="1" t="s">
        <v>54</v>
      </c>
      <c r="F1340" s="1"/>
      <c r="G1340" s="1"/>
      <c r="H1340" s="1"/>
      <c r="I1340" s="1"/>
      <c r="J1340" s="1"/>
      <c r="K1340" s="1"/>
      <c r="L1340" s="1"/>
      <c r="M1340" s="1"/>
      <c r="N1340" s="1"/>
      <c r="O1340" s="1"/>
      <c r="P1340" s="1"/>
      <c r="Q1340" s="1"/>
      <c r="R1340" s="1"/>
      <c r="S1340" s="1"/>
    </row>
    <row r="1341" spans="1:19" ht="33.75" customHeight="1">
      <c r="A1341" s="1" t="s">
        <v>3803</v>
      </c>
      <c r="B1341" s="1" t="s">
        <v>3800</v>
      </c>
      <c r="C1341" s="1">
        <v>20</v>
      </c>
      <c r="D1341" s="4">
        <v>39886.385416666664</v>
      </c>
      <c r="E1341" s="1" t="s">
        <v>54</v>
      </c>
      <c r="F1341" s="1"/>
      <c r="G1341" s="1"/>
      <c r="H1341" s="1"/>
      <c r="I1341" s="1"/>
      <c r="J1341" s="1"/>
      <c r="K1341" s="1"/>
      <c r="L1341" s="1"/>
      <c r="M1341" s="1"/>
      <c r="N1341" s="1"/>
      <c r="O1341" s="1"/>
      <c r="P1341" s="1"/>
      <c r="Q1341" s="1"/>
      <c r="R1341" s="1"/>
      <c r="S1341" s="1"/>
    </row>
    <row r="1342" spans="1:19" ht="33.75" customHeight="1">
      <c r="A1342" s="1" t="s">
        <v>3806</v>
      </c>
      <c r="B1342" s="1" t="s">
        <v>3800</v>
      </c>
      <c r="C1342" s="1">
        <v>20</v>
      </c>
      <c r="D1342" s="4">
        <v>39886.393750000003</v>
      </c>
      <c r="E1342" s="1" t="s">
        <v>54</v>
      </c>
      <c r="F1342" s="1"/>
      <c r="G1342" s="1"/>
      <c r="H1342" s="1"/>
      <c r="I1342" s="1"/>
      <c r="J1342" s="1"/>
      <c r="K1342" s="1"/>
      <c r="L1342" s="1"/>
      <c r="M1342" s="1"/>
      <c r="N1342" s="1"/>
      <c r="O1342" s="1"/>
      <c r="P1342" s="1"/>
      <c r="Q1342" s="1"/>
      <c r="R1342" s="1"/>
      <c r="S1342" s="1"/>
    </row>
    <row r="1343" spans="1:19" ht="33.75" customHeight="1">
      <c r="A1343" s="1" t="s">
        <v>3809</v>
      </c>
      <c r="B1343" s="1" t="s">
        <v>3156</v>
      </c>
      <c r="C1343" s="1">
        <v>18</v>
      </c>
      <c r="D1343" s="4">
        <v>39886.40347222222</v>
      </c>
      <c r="E1343" s="1" t="s">
        <v>14</v>
      </c>
      <c r="F1343" s="1"/>
      <c r="G1343" s="1"/>
      <c r="H1343" s="1"/>
      <c r="I1343" s="1"/>
      <c r="J1343" s="1"/>
      <c r="K1343" s="1"/>
      <c r="L1343" s="1"/>
      <c r="M1343" s="1"/>
      <c r="N1343" s="1"/>
      <c r="O1343" s="1"/>
      <c r="P1343" s="1"/>
      <c r="Q1343" s="1"/>
      <c r="R1343" s="1"/>
      <c r="S1343" s="1"/>
    </row>
    <row r="1344" spans="1:19" ht="33.75" customHeight="1">
      <c r="A1344" s="1" t="s">
        <v>3812</v>
      </c>
      <c r="B1344" s="1" t="s">
        <v>3800</v>
      </c>
      <c r="C1344" s="1">
        <v>20</v>
      </c>
      <c r="D1344" s="4">
        <v>39886.40625</v>
      </c>
      <c r="E1344" s="1" t="s">
        <v>54</v>
      </c>
      <c r="F1344" s="1"/>
      <c r="G1344" s="1"/>
      <c r="H1344" s="1"/>
      <c r="I1344" s="1"/>
      <c r="J1344" s="1"/>
      <c r="K1344" s="1"/>
      <c r="L1344" s="1"/>
      <c r="M1344" s="1"/>
      <c r="N1344" s="1"/>
      <c r="O1344" s="1"/>
      <c r="P1344" s="1"/>
      <c r="Q1344" s="1"/>
      <c r="R1344" s="1"/>
      <c r="S1344" s="1"/>
    </row>
    <row r="1345" spans="1:19" ht="33.75" customHeight="1">
      <c r="A1345" s="1" t="s">
        <v>3815</v>
      </c>
      <c r="B1345" s="1" t="s">
        <v>3800</v>
      </c>
      <c r="C1345" s="1">
        <v>20</v>
      </c>
      <c r="D1345" s="4">
        <v>39886.4375</v>
      </c>
      <c r="E1345" s="1" t="s">
        <v>2893</v>
      </c>
      <c r="F1345" s="1"/>
      <c r="G1345" s="1"/>
      <c r="H1345" s="1"/>
      <c r="I1345" s="1"/>
      <c r="J1345" s="1"/>
      <c r="K1345" s="1"/>
      <c r="L1345" s="1"/>
      <c r="M1345" s="1"/>
      <c r="N1345" s="1"/>
      <c r="O1345" s="1"/>
      <c r="P1345" s="1"/>
      <c r="Q1345" s="1"/>
      <c r="R1345" s="1"/>
      <c r="S1345" s="1"/>
    </row>
    <row r="1346" spans="1:19" ht="33.75" customHeight="1">
      <c r="A1346" s="1" t="s">
        <v>3818</v>
      </c>
      <c r="B1346" s="1" t="s">
        <v>3800</v>
      </c>
      <c r="C1346" s="1">
        <v>20</v>
      </c>
      <c r="D1346" s="4">
        <v>39886.444444444445</v>
      </c>
      <c r="E1346" s="1" t="s">
        <v>772</v>
      </c>
      <c r="F1346" s="1"/>
      <c r="G1346" s="1"/>
      <c r="H1346" s="1"/>
      <c r="I1346" s="1"/>
      <c r="J1346" s="1"/>
      <c r="K1346" s="1"/>
      <c r="L1346" s="1"/>
      <c r="M1346" s="1"/>
      <c r="N1346" s="1"/>
      <c r="O1346" s="1"/>
      <c r="P1346" s="1"/>
      <c r="Q1346" s="1"/>
      <c r="R1346" s="1"/>
      <c r="S1346" s="1"/>
    </row>
    <row r="1347" spans="1:19" ht="33.75" customHeight="1">
      <c r="A1347" s="1" t="s">
        <v>3820</v>
      </c>
      <c r="B1347" s="1" t="s">
        <v>3800</v>
      </c>
      <c r="C1347" s="1">
        <v>20</v>
      </c>
      <c r="D1347" s="4">
        <v>39886.509027777778</v>
      </c>
      <c r="E1347" s="1" t="s">
        <v>84</v>
      </c>
      <c r="F1347" s="1"/>
      <c r="G1347" s="1"/>
      <c r="H1347" s="1"/>
      <c r="I1347" s="1"/>
      <c r="J1347" s="1"/>
      <c r="K1347" s="1"/>
      <c r="L1347" s="1"/>
      <c r="M1347" s="1"/>
      <c r="N1347" s="1"/>
      <c r="O1347" s="1"/>
      <c r="P1347" s="1"/>
      <c r="Q1347" s="1"/>
      <c r="R1347" s="1"/>
      <c r="S1347" s="1"/>
    </row>
    <row r="1348" spans="1:19" ht="33.75" customHeight="1">
      <c r="A1348" s="1" t="s">
        <v>3823</v>
      </c>
      <c r="B1348" s="1" t="s">
        <v>3800</v>
      </c>
      <c r="C1348" s="1">
        <v>20</v>
      </c>
      <c r="D1348" s="4">
        <v>39886.525694444441</v>
      </c>
      <c r="E1348" s="1" t="s">
        <v>2242</v>
      </c>
      <c r="F1348" s="1"/>
      <c r="G1348" s="1"/>
      <c r="H1348" s="1"/>
      <c r="I1348" s="1"/>
      <c r="J1348" s="1"/>
      <c r="K1348" s="1"/>
      <c r="L1348" s="1"/>
      <c r="M1348" s="1"/>
      <c r="N1348" s="1"/>
      <c r="O1348" s="1"/>
      <c r="P1348" s="1"/>
      <c r="Q1348" s="1"/>
      <c r="R1348" s="1"/>
      <c r="S1348" s="1"/>
    </row>
    <row r="1349" spans="1:19" ht="33.75" customHeight="1">
      <c r="A1349" s="1" t="s">
        <v>3825</v>
      </c>
      <c r="B1349" s="1" t="s">
        <v>3156</v>
      </c>
      <c r="C1349" s="1">
        <v>18</v>
      </c>
      <c r="D1349" s="4">
        <v>39886.539583333331</v>
      </c>
      <c r="E1349" s="1" t="s">
        <v>14</v>
      </c>
      <c r="F1349" s="1"/>
      <c r="G1349" s="1"/>
      <c r="H1349" s="1"/>
      <c r="I1349" s="1"/>
      <c r="J1349" s="1"/>
      <c r="K1349" s="1"/>
      <c r="L1349" s="1"/>
      <c r="M1349" s="1"/>
      <c r="N1349" s="1"/>
      <c r="O1349" s="1"/>
      <c r="P1349" s="1"/>
      <c r="Q1349" s="1"/>
      <c r="R1349" s="1"/>
      <c r="S1349" s="1"/>
    </row>
    <row r="1350" spans="1:19" ht="33.75" customHeight="1">
      <c r="A1350" s="1" t="s">
        <v>3828</v>
      </c>
      <c r="B1350" s="1" t="s">
        <v>3156</v>
      </c>
      <c r="C1350" s="1">
        <v>18</v>
      </c>
      <c r="D1350" s="4">
        <v>39886.561111111114</v>
      </c>
      <c r="E1350" s="1" t="s">
        <v>14</v>
      </c>
      <c r="F1350" s="1"/>
      <c r="G1350" s="1"/>
      <c r="H1350" s="1"/>
      <c r="I1350" s="1"/>
      <c r="J1350" s="1"/>
      <c r="K1350" s="1"/>
      <c r="L1350" s="1"/>
      <c r="M1350" s="1"/>
      <c r="N1350" s="1"/>
      <c r="O1350" s="1"/>
      <c r="P1350" s="1"/>
      <c r="Q1350" s="1"/>
      <c r="R1350" s="1"/>
      <c r="S1350" s="1"/>
    </row>
    <row r="1351" spans="1:19" ht="33.75" customHeight="1">
      <c r="A1351" s="1" t="s">
        <v>3831</v>
      </c>
      <c r="B1351" s="1" t="s">
        <v>3255</v>
      </c>
      <c r="C1351" s="1">
        <v>19</v>
      </c>
      <c r="D1351" s="4">
        <v>39886.561805555553</v>
      </c>
      <c r="E1351" s="1" t="s">
        <v>3832</v>
      </c>
      <c r="F1351" s="1"/>
      <c r="G1351" s="1"/>
      <c r="H1351" s="1"/>
      <c r="I1351" s="1"/>
      <c r="J1351" s="1"/>
      <c r="K1351" s="1"/>
      <c r="L1351" s="1"/>
      <c r="M1351" s="1"/>
      <c r="N1351" s="1"/>
      <c r="O1351" s="1"/>
      <c r="P1351" s="1"/>
      <c r="Q1351" s="1"/>
      <c r="R1351" s="1"/>
      <c r="S1351" s="1"/>
    </row>
    <row r="1352" spans="1:19" ht="33.75" customHeight="1">
      <c r="A1352" s="1" t="s">
        <v>3835</v>
      </c>
      <c r="B1352" s="1" t="s">
        <v>3255</v>
      </c>
      <c r="C1352" s="1">
        <v>19</v>
      </c>
      <c r="D1352" s="4">
        <v>39886.571527777778</v>
      </c>
      <c r="E1352" s="1" t="s">
        <v>14</v>
      </c>
      <c r="F1352" s="1"/>
      <c r="G1352" s="1"/>
      <c r="H1352" s="1"/>
      <c r="I1352" s="1"/>
      <c r="J1352" s="1"/>
      <c r="K1352" s="1"/>
      <c r="L1352" s="1"/>
      <c r="M1352" s="1"/>
      <c r="N1352" s="1"/>
      <c r="O1352" s="1"/>
      <c r="P1352" s="1"/>
      <c r="Q1352" s="1"/>
      <c r="R1352" s="1"/>
      <c r="S1352" s="1"/>
    </row>
    <row r="1353" spans="1:19" ht="33.75" customHeight="1">
      <c r="A1353" s="1" t="s">
        <v>3837</v>
      </c>
      <c r="B1353" s="1" t="s">
        <v>3255</v>
      </c>
      <c r="C1353" s="1">
        <v>19</v>
      </c>
      <c r="D1353" s="4">
        <v>39886.572222222225</v>
      </c>
      <c r="E1353" s="1" t="s">
        <v>3838</v>
      </c>
      <c r="F1353" s="1"/>
      <c r="G1353" s="1"/>
      <c r="H1353" s="1"/>
      <c r="I1353" s="1"/>
      <c r="J1353" s="1"/>
      <c r="K1353" s="1"/>
      <c r="L1353" s="1"/>
      <c r="M1353" s="1"/>
      <c r="N1353" s="1"/>
      <c r="O1353" s="1"/>
      <c r="P1353" s="1"/>
      <c r="Q1353" s="1"/>
      <c r="R1353" s="1"/>
      <c r="S1353" s="1"/>
    </row>
    <row r="1354" spans="1:19" ht="33.75" customHeight="1">
      <c r="A1354" s="1" t="s">
        <v>3841</v>
      </c>
      <c r="B1354" s="1" t="s">
        <v>3800</v>
      </c>
      <c r="C1354" s="1">
        <v>20</v>
      </c>
      <c r="D1354" s="4">
        <v>39886.600694444445</v>
      </c>
      <c r="E1354" s="1" t="s">
        <v>54</v>
      </c>
      <c r="F1354" s="1"/>
      <c r="G1354" s="1"/>
      <c r="H1354" s="1"/>
      <c r="I1354" s="1"/>
      <c r="J1354" s="1"/>
      <c r="K1354" s="1"/>
      <c r="L1354" s="1"/>
      <c r="M1354" s="1"/>
      <c r="N1354" s="1"/>
      <c r="O1354" s="1"/>
      <c r="P1354" s="1"/>
      <c r="Q1354" s="1"/>
      <c r="R1354" s="1"/>
      <c r="S1354" s="1"/>
    </row>
    <row r="1355" spans="1:19" ht="33.75" customHeight="1">
      <c r="A1355" s="1" t="s">
        <v>12</v>
      </c>
      <c r="B1355" s="1" t="s">
        <v>3800</v>
      </c>
      <c r="C1355" s="1">
        <v>20</v>
      </c>
      <c r="D1355" s="4">
        <v>39886.691203703704</v>
      </c>
      <c r="E1355" s="1" t="s">
        <v>175</v>
      </c>
      <c r="F1355" s="1"/>
      <c r="G1355" s="1"/>
      <c r="H1355" s="1"/>
      <c r="I1355" s="1"/>
      <c r="J1355" s="1"/>
      <c r="K1355" s="1"/>
      <c r="L1355" s="1"/>
      <c r="M1355" s="1"/>
      <c r="N1355" s="1"/>
      <c r="O1355" s="1"/>
      <c r="P1355" s="1"/>
      <c r="Q1355" s="1"/>
      <c r="R1355" s="1"/>
      <c r="S1355" s="1"/>
    </row>
    <row r="1356" spans="1:19" ht="33.75" customHeight="1">
      <c r="A1356" s="1" t="s">
        <v>3846</v>
      </c>
      <c r="B1356" s="1" t="s">
        <v>3156</v>
      </c>
      <c r="C1356" s="1">
        <v>18</v>
      </c>
      <c r="D1356" s="4">
        <v>39886.711805555555</v>
      </c>
      <c r="E1356" s="1" t="s">
        <v>320</v>
      </c>
      <c r="F1356" s="1"/>
      <c r="G1356" s="1"/>
      <c r="H1356" s="1"/>
      <c r="I1356" s="1"/>
      <c r="J1356" s="1"/>
      <c r="K1356" s="1"/>
      <c r="L1356" s="1"/>
      <c r="M1356" s="1"/>
      <c r="N1356" s="1"/>
      <c r="O1356" s="1"/>
      <c r="P1356" s="1"/>
      <c r="Q1356" s="1"/>
      <c r="R1356" s="1"/>
      <c r="S1356" s="1"/>
    </row>
    <row r="1357" spans="1:19" ht="33.75" customHeight="1">
      <c r="A1357" s="1" t="s">
        <v>3849</v>
      </c>
      <c r="B1357" s="1" t="s">
        <v>3156</v>
      </c>
      <c r="C1357" s="1">
        <v>18</v>
      </c>
      <c r="D1357" s="4">
        <v>39886.712500000001</v>
      </c>
      <c r="E1357" s="1" t="s">
        <v>320</v>
      </c>
      <c r="F1357" s="1"/>
      <c r="G1357" s="1"/>
      <c r="H1357" s="1"/>
      <c r="I1357" s="1"/>
      <c r="J1357" s="1"/>
      <c r="K1357" s="1"/>
      <c r="L1357" s="1"/>
      <c r="M1357" s="1"/>
      <c r="N1357" s="1"/>
      <c r="O1357" s="1"/>
      <c r="P1357" s="1"/>
      <c r="Q1357" s="1"/>
      <c r="R1357" s="1"/>
      <c r="S1357" s="1"/>
    </row>
    <row r="1358" spans="1:19" ht="33.75" customHeight="1">
      <c r="A1358" s="1" t="s">
        <v>3851</v>
      </c>
      <c r="B1358" s="1" t="s">
        <v>3156</v>
      </c>
      <c r="C1358" s="1">
        <v>18</v>
      </c>
      <c r="D1358" s="4">
        <v>39886.803472222222</v>
      </c>
      <c r="E1358" s="1" t="s">
        <v>196</v>
      </c>
      <c r="F1358" s="1"/>
      <c r="G1358" s="1"/>
      <c r="H1358" s="1"/>
      <c r="I1358" s="1"/>
      <c r="J1358" s="1"/>
      <c r="K1358" s="1"/>
      <c r="L1358" s="1"/>
      <c r="M1358" s="1"/>
      <c r="N1358" s="1"/>
      <c r="O1358" s="1"/>
      <c r="P1358" s="1"/>
      <c r="Q1358" s="1"/>
      <c r="R1358" s="1"/>
      <c r="S1358" s="1"/>
    </row>
    <row r="1359" spans="1:19" ht="33.75" customHeight="1">
      <c r="A1359" s="1" t="s">
        <v>3855</v>
      </c>
      <c r="B1359" s="1" t="s">
        <v>3156</v>
      </c>
      <c r="C1359" s="1">
        <v>18</v>
      </c>
      <c r="D1359" s="4">
        <v>39888.772222222222</v>
      </c>
      <c r="E1359" s="1" t="s">
        <v>1528</v>
      </c>
      <c r="F1359" s="1"/>
      <c r="G1359" s="1"/>
      <c r="H1359" s="1"/>
      <c r="I1359" s="1"/>
      <c r="J1359" s="1"/>
      <c r="K1359" s="1"/>
      <c r="L1359" s="1"/>
      <c r="M1359" s="1"/>
      <c r="N1359" s="1"/>
      <c r="O1359" s="1"/>
      <c r="P1359" s="1"/>
      <c r="Q1359" s="1"/>
      <c r="R1359" s="1"/>
      <c r="S1359" s="1"/>
    </row>
    <row r="1360" spans="1:19" ht="33.75" customHeight="1">
      <c r="A1360" s="1" t="s">
        <v>3858</v>
      </c>
      <c r="B1360" s="1" t="s">
        <v>3156</v>
      </c>
      <c r="C1360" s="1">
        <v>18</v>
      </c>
      <c r="D1360" s="4">
        <v>39886.956944444442</v>
      </c>
      <c r="E1360" s="1" t="s">
        <v>196</v>
      </c>
      <c r="F1360" s="1"/>
      <c r="G1360" s="1"/>
      <c r="H1360" s="1"/>
      <c r="I1360" s="1"/>
      <c r="J1360" s="1"/>
      <c r="K1360" s="1"/>
      <c r="L1360" s="1"/>
      <c r="M1360" s="1"/>
      <c r="N1360" s="1"/>
      <c r="O1360" s="1"/>
      <c r="P1360" s="1"/>
      <c r="Q1360" s="1"/>
      <c r="R1360" s="1"/>
      <c r="S1360" s="1"/>
    </row>
    <row r="1361" spans="1:19" ht="33.75" customHeight="1">
      <c r="A1361" s="1" t="s">
        <v>3860</v>
      </c>
      <c r="B1361" s="1" t="s">
        <v>3156</v>
      </c>
      <c r="C1361" s="1">
        <v>18</v>
      </c>
      <c r="D1361" s="4">
        <v>39886.981249999997</v>
      </c>
      <c r="E1361" s="1" t="s">
        <v>14</v>
      </c>
      <c r="F1361" s="1"/>
      <c r="G1361" s="1"/>
      <c r="H1361" s="1"/>
      <c r="I1361" s="1"/>
      <c r="J1361" s="1"/>
      <c r="K1361" s="1"/>
      <c r="L1361" s="1"/>
      <c r="M1361" s="1"/>
      <c r="N1361" s="1"/>
      <c r="O1361" s="1"/>
      <c r="P1361" s="1"/>
      <c r="Q1361" s="1"/>
      <c r="R1361" s="1"/>
      <c r="S1361" s="1"/>
    </row>
    <row r="1362" spans="1:19" ht="33.75" customHeight="1">
      <c r="A1362" s="1" t="s">
        <v>3863</v>
      </c>
      <c r="B1362" s="1" t="s">
        <v>3800</v>
      </c>
      <c r="C1362" s="1">
        <v>20</v>
      </c>
      <c r="D1362" s="4">
        <v>39887.222222222219</v>
      </c>
      <c r="E1362" s="1" t="s">
        <v>2242</v>
      </c>
      <c r="F1362" s="1"/>
      <c r="G1362" s="1"/>
      <c r="H1362" s="1"/>
      <c r="I1362" s="1"/>
      <c r="J1362" s="1"/>
      <c r="K1362" s="1"/>
      <c r="L1362" s="1"/>
      <c r="M1362" s="1"/>
      <c r="N1362" s="1"/>
      <c r="O1362" s="1"/>
      <c r="P1362" s="1"/>
      <c r="Q1362" s="1"/>
      <c r="R1362" s="1"/>
      <c r="S1362" s="1"/>
    </row>
    <row r="1363" spans="1:19" ht="33.75" customHeight="1">
      <c r="A1363" s="1" t="s">
        <v>3865</v>
      </c>
      <c r="B1363" s="1" t="s">
        <v>3255</v>
      </c>
      <c r="C1363" s="1">
        <v>19</v>
      </c>
      <c r="D1363" s="4">
        <v>39887.28125</v>
      </c>
      <c r="E1363" s="1" t="s">
        <v>54</v>
      </c>
      <c r="F1363" s="1"/>
      <c r="G1363" s="1"/>
      <c r="H1363" s="1"/>
      <c r="I1363" s="1"/>
      <c r="J1363" s="1"/>
      <c r="K1363" s="1"/>
      <c r="L1363" s="1"/>
      <c r="M1363" s="1"/>
      <c r="N1363" s="1"/>
      <c r="O1363" s="1"/>
      <c r="P1363" s="1"/>
      <c r="Q1363" s="1"/>
      <c r="R1363" s="1"/>
      <c r="S1363" s="1"/>
    </row>
    <row r="1364" spans="1:19" ht="33.75" customHeight="1">
      <c r="A1364" s="1" t="s">
        <v>3868</v>
      </c>
      <c r="B1364" s="1" t="s">
        <v>3255</v>
      </c>
      <c r="C1364" s="1">
        <v>19</v>
      </c>
      <c r="D1364" s="4">
        <v>39887.324305555558</v>
      </c>
      <c r="E1364" s="1" t="s">
        <v>314</v>
      </c>
      <c r="F1364" s="1"/>
      <c r="G1364" s="1"/>
      <c r="H1364" s="1"/>
      <c r="I1364" s="1"/>
      <c r="J1364" s="1"/>
      <c r="K1364" s="1"/>
      <c r="L1364" s="1"/>
      <c r="M1364" s="1"/>
      <c r="N1364" s="1"/>
      <c r="O1364" s="1"/>
      <c r="P1364" s="1"/>
      <c r="Q1364" s="1"/>
      <c r="R1364" s="1"/>
      <c r="S1364" s="1"/>
    </row>
    <row r="1365" spans="1:19" ht="33.75" customHeight="1">
      <c r="A1365" s="1" t="s">
        <v>3871</v>
      </c>
      <c r="B1365" s="1" t="s">
        <v>3800</v>
      </c>
      <c r="C1365" s="1">
        <v>20</v>
      </c>
      <c r="D1365" s="4">
        <v>39887.34097222222</v>
      </c>
      <c r="E1365" s="1" t="s">
        <v>54</v>
      </c>
      <c r="F1365" s="1"/>
      <c r="G1365" s="1"/>
      <c r="H1365" s="1"/>
      <c r="I1365" s="1"/>
      <c r="J1365" s="1"/>
      <c r="K1365" s="1"/>
      <c r="L1365" s="1"/>
      <c r="M1365" s="1"/>
      <c r="N1365" s="1"/>
      <c r="O1365" s="1"/>
      <c r="P1365" s="1"/>
      <c r="Q1365" s="1"/>
      <c r="R1365" s="1"/>
      <c r="S1365" s="1"/>
    </row>
    <row r="1366" spans="1:19" ht="33.75" customHeight="1">
      <c r="A1366" s="1" t="s">
        <v>3874</v>
      </c>
      <c r="B1366" s="1" t="s">
        <v>3156</v>
      </c>
      <c r="C1366" s="1">
        <v>18</v>
      </c>
      <c r="D1366" s="4">
        <v>39887.452777777777</v>
      </c>
      <c r="E1366" s="1" t="s">
        <v>1887</v>
      </c>
      <c r="F1366" s="1"/>
      <c r="G1366" s="1"/>
      <c r="H1366" s="1"/>
      <c r="I1366" s="1"/>
      <c r="J1366" s="1"/>
      <c r="K1366" s="1"/>
      <c r="L1366" s="1"/>
      <c r="M1366" s="1"/>
      <c r="N1366" s="1"/>
      <c r="O1366" s="1"/>
      <c r="P1366" s="1"/>
      <c r="Q1366" s="1"/>
      <c r="R1366" s="1"/>
      <c r="S1366" s="1"/>
    </row>
    <row r="1367" spans="1:19" ht="33.75" customHeight="1">
      <c r="A1367" s="1" t="s">
        <v>3876</v>
      </c>
      <c r="B1367" s="1" t="s">
        <v>3800</v>
      </c>
      <c r="C1367" s="1">
        <v>20</v>
      </c>
      <c r="D1367" s="4">
        <v>39887.460416666669</v>
      </c>
      <c r="E1367" s="1" t="s">
        <v>2242</v>
      </c>
      <c r="F1367" s="1"/>
      <c r="G1367" s="1"/>
      <c r="H1367" s="1"/>
      <c r="I1367" s="1"/>
      <c r="J1367" s="1"/>
      <c r="K1367" s="1"/>
      <c r="L1367" s="1"/>
      <c r="M1367" s="1"/>
      <c r="N1367" s="1"/>
      <c r="O1367" s="1"/>
      <c r="P1367" s="1"/>
      <c r="Q1367" s="1"/>
      <c r="R1367" s="1"/>
      <c r="S1367" s="1"/>
    </row>
    <row r="1368" spans="1:19" ht="33.75" customHeight="1">
      <c r="A1368" s="1" t="s">
        <v>3880</v>
      </c>
      <c r="B1368" s="1" t="s">
        <v>3255</v>
      </c>
      <c r="C1368" s="1">
        <v>19</v>
      </c>
      <c r="D1368" s="4">
        <v>39887.460416666669</v>
      </c>
      <c r="E1368" s="1" t="s">
        <v>14</v>
      </c>
      <c r="F1368" s="1"/>
      <c r="G1368" s="1"/>
      <c r="H1368" s="1"/>
      <c r="I1368" s="1"/>
      <c r="J1368" s="1"/>
      <c r="K1368" s="1"/>
      <c r="L1368" s="1"/>
      <c r="M1368" s="1"/>
      <c r="N1368" s="1"/>
      <c r="O1368" s="1"/>
      <c r="P1368" s="1"/>
      <c r="Q1368" s="1"/>
      <c r="R1368" s="1"/>
      <c r="S1368" s="1"/>
    </row>
    <row r="1369" spans="1:19" ht="33.75" customHeight="1">
      <c r="A1369" s="1" t="s">
        <v>3883</v>
      </c>
      <c r="B1369" s="1" t="s">
        <v>3800</v>
      </c>
      <c r="C1369" s="1">
        <v>20</v>
      </c>
      <c r="D1369" s="4">
        <v>39887.548611111109</v>
      </c>
      <c r="E1369" s="1" t="s">
        <v>772</v>
      </c>
      <c r="F1369" s="1"/>
      <c r="G1369" s="1"/>
      <c r="H1369" s="1"/>
      <c r="I1369" s="1"/>
      <c r="J1369" s="1"/>
      <c r="K1369" s="1"/>
      <c r="L1369" s="1"/>
      <c r="M1369" s="1"/>
      <c r="N1369" s="1"/>
      <c r="O1369" s="1"/>
      <c r="P1369" s="1"/>
      <c r="Q1369" s="1"/>
      <c r="R1369" s="1"/>
      <c r="S1369" s="1"/>
    </row>
    <row r="1370" spans="1:19" ht="33.75" customHeight="1">
      <c r="A1370" s="1" t="s">
        <v>3885</v>
      </c>
      <c r="B1370" s="1" t="s">
        <v>3800</v>
      </c>
      <c r="C1370" s="1">
        <v>20</v>
      </c>
      <c r="D1370" s="4">
        <v>39887.584722222222</v>
      </c>
      <c r="E1370" s="1" t="s">
        <v>2893</v>
      </c>
      <c r="F1370" s="1"/>
      <c r="G1370" s="1"/>
      <c r="H1370" s="1"/>
      <c r="I1370" s="1"/>
      <c r="J1370" s="1"/>
      <c r="K1370" s="1"/>
      <c r="L1370" s="1"/>
      <c r="M1370" s="1"/>
      <c r="N1370" s="1"/>
      <c r="O1370" s="1"/>
      <c r="P1370" s="1"/>
      <c r="Q1370" s="1"/>
      <c r="R1370" s="1"/>
      <c r="S1370" s="1"/>
    </row>
    <row r="1371" spans="1:19" ht="33.75" customHeight="1">
      <c r="A1371" s="1" t="s">
        <v>3888</v>
      </c>
      <c r="B1371" s="1" t="s">
        <v>3800</v>
      </c>
      <c r="C1371" s="1">
        <v>20</v>
      </c>
      <c r="D1371" s="4">
        <v>39887.675694444442</v>
      </c>
      <c r="E1371" s="1" t="s">
        <v>54</v>
      </c>
      <c r="F1371" s="1"/>
      <c r="G1371" s="1"/>
      <c r="H1371" s="1"/>
      <c r="I1371" s="1"/>
      <c r="J1371" s="1"/>
      <c r="K1371" s="1"/>
      <c r="L1371" s="1"/>
      <c r="M1371" s="1"/>
      <c r="N1371" s="1"/>
      <c r="O1371" s="1"/>
      <c r="P1371" s="1"/>
      <c r="Q1371" s="1"/>
      <c r="R1371" s="1"/>
      <c r="S1371" s="1"/>
    </row>
    <row r="1372" spans="1:19" ht="33.75" customHeight="1">
      <c r="A1372" s="1" t="s">
        <v>3890</v>
      </c>
      <c r="B1372" s="1" t="s">
        <v>3800</v>
      </c>
      <c r="C1372" s="1">
        <v>20</v>
      </c>
      <c r="D1372" s="4">
        <v>39887.699305555558</v>
      </c>
      <c r="E1372" s="1" t="s">
        <v>2893</v>
      </c>
      <c r="F1372" s="1"/>
      <c r="G1372" s="1"/>
      <c r="H1372" s="1"/>
      <c r="I1372" s="1"/>
      <c r="J1372" s="1"/>
      <c r="K1372" s="1"/>
      <c r="L1372" s="1"/>
      <c r="M1372" s="1"/>
      <c r="N1372" s="1"/>
      <c r="O1372" s="1"/>
      <c r="P1372" s="1"/>
      <c r="Q1372" s="1"/>
      <c r="R1372" s="1"/>
      <c r="S1372" s="1"/>
    </row>
    <row r="1373" spans="1:19" ht="33.75" customHeight="1">
      <c r="A1373" s="1" t="s">
        <v>3892</v>
      </c>
      <c r="B1373" s="1" t="s">
        <v>3156</v>
      </c>
      <c r="C1373" s="1">
        <v>18</v>
      </c>
      <c r="D1373" s="4">
        <v>39887.712500000001</v>
      </c>
      <c r="E1373" s="1" t="s">
        <v>196</v>
      </c>
      <c r="F1373" s="1"/>
      <c r="G1373" s="1"/>
      <c r="H1373" s="1"/>
      <c r="I1373" s="1"/>
      <c r="J1373" s="1"/>
      <c r="K1373" s="1"/>
      <c r="L1373" s="1"/>
      <c r="M1373" s="1"/>
      <c r="N1373" s="1"/>
      <c r="O1373" s="1"/>
      <c r="P1373" s="1"/>
      <c r="Q1373" s="1"/>
      <c r="R1373" s="1"/>
      <c r="S1373" s="1"/>
    </row>
    <row r="1374" spans="1:19" ht="33.75" customHeight="1">
      <c r="A1374" s="1" t="s">
        <v>3895</v>
      </c>
      <c r="B1374" s="1" t="s">
        <v>3156</v>
      </c>
      <c r="C1374" s="1">
        <v>18</v>
      </c>
      <c r="D1374" s="4">
        <v>39887.772916666669</v>
      </c>
      <c r="E1374" s="1" t="s">
        <v>196</v>
      </c>
      <c r="F1374" s="1"/>
      <c r="G1374" s="1"/>
      <c r="H1374" s="1"/>
      <c r="I1374" s="1"/>
      <c r="J1374" s="1"/>
      <c r="K1374" s="1"/>
      <c r="L1374" s="1"/>
      <c r="M1374" s="1"/>
      <c r="N1374" s="1"/>
      <c r="O1374" s="1"/>
      <c r="P1374" s="1"/>
      <c r="Q1374" s="1"/>
      <c r="R1374" s="1"/>
      <c r="S1374" s="1"/>
    </row>
    <row r="1375" spans="1:19" ht="33.75" customHeight="1">
      <c r="A1375" s="1" t="s">
        <v>3897</v>
      </c>
      <c r="B1375" s="1" t="s">
        <v>3255</v>
      </c>
      <c r="C1375" s="1">
        <v>19</v>
      </c>
      <c r="D1375" s="4">
        <v>39887.835416666669</v>
      </c>
      <c r="E1375" s="1" t="s">
        <v>84</v>
      </c>
      <c r="F1375" s="1"/>
      <c r="G1375" s="1"/>
      <c r="H1375" s="1"/>
      <c r="I1375" s="1"/>
      <c r="J1375" s="1"/>
      <c r="K1375" s="1"/>
      <c r="L1375" s="1"/>
      <c r="M1375" s="1"/>
      <c r="N1375" s="1"/>
      <c r="O1375" s="1"/>
      <c r="P1375" s="1"/>
      <c r="Q1375" s="1"/>
      <c r="R1375" s="1"/>
      <c r="S1375" s="1"/>
    </row>
    <row r="1376" spans="1:19" ht="33.75" customHeight="1">
      <c r="A1376" s="1" t="s">
        <v>3900</v>
      </c>
      <c r="B1376" s="1" t="s">
        <v>3255</v>
      </c>
      <c r="C1376" s="1">
        <v>19</v>
      </c>
      <c r="D1376" s="4">
        <v>39887.969444444447</v>
      </c>
      <c r="E1376" s="1" t="s">
        <v>314</v>
      </c>
      <c r="F1376" s="1"/>
      <c r="G1376" s="1"/>
      <c r="H1376" s="1"/>
      <c r="I1376" s="1"/>
      <c r="J1376" s="1"/>
      <c r="K1376" s="1"/>
      <c r="L1376" s="1"/>
      <c r="M1376" s="1"/>
      <c r="N1376" s="1"/>
      <c r="O1376" s="1"/>
      <c r="P1376" s="1"/>
      <c r="Q1376" s="1"/>
      <c r="R1376" s="1"/>
      <c r="S1376" s="1"/>
    </row>
    <row r="1377" spans="1:19" ht="33.75" customHeight="1">
      <c r="A1377" s="1" t="s">
        <v>3903</v>
      </c>
      <c r="B1377" s="1" t="s">
        <v>3255</v>
      </c>
      <c r="C1377" s="1">
        <v>19</v>
      </c>
      <c r="D1377" s="4">
        <v>39887.974999999999</v>
      </c>
      <c r="E1377" s="1" t="s">
        <v>14</v>
      </c>
      <c r="F1377" s="1"/>
      <c r="G1377" s="1"/>
      <c r="H1377" s="1"/>
      <c r="I1377" s="1"/>
      <c r="J1377" s="1"/>
      <c r="K1377" s="1"/>
      <c r="L1377" s="1"/>
      <c r="M1377" s="1"/>
      <c r="N1377" s="1"/>
      <c r="O1377" s="1"/>
      <c r="P1377" s="1"/>
      <c r="Q1377" s="1"/>
      <c r="R1377" s="1"/>
      <c r="S1377" s="1"/>
    </row>
    <row r="1378" spans="1:19" ht="33.75" customHeight="1">
      <c r="A1378" s="1" t="s">
        <v>3906</v>
      </c>
      <c r="B1378" s="1" t="s">
        <v>3156</v>
      </c>
      <c r="C1378" s="1">
        <v>18</v>
      </c>
      <c r="D1378" s="4">
        <v>39887.984722222223</v>
      </c>
      <c r="E1378" s="1" t="s">
        <v>320</v>
      </c>
      <c r="F1378" s="1"/>
      <c r="G1378" s="1"/>
      <c r="H1378" s="1"/>
      <c r="I1378" s="1"/>
      <c r="J1378" s="1"/>
      <c r="K1378" s="1"/>
      <c r="L1378" s="1"/>
      <c r="M1378" s="1"/>
      <c r="N1378" s="1"/>
      <c r="O1378" s="1"/>
      <c r="P1378" s="1"/>
      <c r="Q1378" s="1"/>
      <c r="R1378" s="1"/>
      <c r="S1378" s="1"/>
    </row>
    <row r="1379" spans="1:19" ht="33.75" customHeight="1">
      <c r="A1379" s="1" t="s">
        <v>3908</v>
      </c>
      <c r="B1379" s="1" t="s">
        <v>3156</v>
      </c>
      <c r="C1379" s="1">
        <v>18</v>
      </c>
      <c r="D1379" s="4">
        <v>39887.997916666667</v>
      </c>
      <c r="E1379" s="1" t="s">
        <v>314</v>
      </c>
      <c r="F1379" s="1"/>
      <c r="G1379" s="1"/>
      <c r="H1379" s="1"/>
      <c r="I1379" s="1"/>
      <c r="J1379" s="1"/>
      <c r="K1379" s="1"/>
      <c r="L1379" s="1"/>
      <c r="M1379" s="1"/>
      <c r="N1379" s="1"/>
      <c r="O1379" s="1"/>
      <c r="P1379" s="1"/>
      <c r="Q1379" s="1"/>
      <c r="R1379" s="1"/>
      <c r="S1379" s="1"/>
    </row>
    <row r="1380" spans="1:19" ht="33.75" customHeight="1">
      <c r="A1380" s="1" t="s">
        <v>3911</v>
      </c>
      <c r="B1380" s="1" t="s">
        <v>3156</v>
      </c>
      <c r="C1380" s="1">
        <v>18</v>
      </c>
      <c r="D1380" s="4">
        <v>39888.133333333331</v>
      </c>
      <c r="E1380" s="1" t="s">
        <v>772</v>
      </c>
      <c r="F1380" s="1"/>
      <c r="G1380" s="1"/>
      <c r="H1380" s="1"/>
      <c r="I1380" s="1"/>
      <c r="J1380" s="1"/>
      <c r="K1380" s="1"/>
      <c r="L1380" s="1"/>
      <c r="M1380" s="1"/>
      <c r="N1380" s="1"/>
      <c r="O1380" s="1"/>
      <c r="P1380" s="1"/>
      <c r="Q1380" s="1"/>
      <c r="R1380" s="1"/>
      <c r="S1380" s="1"/>
    </row>
    <row r="1381" spans="1:19" ht="33.75" customHeight="1">
      <c r="A1381" s="1" t="s">
        <v>3913</v>
      </c>
      <c r="B1381" s="1" t="s">
        <v>3156</v>
      </c>
      <c r="C1381" s="1">
        <v>18</v>
      </c>
      <c r="D1381" s="4">
        <v>39888.138194444444</v>
      </c>
      <c r="E1381" s="1" t="s">
        <v>772</v>
      </c>
      <c r="F1381" s="1"/>
      <c r="G1381" s="1"/>
      <c r="H1381" s="1"/>
      <c r="I1381" s="1"/>
      <c r="J1381" s="1"/>
      <c r="K1381" s="1"/>
      <c r="L1381" s="1"/>
      <c r="M1381" s="1"/>
      <c r="N1381" s="1"/>
      <c r="O1381" s="1"/>
      <c r="P1381" s="1"/>
      <c r="Q1381" s="1"/>
      <c r="R1381" s="1"/>
      <c r="S1381" s="1"/>
    </row>
    <row r="1382" spans="1:19" ht="33.75" customHeight="1">
      <c r="A1382" s="1" t="s">
        <v>3916</v>
      </c>
      <c r="B1382" s="1" t="s">
        <v>3156</v>
      </c>
      <c r="C1382" s="1">
        <v>18</v>
      </c>
      <c r="D1382" s="4">
        <v>39888.242361111108</v>
      </c>
      <c r="E1382" s="1" t="s">
        <v>772</v>
      </c>
      <c r="F1382" s="1"/>
      <c r="G1382" s="1"/>
      <c r="H1382" s="1"/>
      <c r="I1382" s="1"/>
      <c r="J1382" s="1"/>
      <c r="K1382" s="1"/>
      <c r="L1382" s="1"/>
      <c r="M1382" s="1"/>
      <c r="N1382" s="1"/>
      <c r="O1382" s="1"/>
      <c r="P1382" s="1"/>
      <c r="Q1382" s="1"/>
      <c r="R1382" s="1"/>
      <c r="S1382" s="1"/>
    </row>
    <row r="1383" spans="1:19" ht="33.75" customHeight="1">
      <c r="A1383" s="1" t="s">
        <v>3918</v>
      </c>
      <c r="B1383" s="1" t="s">
        <v>3156</v>
      </c>
      <c r="C1383" s="1">
        <v>18</v>
      </c>
      <c r="D1383" s="4">
        <v>39888.32916666667</v>
      </c>
      <c r="E1383" s="1" t="s">
        <v>14</v>
      </c>
      <c r="F1383" s="1"/>
      <c r="G1383" s="1"/>
      <c r="H1383" s="1"/>
      <c r="I1383" s="1"/>
      <c r="J1383" s="1"/>
      <c r="K1383" s="1"/>
      <c r="L1383" s="1"/>
      <c r="M1383" s="1"/>
      <c r="N1383" s="1"/>
      <c r="O1383" s="1"/>
      <c r="P1383" s="1"/>
      <c r="Q1383" s="1"/>
      <c r="R1383" s="1"/>
      <c r="S1383" s="1"/>
    </row>
    <row r="1384" spans="1:19" ht="33.75" customHeight="1">
      <c r="A1384" s="1" t="s">
        <v>3921</v>
      </c>
      <c r="B1384" s="1" t="s">
        <v>3800</v>
      </c>
      <c r="C1384" s="1">
        <v>20</v>
      </c>
      <c r="D1384" s="4">
        <v>39888.331944444442</v>
      </c>
      <c r="E1384" s="1" t="s">
        <v>2893</v>
      </c>
      <c r="F1384" s="1"/>
      <c r="G1384" s="1"/>
      <c r="H1384" s="1"/>
      <c r="I1384" s="1"/>
      <c r="J1384" s="1"/>
      <c r="K1384" s="1"/>
      <c r="L1384" s="1"/>
      <c r="M1384" s="1"/>
      <c r="N1384" s="1"/>
      <c r="O1384" s="1"/>
      <c r="P1384" s="1"/>
      <c r="Q1384" s="1"/>
      <c r="R1384" s="1"/>
      <c r="S1384" s="1"/>
    </row>
    <row r="1385" spans="1:19" ht="33.75" customHeight="1">
      <c r="A1385" s="1" t="s">
        <v>3923</v>
      </c>
      <c r="B1385" s="1" t="s">
        <v>3255</v>
      </c>
      <c r="C1385" s="1">
        <v>19</v>
      </c>
      <c r="D1385" s="4">
        <v>39888.368055555555</v>
      </c>
      <c r="E1385" s="1" t="s">
        <v>314</v>
      </c>
      <c r="F1385" s="1"/>
      <c r="G1385" s="1"/>
      <c r="H1385" s="1"/>
      <c r="I1385" s="1"/>
      <c r="J1385" s="1"/>
      <c r="K1385" s="1"/>
      <c r="L1385" s="1"/>
      <c r="M1385" s="1"/>
      <c r="N1385" s="1"/>
      <c r="O1385" s="1"/>
      <c r="P1385" s="1"/>
      <c r="Q1385" s="1"/>
      <c r="R1385" s="1"/>
      <c r="S1385" s="1"/>
    </row>
    <row r="1386" spans="1:19" ht="33.75" customHeight="1">
      <c r="A1386" s="1" t="s">
        <v>3766</v>
      </c>
      <c r="B1386" s="1" t="s">
        <v>3156</v>
      </c>
      <c r="C1386" s="1">
        <v>18</v>
      </c>
      <c r="D1386" s="4">
        <v>39888.48333333333</v>
      </c>
      <c r="E1386" s="1" t="s">
        <v>14</v>
      </c>
      <c r="F1386" s="1"/>
      <c r="G1386" s="1"/>
      <c r="H1386" s="1"/>
      <c r="I1386" s="1"/>
      <c r="J1386" s="1"/>
      <c r="K1386" s="1"/>
      <c r="L1386" s="1"/>
      <c r="M1386" s="1"/>
      <c r="N1386" s="1"/>
      <c r="O1386" s="1"/>
      <c r="P1386" s="1"/>
      <c r="Q1386" s="1"/>
      <c r="R1386" s="1"/>
      <c r="S1386" s="1"/>
    </row>
    <row r="1387" spans="1:19" ht="33.75" customHeight="1">
      <c r="A1387" s="1" t="s">
        <v>12</v>
      </c>
      <c r="B1387" s="1" t="s">
        <v>3929</v>
      </c>
      <c r="C1387" s="1">
        <v>21</v>
      </c>
      <c r="D1387" s="4">
        <v>39888.511481481481</v>
      </c>
      <c r="E1387" s="1" t="s">
        <v>14</v>
      </c>
      <c r="F1387" s="1"/>
      <c r="G1387" s="1"/>
      <c r="H1387" s="1"/>
      <c r="I1387" s="1"/>
      <c r="J1387" s="1"/>
      <c r="K1387" s="1"/>
      <c r="L1387" s="1"/>
      <c r="M1387" s="1"/>
      <c r="N1387" s="1"/>
      <c r="O1387" s="1"/>
      <c r="P1387" s="1"/>
      <c r="Q1387" s="1"/>
      <c r="R1387" s="1"/>
      <c r="S1387" s="1"/>
    </row>
    <row r="1388" spans="1:19" ht="33.75" customHeight="1">
      <c r="A1388" s="1" t="s">
        <v>3931</v>
      </c>
      <c r="B1388" s="1" t="s">
        <v>3156</v>
      </c>
      <c r="C1388" s="1">
        <v>18</v>
      </c>
      <c r="D1388" s="4">
        <v>39888.54791666667</v>
      </c>
      <c r="E1388" s="1" t="s">
        <v>14</v>
      </c>
      <c r="F1388" s="1"/>
      <c r="G1388" s="1"/>
      <c r="H1388" s="1"/>
      <c r="I1388" s="1"/>
      <c r="J1388" s="1"/>
      <c r="K1388" s="1"/>
      <c r="L1388" s="1"/>
      <c r="M1388" s="1"/>
      <c r="N1388" s="1"/>
      <c r="O1388" s="1"/>
      <c r="P1388" s="1"/>
      <c r="Q1388" s="1"/>
      <c r="R1388" s="1"/>
      <c r="S1388" s="1"/>
    </row>
    <row r="1389" spans="1:19" ht="33.75" customHeight="1">
      <c r="A1389" s="1" t="s">
        <v>3933</v>
      </c>
      <c r="B1389" s="1" t="s">
        <v>3156</v>
      </c>
      <c r="C1389" s="1">
        <v>18</v>
      </c>
      <c r="D1389" s="4">
        <v>39888.553472222222</v>
      </c>
      <c r="E1389" s="1" t="s">
        <v>14</v>
      </c>
      <c r="F1389" s="1"/>
      <c r="G1389" s="1"/>
      <c r="H1389" s="1"/>
      <c r="I1389" s="1"/>
      <c r="J1389" s="1"/>
      <c r="K1389" s="1"/>
      <c r="L1389" s="1"/>
      <c r="M1389" s="1"/>
      <c r="N1389" s="1"/>
      <c r="O1389" s="1"/>
      <c r="P1389" s="1"/>
      <c r="Q1389" s="1"/>
      <c r="R1389" s="1"/>
      <c r="S1389" s="1"/>
    </row>
    <row r="1390" spans="1:19" ht="33.75" customHeight="1">
      <c r="A1390" s="1" t="s">
        <v>3935</v>
      </c>
      <c r="B1390" s="1" t="s">
        <v>3800</v>
      </c>
      <c r="C1390" s="1">
        <v>20</v>
      </c>
      <c r="D1390" s="4">
        <v>39888.595138888886</v>
      </c>
      <c r="E1390" s="1" t="s">
        <v>381</v>
      </c>
      <c r="F1390" s="1"/>
      <c r="G1390" s="1"/>
      <c r="H1390" s="1"/>
      <c r="I1390" s="1"/>
      <c r="J1390" s="1"/>
      <c r="K1390" s="1"/>
      <c r="L1390" s="1"/>
      <c r="M1390" s="1"/>
      <c r="N1390" s="1"/>
      <c r="O1390" s="1"/>
      <c r="P1390" s="1"/>
      <c r="Q1390" s="1"/>
      <c r="R1390" s="1"/>
      <c r="S1390" s="1"/>
    </row>
    <row r="1391" spans="1:19" ht="33.75" customHeight="1">
      <c r="A1391" s="1" t="s">
        <v>3937</v>
      </c>
      <c r="B1391" s="1" t="s">
        <v>3800</v>
      </c>
      <c r="C1391" s="1">
        <v>20</v>
      </c>
      <c r="D1391" s="4">
        <v>39888.65347222222</v>
      </c>
      <c r="E1391" s="1" t="s">
        <v>2893</v>
      </c>
      <c r="F1391" s="1"/>
      <c r="G1391" s="1"/>
      <c r="H1391" s="1"/>
      <c r="I1391" s="1"/>
      <c r="J1391" s="1"/>
      <c r="K1391" s="1"/>
      <c r="L1391" s="1"/>
      <c r="M1391" s="1"/>
      <c r="N1391" s="1"/>
      <c r="O1391" s="1"/>
      <c r="P1391" s="1"/>
      <c r="Q1391" s="1"/>
      <c r="R1391" s="1"/>
      <c r="S1391" s="1"/>
    </row>
    <row r="1392" spans="1:19" ht="33.75" customHeight="1">
      <c r="A1392" s="1" t="s">
        <v>3940</v>
      </c>
      <c r="B1392" s="1" t="s">
        <v>3800</v>
      </c>
      <c r="C1392" s="1">
        <v>20</v>
      </c>
      <c r="D1392" s="4">
        <v>39888.666666666664</v>
      </c>
      <c r="E1392" s="1" t="s">
        <v>3941</v>
      </c>
      <c r="F1392" s="1"/>
      <c r="G1392" s="1"/>
      <c r="H1392" s="1"/>
      <c r="I1392" s="1"/>
      <c r="J1392" s="1"/>
      <c r="K1392" s="1"/>
      <c r="L1392" s="1"/>
      <c r="M1392" s="1"/>
      <c r="N1392" s="1"/>
      <c r="O1392" s="1"/>
      <c r="P1392" s="1"/>
      <c r="Q1392" s="1"/>
      <c r="R1392" s="1"/>
      <c r="S1392" s="1"/>
    </row>
    <row r="1393" spans="1:19" ht="33.75" customHeight="1">
      <c r="A1393" s="1" t="s">
        <v>3944</v>
      </c>
      <c r="B1393" s="1" t="s">
        <v>3800</v>
      </c>
      <c r="C1393" s="1">
        <v>20</v>
      </c>
      <c r="D1393" s="4">
        <v>39888.676388888889</v>
      </c>
      <c r="E1393" s="1" t="s">
        <v>54</v>
      </c>
      <c r="F1393" s="1"/>
      <c r="G1393" s="1"/>
      <c r="H1393" s="1"/>
      <c r="I1393" s="1"/>
      <c r="J1393" s="1"/>
      <c r="K1393" s="1"/>
      <c r="L1393" s="1"/>
      <c r="M1393" s="1"/>
      <c r="N1393" s="1"/>
      <c r="O1393" s="1"/>
      <c r="P1393" s="1"/>
      <c r="Q1393" s="1"/>
      <c r="R1393" s="1"/>
      <c r="S1393" s="1"/>
    </row>
    <row r="1394" spans="1:19" ht="33.75" customHeight="1">
      <c r="A1394" s="1" t="s">
        <v>3946</v>
      </c>
      <c r="B1394" s="1" t="s">
        <v>3800</v>
      </c>
      <c r="C1394" s="1">
        <v>20</v>
      </c>
      <c r="D1394" s="4">
        <v>39888.685416666667</v>
      </c>
      <c r="E1394" s="1" t="s">
        <v>2893</v>
      </c>
      <c r="F1394" s="1"/>
      <c r="G1394" s="1"/>
      <c r="H1394" s="1"/>
      <c r="I1394" s="1"/>
      <c r="J1394" s="1"/>
      <c r="K1394" s="1"/>
      <c r="L1394" s="1"/>
      <c r="M1394" s="1"/>
      <c r="N1394" s="1"/>
      <c r="O1394" s="1"/>
      <c r="P1394" s="1"/>
      <c r="Q1394" s="1"/>
      <c r="R1394" s="1"/>
      <c r="S1394" s="1"/>
    </row>
    <row r="1395" spans="1:19" ht="33.75" customHeight="1">
      <c r="A1395" s="1" t="s">
        <v>3948</v>
      </c>
      <c r="B1395" s="1" t="s">
        <v>3800</v>
      </c>
      <c r="C1395" s="1">
        <v>20</v>
      </c>
      <c r="D1395" s="4">
        <v>39888.686111111114</v>
      </c>
      <c r="E1395" s="1" t="s">
        <v>54</v>
      </c>
      <c r="F1395" s="1"/>
      <c r="G1395" s="1"/>
      <c r="H1395" s="1"/>
      <c r="I1395" s="1"/>
      <c r="J1395" s="1"/>
      <c r="K1395" s="1"/>
      <c r="L1395" s="1"/>
      <c r="M1395" s="1"/>
      <c r="N1395" s="1"/>
      <c r="O1395" s="1"/>
      <c r="P1395" s="1"/>
      <c r="Q1395" s="1"/>
      <c r="R1395" s="1"/>
      <c r="S1395" s="1"/>
    </row>
    <row r="1396" spans="1:19" ht="33.75" customHeight="1">
      <c r="A1396" s="1" t="s">
        <v>3950</v>
      </c>
      <c r="B1396" s="1" t="s">
        <v>3255</v>
      </c>
      <c r="C1396" s="1">
        <v>19</v>
      </c>
      <c r="D1396" s="4">
        <v>39888.686111111114</v>
      </c>
      <c r="E1396" s="1" t="s">
        <v>314</v>
      </c>
      <c r="F1396" s="1"/>
      <c r="G1396" s="1"/>
      <c r="H1396" s="1"/>
      <c r="I1396" s="1"/>
      <c r="J1396" s="1"/>
      <c r="K1396" s="1"/>
      <c r="L1396" s="1"/>
      <c r="M1396" s="1"/>
      <c r="N1396" s="1"/>
      <c r="O1396" s="1"/>
      <c r="P1396" s="1"/>
      <c r="Q1396" s="1"/>
      <c r="R1396" s="1"/>
      <c r="S1396" s="1"/>
    </row>
    <row r="1397" spans="1:19" ht="33.75" customHeight="1">
      <c r="A1397" s="1" t="s">
        <v>3953</v>
      </c>
      <c r="B1397" s="1" t="s">
        <v>3255</v>
      </c>
      <c r="C1397" s="1">
        <v>19</v>
      </c>
      <c r="D1397" s="4">
        <v>39888.711111111108</v>
      </c>
      <c r="E1397" s="1" t="s">
        <v>14</v>
      </c>
      <c r="F1397" s="1"/>
      <c r="G1397" s="1"/>
      <c r="H1397" s="1"/>
      <c r="I1397" s="1"/>
      <c r="J1397" s="1"/>
      <c r="K1397" s="1"/>
      <c r="L1397" s="1"/>
      <c r="M1397" s="1"/>
      <c r="N1397" s="1"/>
      <c r="O1397" s="1"/>
      <c r="P1397" s="1"/>
      <c r="Q1397" s="1"/>
      <c r="R1397" s="1"/>
      <c r="S1397" s="1"/>
    </row>
    <row r="1398" spans="1:19" ht="33.75" customHeight="1">
      <c r="A1398" s="1" t="s">
        <v>3955</v>
      </c>
      <c r="B1398" s="1" t="s">
        <v>3800</v>
      </c>
      <c r="C1398" s="1">
        <v>20</v>
      </c>
      <c r="D1398" s="4">
        <v>39888.726388888892</v>
      </c>
      <c r="E1398" s="1" t="s">
        <v>772</v>
      </c>
      <c r="F1398" s="1"/>
      <c r="G1398" s="1"/>
      <c r="H1398" s="1"/>
      <c r="I1398" s="1"/>
      <c r="J1398" s="1"/>
      <c r="K1398" s="1"/>
      <c r="L1398" s="1"/>
      <c r="M1398" s="1"/>
      <c r="N1398" s="1"/>
      <c r="O1398" s="1"/>
      <c r="P1398" s="1"/>
      <c r="Q1398" s="1"/>
      <c r="R1398" s="1"/>
      <c r="S1398" s="1"/>
    </row>
    <row r="1399" spans="1:19" ht="33.75" customHeight="1">
      <c r="A1399" s="1" t="s">
        <v>3957</v>
      </c>
      <c r="B1399" s="1" t="s">
        <v>3255</v>
      </c>
      <c r="C1399" s="1">
        <v>19</v>
      </c>
      <c r="D1399" s="4">
        <v>39888.730555555558</v>
      </c>
      <c r="E1399" s="1" t="s">
        <v>196</v>
      </c>
      <c r="F1399" s="1"/>
      <c r="G1399" s="1"/>
      <c r="H1399" s="1"/>
      <c r="I1399" s="1"/>
      <c r="J1399" s="1"/>
      <c r="K1399" s="1"/>
      <c r="L1399" s="1"/>
      <c r="M1399" s="1"/>
      <c r="N1399" s="1"/>
      <c r="O1399" s="1"/>
      <c r="P1399" s="1"/>
      <c r="Q1399" s="1"/>
      <c r="R1399" s="1"/>
      <c r="S1399" s="1"/>
    </row>
    <row r="1400" spans="1:19" ht="33.75" customHeight="1">
      <c r="A1400" s="1" t="s">
        <v>3959</v>
      </c>
      <c r="B1400" s="1" t="s">
        <v>3929</v>
      </c>
      <c r="C1400" s="1">
        <v>21</v>
      </c>
      <c r="D1400" s="4">
        <v>39888.734722222223</v>
      </c>
      <c r="E1400" s="1" t="s">
        <v>14</v>
      </c>
      <c r="F1400" s="1"/>
      <c r="G1400" s="1"/>
      <c r="H1400" s="1"/>
      <c r="I1400" s="1"/>
      <c r="J1400" s="1"/>
      <c r="K1400" s="1"/>
      <c r="L1400" s="1"/>
      <c r="M1400" s="1"/>
      <c r="N1400" s="1"/>
      <c r="O1400" s="1"/>
      <c r="P1400" s="1"/>
      <c r="Q1400" s="1"/>
      <c r="R1400" s="1"/>
      <c r="S1400" s="1"/>
    </row>
    <row r="1401" spans="1:19" ht="33.75" customHeight="1">
      <c r="A1401" s="1" t="s">
        <v>3962</v>
      </c>
      <c r="B1401" s="1" t="s">
        <v>3255</v>
      </c>
      <c r="C1401" s="1">
        <v>19</v>
      </c>
      <c r="D1401" s="4">
        <v>39883.238194444442</v>
      </c>
      <c r="E1401" s="1" t="s">
        <v>1528</v>
      </c>
      <c r="F1401" s="1"/>
      <c r="G1401" s="1"/>
      <c r="H1401" s="1"/>
      <c r="I1401" s="1"/>
      <c r="J1401" s="1"/>
      <c r="K1401" s="1"/>
      <c r="L1401" s="1"/>
      <c r="M1401" s="1"/>
      <c r="N1401" s="1"/>
      <c r="O1401" s="1"/>
      <c r="P1401" s="1"/>
      <c r="Q1401" s="1"/>
      <c r="R1401" s="1"/>
      <c r="S1401" s="1"/>
    </row>
    <row r="1402" spans="1:19" ht="33.75" customHeight="1">
      <c r="A1402" s="1" t="s">
        <v>3965</v>
      </c>
      <c r="B1402" s="1" t="s">
        <v>3255</v>
      </c>
      <c r="C1402" s="1">
        <v>19</v>
      </c>
      <c r="D1402" s="4">
        <v>39885.747916666667</v>
      </c>
      <c r="E1402" s="1" t="s">
        <v>1528</v>
      </c>
      <c r="F1402" s="1"/>
      <c r="G1402" s="1"/>
      <c r="H1402" s="1"/>
      <c r="I1402" s="1"/>
      <c r="J1402" s="1"/>
      <c r="K1402" s="1"/>
      <c r="L1402" s="1"/>
      <c r="M1402" s="1"/>
      <c r="N1402" s="1"/>
      <c r="O1402" s="1"/>
      <c r="P1402" s="1"/>
      <c r="Q1402" s="1"/>
      <c r="R1402" s="1"/>
      <c r="S1402" s="1"/>
    </row>
    <row r="1403" spans="1:19" ht="33.75" customHeight="1">
      <c r="A1403" s="1" t="s">
        <v>3968</v>
      </c>
      <c r="B1403" s="1" t="s">
        <v>3929</v>
      </c>
      <c r="C1403" s="1">
        <v>21</v>
      </c>
      <c r="D1403" s="4">
        <v>39888.784722222219</v>
      </c>
      <c r="E1403" s="1" t="s">
        <v>196</v>
      </c>
      <c r="F1403" s="1"/>
      <c r="G1403" s="1"/>
      <c r="H1403" s="1"/>
      <c r="I1403" s="1"/>
      <c r="J1403" s="1"/>
      <c r="K1403" s="1"/>
      <c r="L1403" s="1"/>
      <c r="M1403" s="1"/>
      <c r="N1403" s="1"/>
      <c r="O1403" s="1"/>
      <c r="P1403" s="1"/>
      <c r="Q1403" s="1"/>
      <c r="R1403" s="1"/>
      <c r="S1403" s="1"/>
    </row>
    <row r="1404" spans="1:19" ht="33.75" customHeight="1">
      <c r="A1404" s="1" t="s">
        <v>3971</v>
      </c>
      <c r="B1404" s="1" t="s">
        <v>3929</v>
      </c>
      <c r="C1404" s="1">
        <v>21</v>
      </c>
      <c r="D1404" s="4">
        <v>39888.811805555553</v>
      </c>
      <c r="E1404" s="1" t="s">
        <v>14</v>
      </c>
      <c r="F1404" s="1"/>
      <c r="G1404" s="1"/>
      <c r="H1404" s="1"/>
      <c r="I1404" s="1"/>
      <c r="J1404" s="1"/>
      <c r="K1404" s="1"/>
      <c r="L1404" s="1"/>
      <c r="M1404" s="1"/>
      <c r="N1404" s="1"/>
      <c r="O1404" s="1"/>
      <c r="P1404" s="1"/>
      <c r="Q1404" s="1"/>
      <c r="R1404" s="1"/>
      <c r="S1404" s="1"/>
    </row>
    <row r="1405" spans="1:19" ht="33.75" customHeight="1">
      <c r="A1405" s="1" t="s">
        <v>3973</v>
      </c>
      <c r="B1405" s="1" t="s">
        <v>3929</v>
      </c>
      <c r="C1405" s="1">
        <v>21</v>
      </c>
      <c r="D1405" s="4">
        <v>39888.84375</v>
      </c>
      <c r="E1405" s="1" t="s">
        <v>196</v>
      </c>
      <c r="F1405" s="1"/>
      <c r="G1405" s="1"/>
      <c r="H1405" s="1"/>
      <c r="I1405" s="1"/>
      <c r="J1405" s="1"/>
      <c r="K1405" s="1"/>
      <c r="L1405" s="1"/>
      <c r="M1405" s="1"/>
      <c r="N1405" s="1"/>
      <c r="O1405" s="1"/>
      <c r="P1405" s="1"/>
      <c r="Q1405" s="1"/>
      <c r="R1405" s="1"/>
      <c r="S1405" s="1"/>
    </row>
    <row r="1406" spans="1:19" ht="33.75" customHeight="1">
      <c r="A1406" s="1" t="s">
        <v>3976</v>
      </c>
      <c r="B1406" s="1" t="s">
        <v>3800</v>
      </c>
      <c r="C1406" s="1">
        <v>20</v>
      </c>
      <c r="D1406" s="4">
        <v>39889.414583333331</v>
      </c>
      <c r="E1406" s="1" t="s">
        <v>1089</v>
      </c>
      <c r="F1406" s="1"/>
      <c r="G1406" s="1"/>
      <c r="H1406" s="1"/>
      <c r="I1406" s="1"/>
      <c r="J1406" s="1"/>
      <c r="K1406" s="1"/>
      <c r="L1406" s="1"/>
      <c r="M1406" s="1"/>
      <c r="N1406" s="1"/>
      <c r="O1406" s="1"/>
      <c r="P1406" s="1"/>
      <c r="Q1406" s="1"/>
      <c r="R1406" s="1"/>
      <c r="S1406" s="1"/>
    </row>
    <row r="1407" spans="1:19" ht="33.75" customHeight="1">
      <c r="A1407" s="1" t="s">
        <v>3978</v>
      </c>
      <c r="B1407" s="1" t="s">
        <v>3800</v>
      </c>
      <c r="C1407" s="1">
        <v>20</v>
      </c>
      <c r="D1407" s="4">
        <v>39889.42083333333</v>
      </c>
      <c r="E1407" s="1" t="s">
        <v>772</v>
      </c>
      <c r="F1407" s="1"/>
      <c r="G1407" s="1"/>
      <c r="H1407" s="1"/>
      <c r="I1407" s="1"/>
      <c r="J1407" s="1"/>
      <c r="K1407" s="1"/>
      <c r="L1407" s="1"/>
      <c r="M1407" s="1"/>
      <c r="N1407" s="1"/>
      <c r="O1407" s="1"/>
      <c r="P1407" s="1"/>
      <c r="Q1407" s="1"/>
      <c r="R1407" s="1"/>
      <c r="S1407" s="1"/>
    </row>
    <row r="1408" spans="1:19" ht="33.75" customHeight="1">
      <c r="A1408" s="1" t="s">
        <v>3980</v>
      </c>
      <c r="B1408" s="1" t="s">
        <v>3800</v>
      </c>
      <c r="C1408" s="1">
        <v>20</v>
      </c>
      <c r="D1408" s="4">
        <v>39889.675000000003</v>
      </c>
      <c r="E1408" s="1" t="s">
        <v>2893</v>
      </c>
      <c r="F1408" s="1"/>
      <c r="G1408" s="1"/>
      <c r="H1408" s="1"/>
      <c r="I1408" s="1"/>
      <c r="J1408" s="1"/>
      <c r="K1408" s="1"/>
      <c r="L1408" s="1"/>
      <c r="M1408" s="1"/>
      <c r="N1408" s="1"/>
      <c r="O1408" s="1"/>
      <c r="P1408" s="1"/>
      <c r="Q1408" s="1"/>
      <c r="R1408" s="1"/>
      <c r="S1408" s="1"/>
    </row>
    <row r="1409" spans="1:19" ht="33.75" customHeight="1">
      <c r="A1409" s="1" t="s">
        <v>3983</v>
      </c>
      <c r="B1409" s="1" t="s">
        <v>3929</v>
      </c>
      <c r="C1409" s="1">
        <v>21</v>
      </c>
      <c r="D1409" s="4">
        <v>39889.767361111109</v>
      </c>
      <c r="E1409" s="1" t="s">
        <v>196</v>
      </c>
      <c r="F1409" s="1"/>
      <c r="G1409" s="1"/>
      <c r="H1409" s="1"/>
      <c r="I1409" s="1"/>
      <c r="J1409" s="1"/>
      <c r="K1409" s="1"/>
      <c r="L1409" s="1"/>
      <c r="M1409" s="1"/>
      <c r="N1409" s="1"/>
      <c r="O1409" s="1"/>
      <c r="P1409" s="1"/>
      <c r="Q1409" s="1"/>
      <c r="R1409" s="1"/>
      <c r="S1409" s="1"/>
    </row>
    <row r="1410" spans="1:19" ht="33.75" customHeight="1">
      <c r="A1410" s="1" t="s">
        <v>3985</v>
      </c>
      <c r="B1410" s="1" t="s">
        <v>3929</v>
      </c>
      <c r="C1410" s="1">
        <v>21</v>
      </c>
      <c r="D1410" s="4">
        <v>39889.84652777778</v>
      </c>
      <c r="E1410" s="1" t="s">
        <v>14</v>
      </c>
      <c r="F1410" s="1"/>
      <c r="G1410" s="1"/>
      <c r="H1410" s="1"/>
      <c r="I1410" s="1"/>
      <c r="J1410" s="1"/>
      <c r="K1410" s="1"/>
      <c r="L1410" s="1"/>
      <c r="M1410" s="1"/>
      <c r="N1410" s="1"/>
      <c r="O1410" s="1"/>
      <c r="P1410" s="1"/>
      <c r="Q1410" s="1"/>
      <c r="R1410" s="1"/>
      <c r="S1410" s="1"/>
    </row>
    <row r="1411" spans="1:19" ht="33.75" customHeight="1">
      <c r="A1411" s="1" t="s">
        <v>3988</v>
      </c>
      <c r="B1411" s="1" t="s">
        <v>3929</v>
      </c>
      <c r="C1411" s="1">
        <v>21</v>
      </c>
      <c r="D1411" s="4">
        <v>39889.895138888889</v>
      </c>
      <c r="E1411" s="1" t="s">
        <v>314</v>
      </c>
      <c r="F1411" s="1"/>
      <c r="G1411" s="1"/>
      <c r="H1411" s="1"/>
      <c r="I1411" s="1"/>
      <c r="J1411" s="1"/>
      <c r="K1411" s="1"/>
      <c r="L1411" s="1"/>
      <c r="M1411" s="1"/>
      <c r="N1411" s="1"/>
      <c r="O1411" s="1"/>
      <c r="P1411" s="1"/>
      <c r="Q1411" s="1"/>
      <c r="R1411" s="1"/>
      <c r="S1411" s="1"/>
    </row>
    <row r="1412" spans="1:19" ht="33.75" customHeight="1">
      <c r="A1412" s="1" t="s">
        <v>3990</v>
      </c>
      <c r="B1412" s="1" t="s">
        <v>3929</v>
      </c>
      <c r="C1412" s="1">
        <v>21</v>
      </c>
      <c r="D1412" s="4">
        <v>39890.004861111112</v>
      </c>
      <c r="E1412" s="1" t="s">
        <v>14</v>
      </c>
      <c r="F1412" s="1"/>
      <c r="G1412" s="1"/>
      <c r="H1412" s="1"/>
      <c r="I1412" s="1"/>
      <c r="J1412" s="1"/>
      <c r="K1412" s="1"/>
      <c r="L1412" s="1"/>
      <c r="M1412" s="1"/>
      <c r="N1412" s="1"/>
      <c r="O1412" s="1"/>
      <c r="P1412" s="1"/>
      <c r="Q1412" s="1"/>
      <c r="R1412" s="1"/>
      <c r="S1412" s="1"/>
    </row>
    <row r="1413" spans="1:19" ht="33.75" customHeight="1">
      <c r="A1413" s="1" t="s">
        <v>3992</v>
      </c>
      <c r="B1413" s="1" t="s">
        <v>3929</v>
      </c>
      <c r="C1413" s="1">
        <v>21</v>
      </c>
      <c r="D1413" s="4">
        <v>39890.009027777778</v>
      </c>
      <c r="E1413" s="1" t="s">
        <v>1528</v>
      </c>
      <c r="F1413" s="1"/>
      <c r="G1413" s="1"/>
      <c r="H1413" s="1"/>
      <c r="I1413" s="1"/>
      <c r="J1413" s="1"/>
      <c r="K1413" s="1"/>
      <c r="L1413" s="1"/>
      <c r="M1413" s="1"/>
      <c r="N1413" s="1"/>
      <c r="O1413" s="1"/>
      <c r="P1413" s="1"/>
      <c r="Q1413" s="1"/>
      <c r="R1413" s="1"/>
      <c r="S1413" s="1"/>
    </row>
    <row r="1414" spans="1:19" ht="33.75" customHeight="1">
      <c r="A1414" s="1" t="s">
        <v>3994</v>
      </c>
      <c r="B1414" s="1" t="s">
        <v>3929</v>
      </c>
      <c r="C1414" s="1">
        <v>21</v>
      </c>
      <c r="D1414" s="4">
        <v>39890.006249999999</v>
      </c>
      <c r="E1414" s="1" t="s">
        <v>1528</v>
      </c>
      <c r="F1414" s="1"/>
      <c r="G1414" s="1"/>
      <c r="H1414" s="1"/>
      <c r="I1414" s="1"/>
      <c r="J1414" s="1"/>
      <c r="K1414" s="1"/>
      <c r="L1414" s="1"/>
      <c r="M1414" s="1"/>
      <c r="N1414" s="1"/>
      <c r="O1414" s="1"/>
      <c r="P1414" s="1"/>
      <c r="Q1414" s="1"/>
      <c r="R1414" s="1"/>
      <c r="S1414" s="1"/>
    </row>
    <row r="1415" spans="1:19" ht="33.75" customHeight="1">
      <c r="A1415" s="1" t="s">
        <v>3996</v>
      </c>
      <c r="B1415" s="1" t="s">
        <v>3929</v>
      </c>
      <c r="C1415" s="1">
        <v>21</v>
      </c>
      <c r="D1415" s="4">
        <v>39890.020138888889</v>
      </c>
      <c r="E1415" s="1" t="s">
        <v>14</v>
      </c>
      <c r="F1415" s="1"/>
      <c r="G1415" s="1"/>
      <c r="H1415" s="1"/>
      <c r="I1415" s="1"/>
      <c r="J1415" s="1"/>
      <c r="K1415" s="1"/>
      <c r="L1415" s="1"/>
      <c r="M1415" s="1"/>
      <c r="N1415" s="1"/>
      <c r="O1415" s="1"/>
      <c r="P1415" s="1"/>
      <c r="Q1415" s="1"/>
      <c r="R1415" s="1"/>
      <c r="S1415" s="1"/>
    </row>
    <row r="1416" spans="1:19" ht="33.75" customHeight="1">
      <c r="A1416" s="1" t="s">
        <v>3999</v>
      </c>
      <c r="B1416" s="1" t="s">
        <v>3929</v>
      </c>
      <c r="C1416" s="1">
        <v>21</v>
      </c>
      <c r="D1416" s="4">
        <v>39890.070138888892</v>
      </c>
      <c r="E1416" s="1" t="s">
        <v>320</v>
      </c>
      <c r="F1416" s="1"/>
      <c r="G1416" s="1"/>
      <c r="H1416" s="1"/>
      <c r="I1416" s="1"/>
      <c r="J1416" s="1"/>
      <c r="K1416" s="1"/>
      <c r="L1416" s="1"/>
      <c r="M1416" s="1"/>
      <c r="N1416" s="1"/>
      <c r="O1416" s="1"/>
      <c r="P1416" s="1"/>
      <c r="Q1416" s="1"/>
      <c r="R1416" s="1"/>
      <c r="S1416" s="1"/>
    </row>
    <row r="1417" spans="1:19" ht="33.75" customHeight="1">
      <c r="A1417" s="1" t="s">
        <v>4001</v>
      </c>
      <c r="B1417" s="1" t="s">
        <v>3800</v>
      </c>
      <c r="C1417" s="1">
        <v>20</v>
      </c>
      <c r="D1417" s="4">
        <v>39890.086805555555</v>
      </c>
      <c r="E1417" s="1" t="s">
        <v>1089</v>
      </c>
      <c r="F1417" s="1"/>
      <c r="G1417" s="1"/>
      <c r="H1417" s="1"/>
      <c r="I1417" s="1"/>
      <c r="J1417" s="1"/>
      <c r="K1417" s="1"/>
      <c r="L1417" s="1"/>
      <c r="M1417" s="1"/>
      <c r="N1417" s="1"/>
      <c r="O1417" s="1"/>
      <c r="P1417" s="1"/>
      <c r="Q1417" s="1"/>
      <c r="R1417" s="1"/>
      <c r="S1417" s="1"/>
    </row>
    <row r="1418" spans="1:19" ht="33.75" customHeight="1">
      <c r="A1418" s="1" t="s">
        <v>4003</v>
      </c>
      <c r="B1418" s="1" t="s">
        <v>3800</v>
      </c>
      <c r="C1418" s="1">
        <v>20</v>
      </c>
      <c r="D1418" s="4">
        <v>39890.176388888889</v>
      </c>
      <c r="E1418" s="1" t="s">
        <v>1089</v>
      </c>
      <c r="F1418" s="1"/>
      <c r="G1418" s="1"/>
      <c r="H1418" s="1"/>
      <c r="I1418" s="1"/>
      <c r="J1418" s="1"/>
      <c r="K1418" s="1"/>
      <c r="L1418" s="1"/>
      <c r="M1418" s="1"/>
      <c r="N1418" s="1"/>
      <c r="O1418" s="1"/>
      <c r="P1418" s="1"/>
      <c r="Q1418" s="1"/>
      <c r="R1418" s="1"/>
      <c r="S1418" s="1"/>
    </row>
    <row r="1419" spans="1:19" ht="33.75" customHeight="1">
      <c r="A1419" s="1" t="s">
        <v>4006</v>
      </c>
      <c r="B1419" s="1" t="s">
        <v>3929</v>
      </c>
      <c r="C1419" s="1">
        <v>21</v>
      </c>
      <c r="D1419" s="4">
        <v>39890.320833333331</v>
      </c>
      <c r="E1419" s="1" t="s">
        <v>255</v>
      </c>
      <c r="F1419" s="1"/>
      <c r="G1419" s="1"/>
      <c r="H1419" s="1"/>
      <c r="I1419" s="1"/>
      <c r="J1419" s="1"/>
      <c r="K1419" s="1"/>
      <c r="L1419" s="1"/>
      <c r="M1419" s="1"/>
      <c r="N1419" s="1"/>
      <c r="O1419" s="1"/>
      <c r="P1419" s="1"/>
      <c r="Q1419" s="1"/>
      <c r="R1419" s="1"/>
      <c r="S1419" s="1"/>
    </row>
    <row r="1420" spans="1:19" ht="33.75" customHeight="1">
      <c r="A1420" s="1" t="s">
        <v>4009</v>
      </c>
      <c r="B1420" s="1" t="s">
        <v>3929</v>
      </c>
      <c r="C1420" s="1">
        <v>21</v>
      </c>
      <c r="D1420" s="4">
        <v>39890.340277777781</v>
      </c>
      <c r="E1420" s="1" t="s">
        <v>14</v>
      </c>
      <c r="F1420" s="1"/>
      <c r="G1420" s="1"/>
      <c r="H1420" s="1"/>
      <c r="I1420" s="1"/>
      <c r="J1420" s="1"/>
      <c r="K1420" s="1"/>
      <c r="L1420" s="1"/>
      <c r="M1420" s="1"/>
      <c r="N1420" s="1"/>
      <c r="O1420" s="1"/>
      <c r="P1420" s="1"/>
      <c r="Q1420" s="1"/>
      <c r="R1420" s="1"/>
      <c r="S1420" s="1"/>
    </row>
    <row r="1421" spans="1:19" ht="33.75" customHeight="1">
      <c r="A1421" s="1" t="s">
        <v>4011</v>
      </c>
      <c r="B1421" s="1" t="s">
        <v>3929</v>
      </c>
      <c r="C1421" s="1">
        <v>21</v>
      </c>
      <c r="D1421" s="4">
        <v>39890.369444444441</v>
      </c>
      <c r="E1421" s="1" t="s">
        <v>14</v>
      </c>
      <c r="F1421" s="1"/>
      <c r="G1421" s="1"/>
      <c r="H1421" s="1"/>
      <c r="I1421" s="1"/>
      <c r="J1421" s="1"/>
      <c r="K1421" s="1"/>
      <c r="L1421" s="1"/>
      <c r="M1421" s="1"/>
      <c r="N1421" s="1"/>
      <c r="O1421" s="1"/>
      <c r="P1421" s="1"/>
      <c r="Q1421" s="1"/>
      <c r="R1421" s="1"/>
      <c r="S1421" s="1"/>
    </row>
    <row r="1422" spans="1:19" ht="33.75" customHeight="1">
      <c r="A1422" s="1" t="s">
        <v>4014</v>
      </c>
      <c r="B1422" s="1" t="s">
        <v>3800</v>
      </c>
      <c r="C1422" s="1">
        <v>20</v>
      </c>
      <c r="D1422" s="4">
        <v>39890.411111111112</v>
      </c>
      <c r="E1422" s="1" t="s">
        <v>84</v>
      </c>
      <c r="F1422" s="1"/>
      <c r="G1422" s="1"/>
      <c r="H1422" s="1"/>
      <c r="I1422" s="1"/>
      <c r="J1422" s="1"/>
      <c r="K1422" s="1"/>
      <c r="L1422" s="1"/>
      <c r="M1422" s="1"/>
      <c r="N1422" s="1"/>
      <c r="O1422" s="1"/>
      <c r="P1422" s="1"/>
      <c r="Q1422" s="1"/>
      <c r="R1422" s="1"/>
      <c r="S1422" s="1"/>
    </row>
    <row r="1423" spans="1:19" ht="33.75" customHeight="1">
      <c r="A1423" s="1" t="s">
        <v>4017</v>
      </c>
      <c r="B1423" s="1" t="s">
        <v>3800</v>
      </c>
      <c r="C1423" s="1">
        <v>20</v>
      </c>
      <c r="D1423" s="4">
        <v>39890.456250000003</v>
      </c>
      <c r="E1423" s="1" t="s">
        <v>772</v>
      </c>
      <c r="F1423" s="1"/>
      <c r="G1423" s="1"/>
      <c r="H1423" s="1"/>
      <c r="I1423" s="1"/>
      <c r="J1423" s="1"/>
      <c r="K1423" s="1"/>
      <c r="L1423" s="1"/>
      <c r="M1423" s="1"/>
      <c r="N1423" s="1"/>
      <c r="O1423" s="1"/>
      <c r="P1423" s="1"/>
      <c r="Q1423" s="1"/>
      <c r="R1423" s="1"/>
      <c r="S1423" s="1"/>
    </row>
    <row r="1424" spans="1:19" ht="33.75" customHeight="1">
      <c r="A1424" s="1" t="s">
        <v>4020</v>
      </c>
      <c r="B1424" s="1" t="s">
        <v>3800</v>
      </c>
      <c r="C1424" s="1">
        <v>20</v>
      </c>
      <c r="D1424" s="4">
        <v>39890.466666666667</v>
      </c>
      <c r="E1424" s="1" t="s">
        <v>772</v>
      </c>
      <c r="F1424" s="1"/>
      <c r="G1424" s="1"/>
      <c r="H1424" s="1"/>
      <c r="I1424" s="1"/>
      <c r="J1424" s="1"/>
      <c r="K1424" s="1"/>
      <c r="L1424" s="1"/>
      <c r="M1424" s="1"/>
      <c r="N1424" s="1"/>
      <c r="O1424" s="1"/>
      <c r="P1424" s="1"/>
      <c r="Q1424" s="1"/>
      <c r="R1424" s="1"/>
      <c r="S1424" s="1"/>
    </row>
    <row r="1425" spans="1:19" ht="33.75" customHeight="1">
      <c r="A1425" s="1" t="s">
        <v>4022</v>
      </c>
      <c r="B1425" s="1" t="s">
        <v>3929</v>
      </c>
      <c r="C1425" s="1">
        <v>21</v>
      </c>
      <c r="D1425" s="4">
        <v>39890.630555555559</v>
      </c>
      <c r="E1425" s="1" t="s">
        <v>320</v>
      </c>
      <c r="F1425" s="1"/>
      <c r="G1425" s="1"/>
      <c r="H1425" s="1"/>
      <c r="I1425" s="1"/>
      <c r="J1425" s="1"/>
      <c r="K1425" s="1"/>
      <c r="L1425" s="1"/>
      <c r="M1425" s="1"/>
      <c r="N1425" s="1"/>
      <c r="O1425" s="1"/>
      <c r="P1425" s="1"/>
      <c r="Q1425" s="1"/>
      <c r="R1425" s="1"/>
      <c r="S1425" s="1"/>
    </row>
    <row r="1426" spans="1:19" ht="33.75" customHeight="1">
      <c r="A1426" s="1" t="s">
        <v>4024</v>
      </c>
      <c r="B1426" s="1" t="s">
        <v>3929</v>
      </c>
      <c r="C1426" s="1">
        <v>21</v>
      </c>
      <c r="D1426" s="4">
        <v>39890.645138888889</v>
      </c>
      <c r="E1426" s="1" t="s">
        <v>320</v>
      </c>
      <c r="F1426" s="1"/>
      <c r="G1426" s="1"/>
      <c r="H1426" s="1"/>
      <c r="I1426" s="1"/>
      <c r="J1426" s="1"/>
      <c r="K1426" s="1"/>
      <c r="L1426" s="1"/>
      <c r="M1426" s="1"/>
      <c r="N1426" s="1"/>
      <c r="O1426" s="1"/>
      <c r="P1426" s="1"/>
      <c r="Q1426" s="1"/>
      <c r="R1426" s="1"/>
      <c r="S1426" s="1"/>
    </row>
    <row r="1427" spans="1:19" ht="33.75" customHeight="1">
      <c r="A1427" s="1" t="s">
        <v>4027</v>
      </c>
      <c r="B1427" s="1" t="s">
        <v>3929</v>
      </c>
      <c r="C1427" s="1">
        <v>21</v>
      </c>
      <c r="D1427" s="4">
        <v>39890.660416666666</v>
      </c>
      <c r="E1427" s="1" t="s">
        <v>320</v>
      </c>
      <c r="F1427" s="1"/>
      <c r="G1427" s="1"/>
      <c r="H1427" s="1"/>
      <c r="I1427" s="1"/>
      <c r="J1427" s="1"/>
      <c r="K1427" s="1"/>
      <c r="L1427" s="1"/>
      <c r="M1427" s="1"/>
      <c r="N1427" s="1"/>
      <c r="O1427" s="1"/>
      <c r="P1427" s="1"/>
      <c r="Q1427" s="1"/>
      <c r="R1427" s="1"/>
      <c r="S1427" s="1"/>
    </row>
    <row r="1428" spans="1:19" ht="33.75" customHeight="1">
      <c r="A1428" s="1" t="s">
        <v>4029</v>
      </c>
      <c r="B1428" s="1" t="s">
        <v>3929</v>
      </c>
      <c r="C1428" s="1">
        <v>21</v>
      </c>
      <c r="D1428" s="4">
        <v>39890.668055555558</v>
      </c>
      <c r="E1428" s="1" t="s">
        <v>320</v>
      </c>
      <c r="F1428" s="1"/>
      <c r="G1428" s="1"/>
      <c r="H1428" s="1"/>
      <c r="I1428" s="1"/>
      <c r="J1428" s="1"/>
      <c r="K1428" s="1"/>
      <c r="L1428" s="1"/>
      <c r="M1428" s="1"/>
      <c r="N1428" s="1"/>
      <c r="O1428" s="1"/>
      <c r="P1428" s="1"/>
      <c r="Q1428" s="1"/>
      <c r="R1428" s="1"/>
      <c r="S1428" s="1"/>
    </row>
    <row r="1429" spans="1:19" ht="33.75" customHeight="1">
      <c r="A1429" s="1" t="s">
        <v>4031</v>
      </c>
      <c r="B1429" s="1" t="s">
        <v>3929</v>
      </c>
      <c r="C1429" s="1">
        <v>21</v>
      </c>
      <c r="D1429" s="4">
        <v>39890.711111111108</v>
      </c>
      <c r="E1429" s="1" t="s">
        <v>320</v>
      </c>
      <c r="F1429" s="1"/>
      <c r="G1429" s="1"/>
      <c r="H1429" s="1"/>
      <c r="I1429" s="1"/>
      <c r="J1429" s="1"/>
      <c r="K1429" s="1"/>
      <c r="L1429" s="1"/>
      <c r="M1429" s="1"/>
      <c r="N1429" s="1"/>
      <c r="O1429" s="1"/>
      <c r="P1429" s="1"/>
      <c r="Q1429" s="1"/>
      <c r="R1429" s="1"/>
      <c r="S1429" s="1"/>
    </row>
    <row r="1430" spans="1:19" ht="33.75" customHeight="1">
      <c r="A1430" s="1" t="s">
        <v>4033</v>
      </c>
      <c r="B1430" s="1" t="s">
        <v>3929</v>
      </c>
      <c r="C1430" s="1">
        <v>21</v>
      </c>
      <c r="D1430" s="4">
        <v>39890.725694444445</v>
      </c>
      <c r="E1430" s="1" t="s">
        <v>14</v>
      </c>
      <c r="F1430" s="1"/>
      <c r="G1430" s="1"/>
      <c r="H1430" s="1"/>
      <c r="I1430" s="1"/>
      <c r="J1430" s="1"/>
      <c r="K1430" s="1"/>
      <c r="L1430" s="1"/>
      <c r="M1430" s="1"/>
      <c r="N1430" s="1"/>
      <c r="O1430" s="1"/>
      <c r="P1430" s="1"/>
      <c r="Q1430" s="1"/>
      <c r="R1430" s="1"/>
      <c r="S1430" s="1"/>
    </row>
    <row r="1431" spans="1:19" ht="33.75" customHeight="1">
      <c r="A1431" s="1" t="s">
        <v>4036</v>
      </c>
      <c r="B1431" s="1" t="s">
        <v>3929</v>
      </c>
      <c r="C1431" s="1">
        <v>21</v>
      </c>
      <c r="D1431" s="4">
        <v>39890.73541666667</v>
      </c>
      <c r="E1431" s="1" t="s">
        <v>14</v>
      </c>
      <c r="F1431" s="1"/>
      <c r="G1431" s="1"/>
      <c r="H1431" s="1"/>
      <c r="I1431" s="1"/>
      <c r="J1431" s="1"/>
      <c r="K1431" s="1"/>
      <c r="L1431" s="1"/>
      <c r="M1431" s="1"/>
      <c r="N1431" s="1"/>
      <c r="O1431" s="1"/>
      <c r="P1431" s="1"/>
      <c r="Q1431" s="1"/>
      <c r="R1431" s="1"/>
      <c r="S1431" s="1"/>
    </row>
    <row r="1432" spans="1:19" ht="33.75" customHeight="1">
      <c r="A1432" s="1" t="s">
        <v>4038</v>
      </c>
      <c r="B1432" s="1" t="s">
        <v>3255</v>
      </c>
      <c r="C1432" s="1">
        <v>19</v>
      </c>
      <c r="D1432" s="4">
        <v>39890.753472222219</v>
      </c>
      <c r="E1432" s="1" t="s">
        <v>110</v>
      </c>
      <c r="F1432" s="1"/>
      <c r="G1432" s="1"/>
      <c r="H1432" s="1"/>
      <c r="I1432" s="1"/>
      <c r="J1432" s="1"/>
      <c r="K1432" s="1"/>
      <c r="L1432" s="1"/>
      <c r="M1432" s="1"/>
      <c r="N1432" s="1"/>
      <c r="O1432" s="1"/>
      <c r="P1432" s="1"/>
      <c r="Q1432" s="1"/>
      <c r="R1432" s="1"/>
      <c r="S1432" s="1"/>
    </row>
    <row r="1433" spans="1:19" ht="33.75" customHeight="1">
      <c r="A1433" s="1" t="s">
        <v>4041</v>
      </c>
      <c r="B1433" s="1" t="s">
        <v>3929</v>
      </c>
      <c r="C1433" s="1">
        <v>21</v>
      </c>
      <c r="D1433" s="4">
        <v>39890.784722222219</v>
      </c>
      <c r="E1433" s="1" t="s">
        <v>320</v>
      </c>
      <c r="F1433" s="1"/>
      <c r="G1433" s="1"/>
      <c r="H1433" s="1"/>
      <c r="I1433" s="1"/>
      <c r="J1433" s="1"/>
      <c r="K1433" s="1"/>
      <c r="L1433" s="1"/>
      <c r="M1433" s="1"/>
      <c r="N1433" s="1"/>
      <c r="O1433" s="1"/>
      <c r="P1433" s="1"/>
      <c r="Q1433" s="1"/>
      <c r="R1433" s="1"/>
      <c r="S1433" s="1"/>
    </row>
    <row r="1434" spans="1:19" ht="33.75" customHeight="1">
      <c r="A1434" s="1" t="s">
        <v>4044</v>
      </c>
      <c r="B1434" s="1" t="s">
        <v>3929</v>
      </c>
      <c r="C1434" s="1">
        <v>21</v>
      </c>
      <c r="D1434" s="4">
        <v>39890.786805555559</v>
      </c>
      <c r="E1434" s="1" t="s">
        <v>14</v>
      </c>
      <c r="F1434" s="1"/>
      <c r="G1434" s="1"/>
      <c r="H1434" s="1"/>
      <c r="I1434" s="1"/>
      <c r="J1434" s="1"/>
      <c r="K1434" s="1"/>
      <c r="L1434" s="1"/>
      <c r="M1434" s="1"/>
      <c r="N1434" s="1"/>
      <c r="O1434" s="1"/>
      <c r="P1434" s="1"/>
      <c r="Q1434" s="1"/>
      <c r="R1434" s="1"/>
      <c r="S1434" s="1"/>
    </row>
    <row r="1435" spans="1:19" ht="33.75" customHeight="1">
      <c r="A1435" s="1" t="s">
        <v>4047</v>
      </c>
      <c r="B1435" s="1" t="s">
        <v>3929</v>
      </c>
      <c r="C1435" s="1">
        <v>21</v>
      </c>
      <c r="D1435" s="4">
        <v>39890.824305555558</v>
      </c>
      <c r="E1435" s="1" t="s">
        <v>320</v>
      </c>
      <c r="F1435" s="1"/>
      <c r="G1435" s="1"/>
      <c r="H1435" s="1"/>
      <c r="I1435" s="1"/>
      <c r="J1435" s="1"/>
      <c r="K1435" s="1"/>
      <c r="L1435" s="1"/>
      <c r="M1435" s="1"/>
      <c r="N1435" s="1"/>
      <c r="O1435" s="1"/>
      <c r="P1435" s="1"/>
      <c r="Q1435" s="1"/>
      <c r="R1435" s="1"/>
      <c r="S1435" s="1"/>
    </row>
    <row r="1436" spans="1:19" ht="33.75" customHeight="1">
      <c r="A1436" s="1" t="s">
        <v>4049</v>
      </c>
      <c r="B1436" s="1" t="s">
        <v>3929</v>
      </c>
      <c r="C1436" s="1">
        <v>21</v>
      </c>
      <c r="D1436" s="4">
        <v>39890.853472222225</v>
      </c>
      <c r="E1436" s="1" t="s">
        <v>255</v>
      </c>
      <c r="F1436" s="1"/>
      <c r="G1436" s="1"/>
      <c r="H1436" s="1"/>
      <c r="I1436" s="1"/>
      <c r="J1436" s="1"/>
      <c r="K1436" s="1"/>
      <c r="L1436" s="1"/>
      <c r="M1436" s="1"/>
      <c r="N1436" s="1"/>
      <c r="O1436" s="1"/>
      <c r="P1436" s="1"/>
      <c r="Q1436" s="1"/>
      <c r="R1436" s="1"/>
      <c r="S1436" s="1"/>
    </row>
    <row r="1437" spans="1:19" ht="33.75" customHeight="1">
      <c r="A1437" s="1" t="s">
        <v>4051</v>
      </c>
      <c r="B1437" s="1" t="s">
        <v>3255</v>
      </c>
      <c r="C1437" s="1">
        <v>19</v>
      </c>
      <c r="D1437" s="4">
        <v>39890.883333333331</v>
      </c>
      <c r="E1437" s="1" t="s">
        <v>4052</v>
      </c>
      <c r="F1437" s="1"/>
      <c r="G1437" s="1"/>
      <c r="H1437" s="1"/>
      <c r="I1437" s="1"/>
      <c r="J1437" s="1"/>
      <c r="K1437" s="1"/>
      <c r="L1437" s="1"/>
      <c r="M1437" s="1"/>
      <c r="N1437" s="1"/>
      <c r="O1437" s="1"/>
      <c r="P1437" s="1"/>
      <c r="Q1437" s="1"/>
      <c r="R1437" s="1"/>
      <c r="S1437" s="1"/>
    </row>
    <row r="1438" spans="1:19" ht="33.75" customHeight="1">
      <c r="A1438" s="1" t="s">
        <v>4055</v>
      </c>
      <c r="B1438" s="1" t="s">
        <v>2636</v>
      </c>
      <c r="C1438" s="1">
        <v>16</v>
      </c>
      <c r="D1438" s="4">
        <v>39890.932638888888</v>
      </c>
      <c r="E1438" s="1" t="s">
        <v>255</v>
      </c>
      <c r="F1438" s="1"/>
      <c r="G1438" s="1"/>
      <c r="H1438" s="1"/>
      <c r="I1438" s="1"/>
      <c r="J1438" s="1"/>
      <c r="K1438" s="1"/>
      <c r="L1438" s="1"/>
      <c r="M1438" s="1"/>
      <c r="N1438" s="1"/>
      <c r="O1438" s="1"/>
      <c r="P1438" s="1"/>
      <c r="Q1438" s="1"/>
      <c r="R1438" s="1"/>
      <c r="S1438" s="1"/>
    </row>
    <row r="1439" spans="1:19" ht="33.75" customHeight="1">
      <c r="A1439" s="1" t="s">
        <v>4057</v>
      </c>
      <c r="B1439" s="1" t="s">
        <v>3255</v>
      </c>
      <c r="C1439" s="1">
        <v>19</v>
      </c>
      <c r="D1439" s="4">
        <v>39890.956944444442</v>
      </c>
      <c r="E1439" s="1" t="s">
        <v>4058</v>
      </c>
      <c r="F1439" s="1"/>
      <c r="G1439" s="1"/>
      <c r="H1439" s="1"/>
      <c r="I1439" s="1"/>
      <c r="J1439" s="1"/>
      <c r="K1439" s="1"/>
      <c r="L1439" s="1"/>
      <c r="M1439" s="1"/>
      <c r="N1439" s="1"/>
      <c r="O1439" s="1"/>
      <c r="P1439" s="1"/>
      <c r="Q1439" s="1"/>
      <c r="R1439" s="1"/>
      <c r="S1439" s="1"/>
    </row>
    <row r="1440" spans="1:19" ht="33.75" customHeight="1">
      <c r="A1440" s="1" t="s">
        <v>4061</v>
      </c>
      <c r="B1440" s="1" t="s">
        <v>3255</v>
      </c>
      <c r="C1440" s="1">
        <v>19</v>
      </c>
      <c r="D1440" s="4">
        <v>39891.400694444441</v>
      </c>
      <c r="E1440" s="1" t="s">
        <v>1073</v>
      </c>
      <c r="F1440" s="1"/>
      <c r="G1440" s="1"/>
      <c r="H1440" s="1"/>
      <c r="I1440" s="1"/>
      <c r="J1440" s="1"/>
      <c r="K1440" s="1"/>
      <c r="L1440" s="1"/>
      <c r="M1440" s="1"/>
      <c r="N1440" s="1"/>
      <c r="O1440" s="1"/>
      <c r="P1440" s="1"/>
      <c r="Q1440" s="1"/>
      <c r="R1440" s="1"/>
      <c r="S1440" s="1"/>
    </row>
    <row r="1441" spans="1:19" ht="33.75" customHeight="1">
      <c r="A1441" s="1" t="s">
        <v>4064</v>
      </c>
      <c r="B1441" s="1" t="s">
        <v>3255</v>
      </c>
      <c r="C1441" s="1">
        <v>19</v>
      </c>
      <c r="D1441" s="4">
        <v>39891.409722222219</v>
      </c>
      <c r="E1441" s="1" t="s">
        <v>1073</v>
      </c>
      <c r="F1441" s="1"/>
      <c r="G1441" s="1"/>
      <c r="H1441" s="1"/>
      <c r="I1441" s="1"/>
      <c r="J1441" s="1"/>
      <c r="K1441" s="1"/>
      <c r="L1441" s="1"/>
      <c r="M1441" s="1"/>
      <c r="N1441" s="1"/>
      <c r="O1441" s="1"/>
      <c r="P1441" s="1"/>
      <c r="Q1441" s="1"/>
      <c r="R1441" s="1"/>
      <c r="S1441" s="1"/>
    </row>
    <row r="1442" spans="1:19" ht="33.75" customHeight="1">
      <c r="A1442" s="1" t="s">
        <v>4066</v>
      </c>
      <c r="B1442" s="1" t="s">
        <v>3255</v>
      </c>
      <c r="C1442" s="1">
        <v>19</v>
      </c>
      <c r="D1442" s="4">
        <v>39891.418055555558</v>
      </c>
      <c r="E1442" s="1" t="s">
        <v>1073</v>
      </c>
      <c r="F1442" s="1"/>
      <c r="G1442" s="1"/>
      <c r="H1442" s="1"/>
      <c r="I1442" s="1"/>
      <c r="J1442" s="1"/>
      <c r="K1442" s="1"/>
      <c r="L1442" s="1"/>
      <c r="M1442" s="1"/>
      <c r="N1442" s="1"/>
      <c r="O1442" s="1"/>
      <c r="P1442" s="1"/>
      <c r="Q1442" s="1"/>
      <c r="R1442" s="1"/>
      <c r="S1442" s="1"/>
    </row>
    <row r="1443" spans="1:19" ht="33.75" customHeight="1">
      <c r="A1443" s="1" t="s">
        <v>4068</v>
      </c>
      <c r="B1443" s="1" t="s">
        <v>3255</v>
      </c>
      <c r="C1443" s="1">
        <v>19</v>
      </c>
      <c r="D1443" s="4">
        <v>39891.443055555559</v>
      </c>
      <c r="E1443" s="1" t="s">
        <v>14</v>
      </c>
      <c r="F1443" s="1"/>
      <c r="G1443" s="1"/>
      <c r="H1443" s="1"/>
      <c r="I1443" s="1"/>
      <c r="J1443" s="1"/>
      <c r="K1443" s="1"/>
      <c r="L1443" s="1"/>
      <c r="M1443" s="1"/>
      <c r="N1443" s="1"/>
      <c r="O1443" s="1"/>
      <c r="P1443" s="1"/>
      <c r="Q1443" s="1"/>
      <c r="R1443" s="1"/>
      <c r="S1443" s="1"/>
    </row>
    <row r="1444" spans="1:19" ht="33.75" customHeight="1">
      <c r="A1444" s="1" t="s">
        <v>4070</v>
      </c>
      <c r="B1444" s="1" t="s">
        <v>3255</v>
      </c>
      <c r="C1444" s="1">
        <v>19</v>
      </c>
      <c r="D1444" s="4">
        <v>39891.570138888892</v>
      </c>
      <c r="E1444" s="1" t="s">
        <v>526</v>
      </c>
      <c r="F1444" s="1"/>
      <c r="G1444" s="1"/>
      <c r="H1444" s="1"/>
      <c r="I1444" s="1"/>
      <c r="J1444" s="1"/>
      <c r="K1444" s="1"/>
      <c r="L1444" s="1"/>
      <c r="M1444" s="1"/>
      <c r="N1444" s="1"/>
      <c r="O1444" s="1"/>
      <c r="P1444" s="1"/>
      <c r="Q1444" s="1"/>
      <c r="R1444" s="1"/>
      <c r="S1444" s="1"/>
    </row>
    <row r="1445" spans="1:19" ht="33.75" customHeight="1">
      <c r="A1445" s="1" t="s">
        <v>4072</v>
      </c>
      <c r="B1445" s="1" t="s">
        <v>3800</v>
      </c>
      <c r="C1445" s="1">
        <v>20</v>
      </c>
      <c r="D1445" s="4">
        <v>39891.642361111109</v>
      </c>
      <c r="E1445" s="1" t="s">
        <v>84</v>
      </c>
      <c r="F1445" s="1"/>
      <c r="G1445" s="1"/>
      <c r="H1445" s="1"/>
      <c r="I1445" s="1"/>
      <c r="J1445" s="1"/>
      <c r="K1445" s="1"/>
      <c r="L1445" s="1"/>
      <c r="M1445" s="1"/>
      <c r="N1445" s="1"/>
      <c r="O1445" s="1"/>
      <c r="P1445" s="1"/>
      <c r="Q1445" s="1"/>
      <c r="R1445" s="1"/>
      <c r="S1445" s="1"/>
    </row>
    <row r="1446" spans="1:19" ht="33.75" customHeight="1">
      <c r="A1446" s="1" t="s">
        <v>4074</v>
      </c>
      <c r="B1446" s="1" t="s">
        <v>3800</v>
      </c>
      <c r="C1446" s="1">
        <v>20</v>
      </c>
      <c r="D1446" s="4">
        <v>39891.645833333336</v>
      </c>
      <c r="E1446" s="1" t="s">
        <v>84</v>
      </c>
      <c r="F1446" s="1"/>
      <c r="G1446" s="1"/>
      <c r="H1446" s="1"/>
      <c r="I1446" s="1"/>
      <c r="J1446" s="1"/>
      <c r="K1446" s="1"/>
      <c r="L1446" s="1"/>
      <c r="M1446" s="1"/>
      <c r="N1446" s="1"/>
      <c r="O1446" s="1"/>
      <c r="P1446" s="1"/>
      <c r="Q1446" s="1"/>
      <c r="R1446" s="1"/>
      <c r="S1446" s="1"/>
    </row>
    <row r="1447" spans="1:19" ht="33.75" customHeight="1">
      <c r="A1447" s="1" t="s">
        <v>4076</v>
      </c>
      <c r="B1447" s="1" t="s">
        <v>3929</v>
      </c>
      <c r="C1447" s="1">
        <v>21</v>
      </c>
      <c r="D1447" s="4">
        <v>39891.720833333333</v>
      </c>
      <c r="E1447" s="1" t="s">
        <v>1528</v>
      </c>
      <c r="F1447" s="1"/>
      <c r="G1447" s="1"/>
      <c r="H1447" s="1"/>
      <c r="I1447" s="1"/>
      <c r="J1447" s="1"/>
      <c r="K1447" s="1"/>
      <c r="L1447" s="1"/>
      <c r="M1447" s="1"/>
      <c r="N1447" s="1"/>
      <c r="O1447" s="1"/>
      <c r="P1447" s="1"/>
      <c r="Q1447" s="1"/>
      <c r="R1447" s="1"/>
      <c r="S1447" s="1"/>
    </row>
    <row r="1448" spans="1:19" ht="33.75" customHeight="1">
      <c r="A1448" s="1" t="s">
        <v>4078</v>
      </c>
      <c r="B1448" s="1" t="s">
        <v>3255</v>
      </c>
      <c r="C1448" s="1">
        <v>19</v>
      </c>
      <c r="D1448" s="4">
        <v>39891.753472222219</v>
      </c>
      <c r="E1448" s="1" t="s">
        <v>110</v>
      </c>
      <c r="F1448" s="1"/>
      <c r="G1448" s="1"/>
      <c r="H1448" s="1"/>
      <c r="I1448" s="1"/>
      <c r="J1448" s="1"/>
      <c r="K1448" s="1"/>
      <c r="L1448" s="1"/>
      <c r="M1448" s="1"/>
      <c r="N1448" s="1"/>
      <c r="O1448" s="1"/>
      <c r="P1448" s="1"/>
      <c r="Q1448" s="1"/>
      <c r="R1448" s="1"/>
      <c r="S1448" s="1"/>
    </row>
    <row r="1449" spans="1:19" ht="33.75" customHeight="1">
      <c r="A1449" s="1" t="s">
        <v>4080</v>
      </c>
      <c r="B1449" s="1" t="s">
        <v>3929</v>
      </c>
      <c r="C1449" s="1">
        <v>21</v>
      </c>
      <c r="D1449" s="4">
        <v>39891.975694444445</v>
      </c>
      <c r="E1449" s="1" t="s">
        <v>320</v>
      </c>
      <c r="F1449" s="1"/>
      <c r="G1449" s="1"/>
      <c r="H1449" s="1"/>
      <c r="I1449" s="1"/>
      <c r="J1449" s="1"/>
      <c r="K1449" s="1"/>
      <c r="L1449" s="1"/>
      <c r="M1449" s="1"/>
      <c r="N1449" s="1"/>
      <c r="O1449" s="1"/>
      <c r="P1449" s="1"/>
      <c r="Q1449" s="1"/>
      <c r="R1449" s="1"/>
      <c r="S1449" s="1"/>
    </row>
    <row r="1450" spans="1:19" ht="33.75" customHeight="1">
      <c r="A1450" s="1" t="s">
        <v>4082</v>
      </c>
      <c r="B1450" s="1" t="s">
        <v>3929</v>
      </c>
      <c r="C1450" s="1">
        <v>21</v>
      </c>
      <c r="D1450" s="4">
        <v>39891.976388888892</v>
      </c>
      <c r="E1450" s="1" t="s">
        <v>320</v>
      </c>
      <c r="F1450" s="1"/>
      <c r="G1450" s="1"/>
      <c r="H1450" s="1"/>
      <c r="I1450" s="1"/>
      <c r="J1450" s="1"/>
      <c r="K1450" s="1"/>
      <c r="L1450" s="1"/>
      <c r="M1450" s="1"/>
      <c r="N1450" s="1"/>
      <c r="O1450" s="1"/>
      <c r="P1450" s="1"/>
      <c r="Q1450" s="1"/>
      <c r="R1450" s="1"/>
      <c r="S1450" s="1"/>
    </row>
    <row r="1451" spans="1:19" ht="33.75" customHeight="1">
      <c r="A1451" s="1" t="s">
        <v>4085</v>
      </c>
      <c r="B1451" s="1" t="s">
        <v>3255</v>
      </c>
      <c r="C1451" s="1">
        <v>19</v>
      </c>
      <c r="D1451" s="4">
        <v>39892.094444444447</v>
      </c>
      <c r="E1451" s="1" t="s">
        <v>84</v>
      </c>
      <c r="F1451" s="1"/>
      <c r="G1451" s="1"/>
      <c r="H1451" s="1"/>
      <c r="I1451" s="1"/>
      <c r="J1451" s="1"/>
      <c r="K1451" s="1"/>
      <c r="L1451" s="1"/>
      <c r="M1451" s="1"/>
      <c r="N1451" s="1"/>
      <c r="O1451" s="1"/>
      <c r="P1451" s="1"/>
      <c r="Q1451" s="1"/>
      <c r="R1451" s="1"/>
      <c r="S1451" s="1"/>
    </row>
    <row r="1452" spans="1:19" ht="33.75" customHeight="1">
      <c r="A1452" s="1" t="s">
        <v>4088</v>
      </c>
      <c r="B1452" s="1" t="s">
        <v>3929</v>
      </c>
      <c r="C1452" s="1">
        <v>21</v>
      </c>
      <c r="D1452" s="4">
        <v>39892.124305555553</v>
      </c>
      <c r="E1452" s="1" t="s">
        <v>320</v>
      </c>
      <c r="F1452" s="1"/>
      <c r="G1452" s="1"/>
      <c r="H1452" s="1"/>
      <c r="I1452" s="1"/>
      <c r="J1452" s="1"/>
      <c r="K1452" s="1"/>
      <c r="L1452" s="1"/>
      <c r="M1452" s="1"/>
      <c r="N1452" s="1"/>
      <c r="O1452" s="1"/>
      <c r="P1452" s="1"/>
      <c r="Q1452" s="1"/>
      <c r="R1452" s="1"/>
      <c r="S1452" s="1"/>
    </row>
    <row r="1453" spans="1:19" ht="33.75" customHeight="1">
      <c r="A1453" s="1" t="s">
        <v>4090</v>
      </c>
      <c r="B1453" s="1" t="s">
        <v>3800</v>
      </c>
      <c r="C1453" s="1">
        <v>20</v>
      </c>
      <c r="D1453" s="4">
        <v>39892.238888888889</v>
      </c>
      <c r="E1453" s="1" t="s">
        <v>1089</v>
      </c>
      <c r="F1453" s="1"/>
      <c r="G1453" s="1"/>
      <c r="H1453" s="1"/>
      <c r="I1453" s="1"/>
      <c r="J1453" s="1"/>
      <c r="K1453" s="1"/>
      <c r="L1453" s="1"/>
      <c r="M1453" s="1"/>
      <c r="N1453" s="1"/>
      <c r="O1453" s="1"/>
      <c r="P1453" s="1"/>
      <c r="Q1453" s="1"/>
      <c r="R1453" s="1"/>
      <c r="S1453" s="1"/>
    </row>
    <row r="1454" spans="1:19" ht="33.75" customHeight="1">
      <c r="A1454" s="1" t="s">
        <v>4092</v>
      </c>
      <c r="B1454" s="1" t="s">
        <v>3800</v>
      </c>
      <c r="C1454" s="1">
        <v>20</v>
      </c>
      <c r="D1454" s="4">
        <v>39892.354166666664</v>
      </c>
      <c r="E1454" s="1" t="s">
        <v>84</v>
      </c>
      <c r="F1454" s="1"/>
      <c r="G1454" s="1"/>
      <c r="H1454" s="1"/>
      <c r="I1454" s="1"/>
      <c r="J1454" s="1"/>
      <c r="K1454" s="1"/>
      <c r="L1454" s="1"/>
      <c r="M1454" s="1"/>
      <c r="N1454" s="1"/>
      <c r="O1454" s="1"/>
      <c r="P1454" s="1"/>
      <c r="Q1454" s="1"/>
      <c r="R1454" s="1"/>
      <c r="S1454" s="1"/>
    </row>
    <row r="1455" spans="1:19" ht="33.75" customHeight="1">
      <c r="A1455" s="1" t="s">
        <v>4094</v>
      </c>
      <c r="B1455" s="1" t="s">
        <v>3929</v>
      </c>
      <c r="C1455" s="1">
        <v>21</v>
      </c>
      <c r="D1455" s="4">
        <v>39892.377083333333</v>
      </c>
      <c r="E1455" s="1" t="s">
        <v>14</v>
      </c>
      <c r="F1455" s="1"/>
      <c r="G1455" s="1"/>
      <c r="H1455" s="1"/>
      <c r="I1455" s="1"/>
      <c r="J1455" s="1"/>
      <c r="K1455" s="1"/>
      <c r="L1455" s="1"/>
      <c r="M1455" s="1"/>
      <c r="N1455" s="1"/>
      <c r="O1455" s="1"/>
      <c r="P1455" s="1"/>
      <c r="Q1455" s="1"/>
      <c r="R1455" s="1"/>
      <c r="S1455" s="1"/>
    </row>
    <row r="1456" spans="1:19" ht="33.75" customHeight="1">
      <c r="A1456" s="1" t="s">
        <v>4097</v>
      </c>
      <c r="B1456" s="1" t="s">
        <v>3929</v>
      </c>
      <c r="C1456" s="1">
        <v>21</v>
      </c>
      <c r="D1456" s="4">
        <v>39892.722222222219</v>
      </c>
      <c r="E1456" s="1" t="s">
        <v>14</v>
      </c>
      <c r="F1456" s="1"/>
      <c r="G1456" s="1"/>
      <c r="H1456" s="1"/>
      <c r="I1456" s="1"/>
      <c r="J1456" s="1"/>
      <c r="K1456" s="1"/>
      <c r="L1456" s="1"/>
      <c r="M1456" s="1"/>
      <c r="N1456" s="1"/>
      <c r="O1456" s="1"/>
      <c r="P1456" s="1"/>
      <c r="Q1456" s="1"/>
      <c r="R1456" s="1"/>
      <c r="S1456" s="1"/>
    </row>
    <row r="1457" spans="1:19" ht="33.75" customHeight="1">
      <c r="A1457" s="1" t="s">
        <v>4099</v>
      </c>
      <c r="B1457" s="1" t="s">
        <v>3255</v>
      </c>
      <c r="C1457" s="1">
        <v>19</v>
      </c>
      <c r="D1457" s="4">
        <v>39892.76666666667</v>
      </c>
      <c r="E1457" s="1" t="s">
        <v>255</v>
      </c>
      <c r="F1457" s="1"/>
      <c r="G1457" s="1"/>
      <c r="H1457" s="1"/>
      <c r="I1457" s="1"/>
      <c r="J1457" s="1"/>
      <c r="K1457" s="1"/>
      <c r="L1457" s="1"/>
      <c r="M1457" s="1"/>
      <c r="N1457" s="1"/>
      <c r="O1457" s="1"/>
      <c r="P1457" s="1"/>
      <c r="Q1457" s="1"/>
      <c r="R1457" s="1"/>
      <c r="S1457" s="1"/>
    </row>
    <row r="1458" spans="1:19" ht="33.75" customHeight="1">
      <c r="A1458" s="1" t="s">
        <v>4102</v>
      </c>
      <c r="B1458" s="1" t="s">
        <v>3929</v>
      </c>
      <c r="C1458" s="1">
        <v>21</v>
      </c>
      <c r="D1458" s="4">
        <v>39892.960416666669</v>
      </c>
      <c r="E1458" s="1" t="s">
        <v>320</v>
      </c>
      <c r="F1458" s="1"/>
      <c r="G1458" s="1"/>
      <c r="H1458" s="1"/>
      <c r="I1458" s="1"/>
      <c r="J1458" s="1"/>
      <c r="K1458" s="1"/>
      <c r="L1458" s="1"/>
      <c r="M1458" s="1"/>
      <c r="N1458" s="1"/>
      <c r="O1458" s="1"/>
      <c r="P1458" s="1"/>
      <c r="Q1458" s="1"/>
      <c r="R1458" s="1"/>
      <c r="S1458" s="1"/>
    </row>
    <row r="1459" spans="1:19" ht="33.75" customHeight="1">
      <c r="A1459" s="1" t="s">
        <v>4104</v>
      </c>
      <c r="B1459" s="1" t="s">
        <v>3929</v>
      </c>
      <c r="C1459" s="1">
        <v>21</v>
      </c>
      <c r="D1459" s="4">
        <v>39892.961805555555</v>
      </c>
      <c r="E1459" s="1" t="s">
        <v>320</v>
      </c>
      <c r="F1459" s="1"/>
      <c r="G1459" s="1"/>
      <c r="H1459" s="1"/>
      <c r="I1459" s="1"/>
      <c r="J1459" s="1"/>
      <c r="K1459" s="1"/>
      <c r="L1459" s="1"/>
      <c r="M1459" s="1"/>
      <c r="N1459" s="1"/>
      <c r="O1459" s="1"/>
      <c r="P1459" s="1"/>
      <c r="Q1459" s="1"/>
      <c r="R1459" s="1"/>
      <c r="S1459" s="1"/>
    </row>
    <row r="1460" spans="1:19" ht="33.75" customHeight="1">
      <c r="A1460" s="1" t="s">
        <v>4106</v>
      </c>
      <c r="B1460" s="1" t="s">
        <v>3800</v>
      </c>
      <c r="C1460" s="1">
        <v>20</v>
      </c>
      <c r="D1460" s="4">
        <v>39893.348611111112</v>
      </c>
      <c r="E1460" s="1" t="s">
        <v>1089</v>
      </c>
      <c r="F1460" s="1"/>
      <c r="G1460" s="1"/>
      <c r="H1460" s="1"/>
      <c r="I1460" s="1"/>
      <c r="J1460" s="1"/>
      <c r="K1460" s="1"/>
      <c r="L1460" s="1"/>
      <c r="M1460" s="1"/>
      <c r="N1460" s="1"/>
      <c r="O1460" s="1"/>
      <c r="P1460" s="1"/>
      <c r="Q1460" s="1"/>
      <c r="R1460" s="1"/>
      <c r="S1460" s="1"/>
    </row>
    <row r="1461" spans="1:19" ht="33.75" customHeight="1">
      <c r="A1461" s="1" t="s">
        <v>4108</v>
      </c>
      <c r="B1461" s="1" t="s">
        <v>3800</v>
      </c>
      <c r="C1461" s="1">
        <v>20</v>
      </c>
      <c r="D1461" s="4">
        <v>39893.488194444442</v>
      </c>
      <c r="E1461" s="1" t="s">
        <v>772</v>
      </c>
      <c r="F1461" s="1"/>
      <c r="G1461" s="1"/>
      <c r="H1461" s="1"/>
      <c r="I1461" s="1"/>
      <c r="J1461" s="1"/>
      <c r="K1461" s="1"/>
      <c r="L1461" s="1"/>
      <c r="M1461" s="1"/>
      <c r="N1461" s="1"/>
      <c r="O1461" s="1"/>
      <c r="P1461" s="1"/>
      <c r="Q1461" s="1"/>
      <c r="R1461" s="1"/>
      <c r="S1461" s="1"/>
    </row>
    <row r="1462" spans="1:19" ht="33.75" customHeight="1">
      <c r="A1462" s="1" t="s">
        <v>4110</v>
      </c>
      <c r="B1462" s="1" t="s">
        <v>3800</v>
      </c>
      <c r="C1462" s="1">
        <v>20</v>
      </c>
      <c r="D1462" s="4">
        <v>39893.491666666669</v>
      </c>
      <c r="E1462" s="1" t="s">
        <v>772</v>
      </c>
      <c r="F1462" s="1"/>
      <c r="G1462" s="1"/>
      <c r="H1462" s="1"/>
      <c r="I1462" s="1"/>
      <c r="J1462" s="1"/>
      <c r="K1462" s="1"/>
      <c r="L1462" s="1"/>
      <c r="M1462" s="1"/>
      <c r="N1462" s="1"/>
      <c r="O1462" s="1"/>
      <c r="P1462" s="1"/>
      <c r="Q1462" s="1"/>
      <c r="R1462" s="1"/>
      <c r="S1462" s="1"/>
    </row>
    <row r="1463" spans="1:19" ht="33.75" customHeight="1">
      <c r="A1463" s="1" t="s">
        <v>4112</v>
      </c>
      <c r="B1463" s="1" t="s">
        <v>3800</v>
      </c>
      <c r="C1463" s="1">
        <v>20</v>
      </c>
      <c r="D1463" s="4">
        <v>39893.493055555555</v>
      </c>
      <c r="E1463" s="1" t="s">
        <v>772</v>
      </c>
      <c r="F1463" s="1"/>
      <c r="G1463" s="1"/>
      <c r="H1463" s="1"/>
      <c r="I1463" s="1"/>
      <c r="J1463" s="1"/>
      <c r="K1463" s="1"/>
      <c r="L1463" s="1"/>
      <c r="M1463" s="1"/>
      <c r="N1463" s="1"/>
      <c r="O1463" s="1"/>
      <c r="P1463" s="1"/>
      <c r="Q1463" s="1"/>
      <c r="R1463" s="1"/>
      <c r="S1463" s="1"/>
    </row>
    <row r="1464" spans="1:19" ht="33.75" customHeight="1">
      <c r="A1464" s="1" t="s">
        <v>4114</v>
      </c>
      <c r="B1464" s="1" t="s">
        <v>3255</v>
      </c>
      <c r="C1464" s="1">
        <v>19</v>
      </c>
      <c r="D1464" s="4">
        <v>39894.241666666669</v>
      </c>
      <c r="E1464" s="1" t="s">
        <v>4115</v>
      </c>
      <c r="F1464" s="1"/>
      <c r="G1464" s="1"/>
      <c r="H1464" s="1"/>
      <c r="I1464" s="1"/>
      <c r="J1464" s="1"/>
      <c r="K1464" s="1"/>
      <c r="L1464" s="1"/>
      <c r="M1464" s="1"/>
      <c r="N1464" s="1"/>
      <c r="O1464" s="1"/>
      <c r="P1464" s="1"/>
      <c r="Q1464" s="1"/>
      <c r="R1464" s="1"/>
      <c r="S1464" s="1"/>
    </row>
    <row r="1465" spans="1:19" ht="33.75" customHeight="1">
      <c r="A1465" s="1" t="s">
        <v>4118</v>
      </c>
      <c r="B1465" s="1" t="s">
        <v>3255</v>
      </c>
      <c r="C1465" s="1">
        <v>19</v>
      </c>
      <c r="D1465" s="4">
        <v>39894.291666666664</v>
      </c>
      <c r="E1465" s="1" t="s">
        <v>1073</v>
      </c>
      <c r="F1465" s="1"/>
      <c r="G1465" s="1"/>
      <c r="H1465" s="1"/>
      <c r="I1465" s="1"/>
      <c r="J1465" s="1"/>
      <c r="K1465" s="1"/>
      <c r="L1465" s="1"/>
      <c r="M1465" s="1"/>
      <c r="N1465" s="1"/>
      <c r="O1465" s="1"/>
      <c r="P1465" s="1"/>
      <c r="Q1465" s="1"/>
      <c r="R1465" s="1"/>
      <c r="S1465" s="1"/>
    </row>
    <row r="1466" spans="1:19" ht="33.75" customHeight="1">
      <c r="A1466" s="1" t="s">
        <v>4121</v>
      </c>
      <c r="B1466" s="1" t="s">
        <v>3255</v>
      </c>
      <c r="C1466" s="1">
        <v>19</v>
      </c>
      <c r="D1466" s="4">
        <v>39894.29791666667</v>
      </c>
      <c r="E1466" s="1" t="s">
        <v>1073</v>
      </c>
      <c r="F1466" s="1"/>
      <c r="G1466" s="1"/>
      <c r="H1466" s="1"/>
      <c r="I1466" s="1"/>
      <c r="J1466" s="1"/>
      <c r="K1466" s="1"/>
      <c r="L1466" s="1"/>
      <c r="M1466" s="1"/>
      <c r="N1466" s="1"/>
      <c r="O1466" s="1"/>
      <c r="P1466" s="1"/>
      <c r="Q1466" s="1"/>
      <c r="R1466" s="1"/>
      <c r="S1466" s="1"/>
    </row>
    <row r="1467" spans="1:19" ht="33.75" customHeight="1">
      <c r="A1467" s="1" t="s">
        <v>4123</v>
      </c>
      <c r="B1467" s="1" t="s">
        <v>3255</v>
      </c>
      <c r="C1467" s="1">
        <v>19</v>
      </c>
      <c r="D1467" s="4">
        <v>39894.305555555555</v>
      </c>
      <c r="E1467" s="1" t="s">
        <v>1073</v>
      </c>
      <c r="F1467" s="1"/>
      <c r="G1467" s="1"/>
      <c r="H1467" s="1"/>
      <c r="I1467" s="1"/>
      <c r="J1467" s="1"/>
      <c r="K1467" s="1"/>
      <c r="L1467" s="1"/>
      <c r="M1467" s="1"/>
      <c r="N1467" s="1"/>
      <c r="O1467" s="1"/>
      <c r="P1467" s="1"/>
      <c r="Q1467" s="1"/>
      <c r="R1467" s="1"/>
      <c r="S1467" s="1"/>
    </row>
    <row r="1468" spans="1:19" ht="33.75" customHeight="1">
      <c r="A1468" s="1" t="s">
        <v>4125</v>
      </c>
      <c r="B1468" s="1" t="s">
        <v>3255</v>
      </c>
      <c r="C1468" s="1">
        <v>19</v>
      </c>
      <c r="D1468" s="4">
        <v>39894.306944444441</v>
      </c>
      <c r="E1468" s="1" t="s">
        <v>1073</v>
      </c>
      <c r="F1468" s="1"/>
      <c r="G1468" s="1"/>
      <c r="H1468" s="1"/>
      <c r="I1468" s="1"/>
      <c r="J1468" s="1"/>
      <c r="K1468" s="1"/>
      <c r="L1468" s="1"/>
      <c r="M1468" s="1"/>
      <c r="N1468" s="1"/>
      <c r="O1468" s="1"/>
      <c r="P1468" s="1"/>
      <c r="Q1468" s="1"/>
      <c r="R1468" s="1"/>
      <c r="S1468" s="1"/>
    </row>
    <row r="1469" spans="1:19" ht="33.75" customHeight="1">
      <c r="A1469" s="1" t="s">
        <v>4128</v>
      </c>
      <c r="B1469" s="1" t="s">
        <v>3255</v>
      </c>
      <c r="C1469" s="1">
        <v>19</v>
      </c>
      <c r="D1469" s="4">
        <v>39894.736111111109</v>
      </c>
      <c r="E1469" s="1" t="s">
        <v>526</v>
      </c>
      <c r="F1469" s="1"/>
      <c r="G1469" s="1"/>
      <c r="H1469" s="1"/>
      <c r="I1469" s="1"/>
      <c r="J1469" s="1"/>
      <c r="K1469" s="1"/>
      <c r="L1469" s="1"/>
      <c r="M1469" s="1"/>
      <c r="N1469" s="1"/>
      <c r="O1469" s="1"/>
      <c r="P1469" s="1"/>
      <c r="Q1469" s="1"/>
      <c r="R1469" s="1"/>
      <c r="S1469" s="1"/>
    </row>
    <row r="1470" spans="1:19" ht="33.75" customHeight="1">
      <c r="A1470" s="1" t="s">
        <v>4131</v>
      </c>
      <c r="B1470" s="1" t="s">
        <v>3255</v>
      </c>
      <c r="C1470" s="1">
        <v>19</v>
      </c>
      <c r="D1470" s="4">
        <v>39894.770833333336</v>
      </c>
      <c r="E1470" s="1" t="s">
        <v>84</v>
      </c>
      <c r="F1470" s="1"/>
      <c r="G1470" s="1"/>
      <c r="H1470" s="1"/>
      <c r="I1470" s="1"/>
      <c r="J1470" s="1"/>
      <c r="K1470" s="1"/>
      <c r="L1470" s="1"/>
      <c r="M1470" s="1"/>
      <c r="N1470" s="1"/>
      <c r="O1470" s="1"/>
      <c r="P1470" s="1"/>
      <c r="Q1470" s="1"/>
      <c r="R1470" s="1"/>
      <c r="S1470" s="1"/>
    </row>
    <row r="1471" spans="1:19" ht="33.75" customHeight="1">
      <c r="A1471" s="1" t="s">
        <v>4133</v>
      </c>
      <c r="B1471" s="1" t="s">
        <v>3255</v>
      </c>
      <c r="C1471" s="1">
        <v>19</v>
      </c>
      <c r="D1471" s="4">
        <v>39894.792361111111</v>
      </c>
      <c r="E1471" s="1" t="s">
        <v>1887</v>
      </c>
      <c r="F1471" s="1"/>
      <c r="G1471" s="1"/>
      <c r="H1471" s="1"/>
      <c r="I1471" s="1"/>
      <c r="J1471" s="1"/>
      <c r="K1471" s="1"/>
      <c r="L1471" s="1"/>
      <c r="M1471" s="1"/>
      <c r="N1471" s="1"/>
      <c r="O1471" s="1"/>
      <c r="P1471" s="1"/>
      <c r="Q1471" s="1"/>
      <c r="R1471" s="1"/>
      <c r="S1471" s="1"/>
    </row>
    <row r="1472" spans="1:19" ht="33.75" customHeight="1">
      <c r="A1472" s="1" t="s">
        <v>4135</v>
      </c>
      <c r="B1472" s="1" t="s">
        <v>3800</v>
      </c>
      <c r="C1472" s="1">
        <v>20</v>
      </c>
      <c r="D1472" s="4">
        <v>39895.227083333331</v>
      </c>
      <c r="E1472" s="1" t="s">
        <v>1887</v>
      </c>
      <c r="F1472" s="1"/>
      <c r="G1472" s="1"/>
      <c r="H1472" s="1"/>
      <c r="I1472" s="1"/>
      <c r="J1472" s="1"/>
      <c r="K1472" s="1"/>
      <c r="L1472" s="1"/>
      <c r="M1472" s="1"/>
      <c r="N1472" s="1"/>
      <c r="O1472" s="1"/>
      <c r="P1472" s="1"/>
      <c r="Q1472" s="1"/>
      <c r="R1472" s="1"/>
      <c r="S1472" s="1"/>
    </row>
    <row r="1473" spans="1:19" ht="33.75" customHeight="1">
      <c r="A1473" s="1" t="s">
        <v>4137</v>
      </c>
      <c r="B1473" s="1" t="s">
        <v>3800</v>
      </c>
      <c r="C1473" s="1">
        <v>20</v>
      </c>
      <c r="D1473" s="4">
        <v>39895.392361111109</v>
      </c>
      <c r="E1473" s="1" t="s">
        <v>772</v>
      </c>
      <c r="F1473" s="1"/>
      <c r="G1473" s="1"/>
      <c r="H1473" s="1"/>
      <c r="I1473" s="1"/>
      <c r="J1473" s="1"/>
      <c r="K1473" s="1"/>
      <c r="L1473" s="1"/>
      <c r="M1473" s="1"/>
      <c r="N1473" s="1"/>
      <c r="O1473" s="1"/>
      <c r="P1473" s="1"/>
      <c r="Q1473" s="1"/>
      <c r="R1473" s="1"/>
      <c r="S1473" s="1"/>
    </row>
    <row r="1474" spans="1:19" ht="33.75" customHeight="1">
      <c r="A1474" s="1" t="s">
        <v>4139</v>
      </c>
      <c r="B1474" s="1" t="s">
        <v>3800</v>
      </c>
      <c r="C1474" s="1">
        <v>20</v>
      </c>
      <c r="D1474" s="4">
        <v>39895.796527777777</v>
      </c>
      <c r="E1474" s="1" t="s">
        <v>84</v>
      </c>
      <c r="F1474" s="1"/>
      <c r="G1474" s="1"/>
      <c r="H1474" s="1"/>
      <c r="I1474" s="1"/>
      <c r="J1474" s="1"/>
      <c r="K1474" s="1"/>
      <c r="L1474" s="1"/>
      <c r="M1474" s="1"/>
      <c r="N1474" s="1"/>
      <c r="O1474" s="1"/>
      <c r="P1474" s="1"/>
      <c r="Q1474" s="1"/>
      <c r="R1474" s="1"/>
      <c r="S1474" s="1"/>
    </row>
    <row r="1475" spans="1:19" ht="33.75" customHeight="1">
      <c r="A1475" s="1" t="s">
        <v>4141</v>
      </c>
      <c r="B1475" s="1" t="s">
        <v>3800</v>
      </c>
      <c r="C1475" s="1">
        <v>20</v>
      </c>
      <c r="D1475" s="4">
        <v>39895.963194444441</v>
      </c>
      <c r="E1475" s="1" t="s">
        <v>1089</v>
      </c>
      <c r="F1475" s="1"/>
      <c r="G1475" s="1"/>
      <c r="H1475" s="1"/>
      <c r="I1475" s="1"/>
      <c r="J1475" s="1"/>
      <c r="K1475" s="1"/>
      <c r="L1475" s="1"/>
      <c r="M1475" s="1"/>
      <c r="N1475" s="1"/>
      <c r="O1475" s="1"/>
      <c r="P1475" s="1"/>
      <c r="Q1475" s="1"/>
      <c r="R1475" s="1"/>
      <c r="S1475" s="1"/>
    </row>
    <row r="1476" spans="1:19" ht="33.75" customHeight="1">
      <c r="A1476" s="1" t="s">
        <v>4143</v>
      </c>
      <c r="B1476" s="1" t="s">
        <v>3800</v>
      </c>
      <c r="C1476" s="1">
        <v>20</v>
      </c>
      <c r="D1476" s="4">
        <v>39896.043749999997</v>
      </c>
      <c r="E1476" s="1" t="s">
        <v>1887</v>
      </c>
      <c r="F1476" s="1"/>
      <c r="G1476" s="1"/>
      <c r="H1476" s="1"/>
      <c r="I1476" s="1"/>
      <c r="J1476" s="1"/>
      <c r="K1476" s="1"/>
      <c r="L1476" s="1"/>
      <c r="M1476" s="1"/>
      <c r="N1476" s="1"/>
      <c r="O1476" s="1"/>
      <c r="P1476" s="1"/>
      <c r="Q1476" s="1"/>
      <c r="R1476" s="1"/>
      <c r="S1476" s="1"/>
    </row>
    <row r="1477" spans="1:19" ht="33.75" customHeight="1">
      <c r="A1477" s="1" t="s">
        <v>4145</v>
      </c>
      <c r="B1477" s="1" t="s">
        <v>3800</v>
      </c>
      <c r="C1477" s="1">
        <v>20</v>
      </c>
      <c r="D1477" s="4">
        <v>39896.226388888892</v>
      </c>
      <c r="E1477" s="1" t="s">
        <v>1089</v>
      </c>
      <c r="F1477" s="1"/>
      <c r="G1477" s="1"/>
      <c r="H1477" s="1"/>
      <c r="I1477" s="1"/>
      <c r="J1477" s="1"/>
      <c r="K1477" s="1"/>
      <c r="L1477" s="1"/>
      <c r="M1477" s="1"/>
      <c r="N1477" s="1"/>
      <c r="O1477" s="1"/>
      <c r="P1477" s="1"/>
      <c r="Q1477" s="1"/>
      <c r="R1477" s="1"/>
      <c r="S1477" s="1"/>
    </row>
    <row r="1478" spans="1:19" ht="33.75" customHeight="1">
      <c r="A1478" s="1" t="s">
        <v>4147</v>
      </c>
      <c r="B1478" s="1" t="s">
        <v>3800</v>
      </c>
      <c r="C1478" s="1">
        <v>20</v>
      </c>
      <c r="D1478" s="4">
        <v>39896.356944444444</v>
      </c>
      <c r="E1478" s="1" t="s">
        <v>772</v>
      </c>
      <c r="F1478" s="1"/>
      <c r="G1478" s="1"/>
      <c r="H1478" s="1"/>
      <c r="I1478" s="1"/>
      <c r="J1478" s="1"/>
      <c r="K1478" s="1"/>
      <c r="L1478" s="1"/>
      <c r="M1478" s="1"/>
      <c r="N1478" s="1"/>
      <c r="O1478" s="1"/>
      <c r="P1478" s="1"/>
      <c r="Q1478" s="1"/>
      <c r="R1478" s="1"/>
      <c r="S1478" s="1"/>
    </row>
    <row r="1479" spans="1:19" ht="33.75" customHeight="1">
      <c r="A1479" s="1" t="s">
        <v>4149</v>
      </c>
      <c r="B1479" s="1" t="s">
        <v>3800</v>
      </c>
      <c r="C1479" s="1">
        <v>20</v>
      </c>
      <c r="D1479" s="4">
        <v>39896.368750000001</v>
      </c>
      <c r="E1479" s="1" t="s">
        <v>772</v>
      </c>
      <c r="F1479" s="1"/>
      <c r="G1479" s="1"/>
      <c r="H1479" s="1"/>
      <c r="I1479" s="1"/>
      <c r="J1479" s="1"/>
      <c r="K1479" s="1"/>
      <c r="L1479" s="1"/>
      <c r="M1479" s="1"/>
      <c r="N1479" s="1"/>
      <c r="O1479" s="1"/>
      <c r="P1479" s="1"/>
      <c r="Q1479" s="1"/>
      <c r="R1479" s="1"/>
      <c r="S1479" s="1"/>
    </row>
    <row r="1480" spans="1:19" ht="33.75" customHeight="1">
      <c r="A1480" s="1" t="s">
        <v>12</v>
      </c>
      <c r="B1480" s="1" t="s">
        <v>4151</v>
      </c>
      <c r="C1480" s="1">
        <v>22</v>
      </c>
      <c r="D1480" s="4">
        <v>39896.373032407406</v>
      </c>
      <c r="E1480" s="1" t="s">
        <v>14</v>
      </c>
      <c r="F1480" s="1"/>
      <c r="G1480" s="1"/>
      <c r="H1480" s="1"/>
      <c r="I1480" s="1"/>
      <c r="J1480" s="1"/>
      <c r="K1480" s="1"/>
      <c r="L1480" s="1"/>
      <c r="M1480" s="1"/>
      <c r="N1480" s="1"/>
      <c r="O1480" s="1"/>
      <c r="P1480" s="1"/>
      <c r="Q1480" s="1"/>
      <c r="R1480" s="1"/>
      <c r="S1480" s="1"/>
    </row>
    <row r="1481" spans="1:19" ht="33.75" customHeight="1">
      <c r="A1481" s="1" t="s">
        <v>4154</v>
      </c>
      <c r="B1481" s="1" t="s">
        <v>3800</v>
      </c>
      <c r="C1481" s="1">
        <v>20</v>
      </c>
      <c r="D1481" s="4">
        <v>39896.383333333331</v>
      </c>
      <c r="E1481" s="1" t="s">
        <v>772</v>
      </c>
      <c r="F1481" s="1"/>
      <c r="G1481" s="1"/>
      <c r="H1481" s="1"/>
      <c r="I1481" s="1"/>
      <c r="J1481" s="1"/>
      <c r="K1481" s="1"/>
      <c r="L1481" s="1"/>
      <c r="M1481" s="1"/>
      <c r="N1481" s="1"/>
      <c r="O1481" s="1"/>
      <c r="P1481" s="1"/>
      <c r="Q1481" s="1"/>
      <c r="R1481" s="1"/>
      <c r="S1481" s="1"/>
    </row>
    <row r="1482" spans="1:19" ht="33.75" customHeight="1">
      <c r="A1482" s="1" t="s">
        <v>4156</v>
      </c>
      <c r="B1482" s="1" t="s">
        <v>3800</v>
      </c>
      <c r="C1482" s="1">
        <v>20</v>
      </c>
      <c r="D1482" s="4">
        <v>39896.398611111108</v>
      </c>
      <c r="E1482" s="1" t="s">
        <v>772</v>
      </c>
      <c r="F1482" s="1"/>
      <c r="G1482" s="1"/>
      <c r="H1482" s="1"/>
      <c r="I1482" s="1"/>
      <c r="J1482" s="1"/>
      <c r="K1482" s="1"/>
      <c r="L1482" s="1"/>
      <c r="M1482" s="1"/>
      <c r="N1482" s="1"/>
      <c r="O1482" s="1"/>
      <c r="P1482" s="1"/>
      <c r="Q1482" s="1"/>
      <c r="R1482" s="1"/>
      <c r="S1482" s="1"/>
    </row>
    <row r="1483" spans="1:19" ht="33.75" customHeight="1">
      <c r="A1483" s="1" t="s">
        <v>4159</v>
      </c>
      <c r="B1483" s="1" t="s">
        <v>3929</v>
      </c>
      <c r="C1483" s="1">
        <v>21</v>
      </c>
      <c r="D1483" s="4">
        <v>39896.431944444441</v>
      </c>
      <c r="E1483" s="1" t="s">
        <v>255</v>
      </c>
      <c r="F1483" s="1"/>
      <c r="G1483" s="1"/>
      <c r="H1483" s="1"/>
      <c r="I1483" s="1"/>
      <c r="J1483" s="1"/>
      <c r="K1483" s="1"/>
      <c r="L1483" s="1"/>
      <c r="M1483" s="1"/>
      <c r="N1483" s="1"/>
      <c r="O1483" s="1"/>
      <c r="P1483" s="1"/>
      <c r="Q1483" s="1"/>
      <c r="R1483" s="1"/>
      <c r="S1483" s="1"/>
    </row>
    <row r="1484" spans="1:19" ht="33.75" customHeight="1">
      <c r="A1484" s="1" t="s">
        <v>4162</v>
      </c>
      <c r="B1484" s="1" t="s">
        <v>4151</v>
      </c>
      <c r="C1484" s="1">
        <v>22</v>
      </c>
      <c r="D1484" s="4">
        <v>39896.461111111108</v>
      </c>
      <c r="E1484" s="1" t="s">
        <v>255</v>
      </c>
      <c r="F1484" s="1"/>
      <c r="G1484" s="1"/>
      <c r="H1484" s="1"/>
      <c r="I1484" s="1"/>
      <c r="J1484" s="1"/>
      <c r="K1484" s="1"/>
      <c r="L1484" s="1"/>
      <c r="M1484" s="1"/>
      <c r="N1484" s="1"/>
      <c r="O1484" s="1"/>
      <c r="P1484" s="1"/>
      <c r="Q1484" s="1"/>
      <c r="R1484" s="1"/>
      <c r="S1484" s="1"/>
    </row>
    <row r="1485" spans="1:19" ht="33.75" customHeight="1">
      <c r="A1485" s="1" t="s">
        <v>4164</v>
      </c>
      <c r="B1485" s="1" t="s">
        <v>4151</v>
      </c>
      <c r="C1485" s="1">
        <v>22</v>
      </c>
      <c r="D1485" s="4">
        <v>39896.465277777781</v>
      </c>
      <c r="E1485" s="1" t="s">
        <v>4165</v>
      </c>
      <c r="F1485" s="1"/>
      <c r="G1485" s="1"/>
      <c r="H1485" s="1"/>
      <c r="I1485" s="1"/>
      <c r="J1485" s="1"/>
      <c r="K1485" s="1"/>
      <c r="L1485" s="1"/>
      <c r="M1485" s="1"/>
      <c r="N1485" s="1"/>
      <c r="O1485" s="1"/>
      <c r="P1485" s="1"/>
      <c r="Q1485" s="1"/>
      <c r="R1485" s="1"/>
      <c r="S1485" s="1"/>
    </row>
    <row r="1486" spans="1:19" ht="33.75" customHeight="1">
      <c r="A1486" s="1" t="s">
        <v>4167</v>
      </c>
      <c r="B1486" s="1" t="s">
        <v>4151</v>
      </c>
      <c r="C1486" s="1">
        <v>22</v>
      </c>
      <c r="D1486" s="4">
        <v>39896.489583333336</v>
      </c>
      <c r="E1486" s="1" t="s">
        <v>830</v>
      </c>
      <c r="F1486" s="1"/>
      <c r="G1486" s="1"/>
      <c r="H1486" s="1"/>
      <c r="I1486" s="1"/>
      <c r="J1486" s="1"/>
      <c r="K1486" s="1"/>
      <c r="L1486" s="1"/>
      <c r="M1486" s="1"/>
      <c r="N1486" s="1"/>
      <c r="O1486" s="1"/>
      <c r="P1486" s="1"/>
      <c r="Q1486" s="1"/>
      <c r="R1486" s="1"/>
      <c r="S1486" s="1"/>
    </row>
    <row r="1487" spans="1:19" ht="33.75" customHeight="1">
      <c r="A1487" s="1" t="s">
        <v>4169</v>
      </c>
      <c r="B1487" s="1" t="s">
        <v>4151</v>
      </c>
      <c r="C1487" s="1">
        <v>22</v>
      </c>
      <c r="D1487" s="4">
        <v>39896.492361111108</v>
      </c>
      <c r="E1487" s="1" t="s">
        <v>4170</v>
      </c>
      <c r="F1487" s="1"/>
      <c r="G1487" s="1"/>
      <c r="H1487" s="1"/>
      <c r="I1487" s="1"/>
      <c r="J1487" s="1"/>
      <c r="K1487" s="1"/>
      <c r="L1487" s="1"/>
      <c r="M1487" s="1"/>
      <c r="N1487" s="1"/>
      <c r="O1487" s="1"/>
      <c r="P1487" s="1"/>
      <c r="Q1487" s="1"/>
      <c r="R1487" s="1"/>
      <c r="S1487" s="1"/>
    </row>
    <row r="1488" spans="1:19" ht="33.75" customHeight="1">
      <c r="A1488" s="1" t="s">
        <v>4172</v>
      </c>
      <c r="B1488" s="1" t="s">
        <v>4151</v>
      </c>
      <c r="C1488" s="1">
        <v>22</v>
      </c>
      <c r="D1488" s="4">
        <v>39896.497916666667</v>
      </c>
      <c r="E1488" s="1" t="s">
        <v>4173</v>
      </c>
      <c r="F1488" s="1"/>
      <c r="G1488" s="1"/>
      <c r="H1488" s="1"/>
      <c r="I1488" s="1"/>
      <c r="J1488" s="1"/>
      <c r="K1488" s="1"/>
      <c r="L1488" s="1"/>
      <c r="M1488" s="1"/>
      <c r="N1488" s="1"/>
      <c r="O1488" s="1"/>
      <c r="P1488" s="1"/>
      <c r="Q1488" s="1"/>
      <c r="R1488" s="1"/>
      <c r="S1488" s="1"/>
    </row>
    <row r="1489" spans="1:19" ht="33.75" customHeight="1">
      <c r="A1489" s="1" t="s">
        <v>4175</v>
      </c>
      <c r="B1489" s="1" t="s">
        <v>4151</v>
      </c>
      <c r="C1489" s="1">
        <v>22</v>
      </c>
      <c r="D1489" s="4">
        <v>39896.56527777778</v>
      </c>
      <c r="E1489" s="1" t="s">
        <v>4176</v>
      </c>
      <c r="F1489" s="1"/>
      <c r="G1489" s="1"/>
      <c r="H1489" s="1"/>
      <c r="I1489" s="1"/>
      <c r="J1489" s="1"/>
      <c r="K1489" s="1"/>
      <c r="L1489" s="1"/>
      <c r="M1489" s="1"/>
      <c r="N1489" s="1"/>
      <c r="O1489" s="1"/>
      <c r="P1489" s="1"/>
      <c r="Q1489" s="1"/>
      <c r="R1489" s="1"/>
      <c r="S1489" s="1"/>
    </row>
    <row r="1490" spans="1:19" ht="33.75" customHeight="1">
      <c r="A1490" s="1" t="s">
        <v>4178</v>
      </c>
      <c r="B1490" s="1" t="s">
        <v>3800</v>
      </c>
      <c r="C1490" s="1">
        <v>20</v>
      </c>
      <c r="D1490" s="4">
        <v>39896.589583333334</v>
      </c>
      <c r="E1490" s="1" t="s">
        <v>54</v>
      </c>
      <c r="F1490" s="1"/>
      <c r="G1490" s="1"/>
      <c r="H1490" s="1"/>
      <c r="I1490" s="1"/>
      <c r="J1490" s="1"/>
      <c r="K1490" s="1"/>
      <c r="L1490" s="1"/>
      <c r="M1490" s="1"/>
      <c r="N1490" s="1"/>
      <c r="O1490" s="1"/>
      <c r="P1490" s="1"/>
      <c r="Q1490" s="1"/>
      <c r="R1490" s="1"/>
      <c r="S1490" s="1"/>
    </row>
    <row r="1491" spans="1:19" ht="33.75" customHeight="1">
      <c r="A1491" s="1" t="s">
        <v>4181</v>
      </c>
      <c r="B1491" s="1" t="s">
        <v>4151</v>
      </c>
      <c r="C1491" s="1">
        <v>22</v>
      </c>
      <c r="D1491" s="4">
        <v>39896.613888888889</v>
      </c>
      <c r="E1491" s="1" t="s">
        <v>4182</v>
      </c>
      <c r="F1491" s="1"/>
      <c r="G1491" s="1"/>
      <c r="H1491" s="1"/>
      <c r="I1491" s="1"/>
      <c r="J1491" s="1"/>
      <c r="K1491" s="1"/>
      <c r="L1491" s="1"/>
      <c r="M1491" s="1"/>
      <c r="N1491" s="1"/>
      <c r="O1491" s="1"/>
      <c r="P1491" s="1"/>
      <c r="Q1491" s="1"/>
      <c r="R1491" s="1"/>
      <c r="S1491" s="1"/>
    </row>
    <row r="1492" spans="1:19" ht="33.75" customHeight="1">
      <c r="A1492" s="1" t="s">
        <v>4185</v>
      </c>
      <c r="B1492" s="1" t="s">
        <v>4151</v>
      </c>
      <c r="C1492" s="1">
        <v>22</v>
      </c>
      <c r="D1492" s="4">
        <v>39896.618055555555</v>
      </c>
      <c r="E1492" s="1" t="s">
        <v>4186</v>
      </c>
      <c r="F1492" s="1"/>
      <c r="G1492" s="1"/>
      <c r="H1492" s="1"/>
      <c r="I1492" s="1"/>
      <c r="J1492" s="1"/>
      <c r="K1492" s="1"/>
      <c r="L1492" s="1"/>
      <c r="M1492" s="1"/>
      <c r="N1492" s="1"/>
      <c r="O1492" s="1"/>
      <c r="P1492" s="1"/>
      <c r="Q1492" s="1"/>
      <c r="R1492" s="1"/>
      <c r="S1492" s="1"/>
    </row>
    <row r="1493" spans="1:19" ht="33.75" customHeight="1">
      <c r="A1493" s="1" t="s">
        <v>4189</v>
      </c>
      <c r="B1493" s="1" t="s">
        <v>4151</v>
      </c>
      <c r="C1493" s="1">
        <v>22</v>
      </c>
      <c r="D1493" s="4">
        <v>39896.625</v>
      </c>
      <c r="E1493" s="1" t="s">
        <v>4190</v>
      </c>
      <c r="F1493" s="1"/>
      <c r="G1493" s="1"/>
      <c r="H1493" s="1"/>
      <c r="I1493" s="1"/>
      <c r="J1493" s="1"/>
      <c r="K1493" s="1"/>
      <c r="L1493" s="1"/>
      <c r="M1493" s="1"/>
      <c r="N1493" s="1"/>
      <c r="O1493" s="1"/>
      <c r="P1493" s="1"/>
      <c r="Q1493" s="1"/>
      <c r="R1493" s="1"/>
      <c r="S1493" s="1"/>
    </row>
    <row r="1494" spans="1:19" ht="33.75" customHeight="1">
      <c r="A1494" s="1" t="s">
        <v>4193</v>
      </c>
      <c r="B1494" s="1" t="s">
        <v>4151</v>
      </c>
      <c r="C1494" s="1">
        <v>22</v>
      </c>
      <c r="D1494" s="4">
        <v>39896.638194444444</v>
      </c>
      <c r="E1494" s="1" t="s">
        <v>14</v>
      </c>
      <c r="F1494" s="1"/>
      <c r="G1494" s="1"/>
      <c r="H1494" s="1"/>
      <c r="I1494" s="1"/>
      <c r="J1494" s="1"/>
      <c r="K1494" s="1"/>
      <c r="L1494" s="1"/>
      <c r="M1494" s="1"/>
      <c r="N1494" s="1"/>
      <c r="O1494" s="1"/>
      <c r="P1494" s="1"/>
      <c r="Q1494" s="1"/>
      <c r="R1494" s="1"/>
      <c r="S1494" s="1"/>
    </row>
    <row r="1495" spans="1:19" ht="33.75" customHeight="1">
      <c r="A1495" s="1" t="s">
        <v>4196</v>
      </c>
      <c r="B1495" s="1" t="s">
        <v>3800</v>
      </c>
      <c r="C1495" s="1">
        <v>20</v>
      </c>
      <c r="D1495" s="4">
        <v>39896.65</v>
      </c>
      <c r="E1495" s="1" t="s">
        <v>760</v>
      </c>
      <c r="F1495" s="1"/>
      <c r="G1495" s="1"/>
      <c r="H1495" s="1"/>
      <c r="I1495" s="1"/>
      <c r="J1495" s="1"/>
      <c r="K1495" s="1"/>
      <c r="L1495" s="1"/>
      <c r="M1495" s="1"/>
      <c r="N1495" s="1"/>
      <c r="O1495" s="1"/>
      <c r="P1495" s="1"/>
      <c r="Q1495" s="1"/>
      <c r="R1495" s="1"/>
      <c r="S1495" s="1"/>
    </row>
    <row r="1496" spans="1:19" ht="33.75" customHeight="1">
      <c r="A1496" s="1" t="s">
        <v>4198</v>
      </c>
      <c r="B1496" s="1" t="s">
        <v>3800</v>
      </c>
      <c r="C1496" s="1">
        <v>20</v>
      </c>
      <c r="D1496" s="4">
        <v>39896.652083333334</v>
      </c>
      <c r="E1496" s="1" t="s">
        <v>760</v>
      </c>
      <c r="F1496" s="1"/>
      <c r="G1496" s="1"/>
      <c r="H1496" s="1"/>
      <c r="I1496" s="1"/>
      <c r="J1496" s="1"/>
      <c r="K1496" s="1"/>
      <c r="L1496" s="1"/>
      <c r="M1496" s="1"/>
      <c r="N1496" s="1"/>
      <c r="O1496" s="1"/>
      <c r="P1496" s="1"/>
      <c r="Q1496" s="1"/>
      <c r="R1496" s="1"/>
      <c r="S1496" s="1"/>
    </row>
    <row r="1497" spans="1:19" ht="33.75" customHeight="1">
      <c r="A1497" s="1" t="s">
        <v>4200</v>
      </c>
      <c r="B1497" s="1" t="s">
        <v>3800</v>
      </c>
      <c r="C1497" s="1">
        <v>20</v>
      </c>
      <c r="D1497" s="4">
        <v>39896.682638888888</v>
      </c>
      <c r="E1497" s="1" t="s">
        <v>3610</v>
      </c>
      <c r="F1497" s="1"/>
      <c r="G1497" s="1"/>
      <c r="H1497" s="1"/>
      <c r="I1497" s="1"/>
      <c r="J1497" s="1"/>
      <c r="K1497" s="1"/>
      <c r="L1497" s="1"/>
      <c r="M1497" s="1"/>
      <c r="N1497" s="1"/>
      <c r="O1497" s="1"/>
      <c r="P1497" s="1"/>
      <c r="Q1497" s="1"/>
      <c r="R1497" s="1"/>
      <c r="S1497" s="1"/>
    </row>
    <row r="1498" spans="1:19" ht="33.75" customHeight="1">
      <c r="A1498" s="1" t="s">
        <v>4202</v>
      </c>
      <c r="B1498" s="1" t="s">
        <v>3800</v>
      </c>
      <c r="C1498" s="1">
        <v>20</v>
      </c>
      <c r="D1498" s="4">
        <v>39896.684027777781</v>
      </c>
      <c r="E1498" s="1" t="s">
        <v>772</v>
      </c>
      <c r="F1498" s="1"/>
      <c r="G1498" s="1"/>
      <c r="H1498" s="1"/>
      <c r="I1498" s="1"/>
      <c r="J1498" s="1"/>
      <c r="K1498" s="1"/>
      <c r="L1498" s="1"/>
      <c r="M1498" s="1"/>
      <c r="N1498" s="1"/>
      <c r="O1498" s="1"/>
      <c r="P1498" s="1"/>
      <c r="Q1498" s="1"/>
      <c r="R1498" s="1"/>
      <c r="S1498" s="1"/>
    </row>
    <row r="1499" spans="1:19" ht="33.75" customHeight="1">
      <c r="A1499" s="1" t="s">
        <v>4204</v>
      </c>
      <c r="B1499" s="1" t="s">
        <v>4151</v>
      </c>
      <c r="C1499" s="1">
        <v>22</v>
      </c>
      <c r="D1499" s="4">
        <v>39896.698611111111</v>
      </c>
      <c r="E1499" s="1" t="s">
        <v>255</v>
      </c>
      <c r="F1499" s="1"/>
      <c r="G1499" s="1"/>
      <c r="H1499" s="1"/>
      <c r="I1499" s="1"/>
      <c r="J1499" s="1"/>
      <c r="K1499" s="1"/>
      <c r="L1499" s="1"/>
      <c r="M1499" s="1"/>
      <c r="N1499" s="1"/>
      <c r="O1499" s="1"/>
      <c r="P1499" s="1"/>
      <c r="Q1499" s="1"/>
      <c r="R1499" s="1"/>
      <c r="S1499" s="1"/>
    </row>
    <row r="1500" spans="1:19" ht="33.75" customHeight="1">
      <c r="A1500" s="1" t="s">
        <v>4207</v>
      </c>
      <c r="B1500" s="1" t="s">
        <v>4151</v>
      </c>
      <c r="C1500" s="1">
        <v>22</v>
      </c>
      <c r="D1500" s="4">
        <v>39896.730555555558</v>
      </c>
      <c r="E1500" s="1" t="s">
        <v>4208</v>
      </c>
      <c r="F1500" s="1"/>
      <c r="G1500" s="1"/>
      <c r="H1500" s="1"/>
      <c r="I1500" s="1"/>
      <c r="J1500" s="1"/>
      <c r="K1500" s="1"/>
      <c r="L1500" s="1"/>
      <c r="M1500" s="1"/>
      <c r="N1500" s="1"/>
      <c r="O1500" s="1"/>
      <c r="P1500" s="1"/>
      <c r="Q1500" s="1"/>
      <c r="R1500" s="1"/>
      <c r="S1500" s="1"/>
    </row>
    <row r="1501" spans="1:19" ht="33.75" customHeight="1">
      <c r="A1501" s="1" t="s">
        <v>4211</v>
      </c>
      <c r="B1501" s="1" t="s">
        <v>4151</v>
      </c>
      <c r="C1501" s="1">
        <v>22</v>
      </c>
      <c r="D1501" s="4">
        <v>39896.732638888891</v>
      </c>
      <c r="E1501" s="1" t="s">
        <v>14</v>
      </c>
      <c r="F1501" s="1"/>
      <c r="G1501" s="1"/>
      <c r="H1501" s="1"/>
      <c r="I1501" s="1"/>
      <c r="J1501" s="1"/>
      <c r="K1501" s="1"/>
      <c r="L1501" s="1"/>
      <c r="M1501" s="1"/>
      <c r="N1501" s="1"/>
      <c r="O1501" s="1"/>
      <c r="P1501" s="1"/>
      <c r="Q1501" s="1"/>
      <c r="R1501" s="1"/>
      <c r="S1501" s="1"/>
    </row>
    <row r="1502" spans="1:19" ht="33.75" customHeight="1">
      <c r="A1502" s="1" t="s">
        <v>4214</v>
      </c>
      <c r="B1502" s="1" t="s">
        <v>3929</v>
      </c>
      <c r="C1502" s="1">
        <v>21</v>
      </c>
      <c r="D1502" s="4">
        <v>39896.748611111114</v>
      </c>
      <c r="E1502" s="1" t="s">
        <v>772</v>
      </c>
      <c r="F1502" s="1"/>
      <c r="G1502" s="1"/>
      <c r="H1502" s="1"/>
      <c r="I1502" s="1"/>
      <c r="J1502" s="1"/>
      <c r="K1502" s="1"/>
      <c r="L1502" s="1"/>
      <c r="M1502" s="1"/>
      <c r="N1502" s="1"/>
      <c r="O1502" s="1"/>
      <c r="P1502" s="1"/>
      <c r="Q1502" s="1"/>
      <c r="R1502" s="1"/>
      <c r="S1502" s="1"/>
    </row>
    <row r="1503" spans="1:19" ht="33.75" customHeight="1">
      <c r="A1503" s="1" t="s">
        <v>4216</v>
      </c>
      <c r="B1503" s="1" t="s">
        <v>4151</v>
      </c>
      <c r="C1503" s="1">
        <v>22</v>
      </c>
      <c r="D1503" s="4">
        <v>39896.754166666666</v>
      </c>
      <c r="E1503" s="1" t="s">
        <v>255</v>
      </c>
      <c r="F1503" s="1"/>
      <c r="G1503" s="1"/>
      <c r="H1503" s="1"/>
      <c r="I1503" s="1"/>
      <c r="J1503" s="1"/>
      <c r="K1503" s="1"/>
      <c r="L1503" s="1"/>
      <c r="M1503" s="1"/>
      <c r="N1503" s="1"/>
      <c r="O1503" s="1"/>
      <c r="P1503" s="1"/>
      <c r="Q1503" s="1"/>
      <c r="R1503" s="1"/>
      <c r="S1503" s="1"/>
    </row>
    <row r="1504" spans="1:19" ht="33.75" customHeight="1">
      <c r="A1504" s="1" t="s">
        <v>4220</v>
      </c>
      <c r="B1504" s="1" t="s">
        <v>3800</v>
      </c>
      <c r="C1504" s="1">
        <v>20</v>
      </c>
      <c r="D1504" s="4">
        <v>39896.807638888888</v>
      </c>
      <c r="E1504" s="1" t="s">
        <v>772</v>
      </c>
      <c r="F1504" s="1"/>
      <c r="G1504" s="1"/>
      <c r="H1504" s="1"/>
      <c r="I1504" s="1"/>
      <c r="J1504" s="1"/>
      <c r="K1504" s="1"/>
      <c r="L1504" s="1"/>
      <c r="M1504" s="1"/>
      <c r="N1504" s="1"/>
      <c r="O1504" s="1"/>
      <c r="P1504" s="1"/>
      <c r="Q1504" s="1"/>
      <c r="R1504" s="1"/>
      <c r="S1504" s="1"/>
    </row>
    <row r="1505" spans="1:19" ht="33.75" customHeight="1">
      <c r="A1505" s="1" t="s">
        <v>4222</v>
      </c>
      <c r="B1505" s="1" t="s">
        <v>4151</v>
      </c>
      <c r="C1505" s="1">
        <v>22</v>
      </c>
      <c r="D1505" s="4">
        <v>39896.816666666666</v>
      </c>
      <c r="E1505" s="1" t="s">
        <v>772</v>
      </c>
      <c r="F1505" s="1"/>
      <c r="G1505" s="1"/>
      <c r="H1505" s="1"/>
      <c r="I1505" s="1"/>
      <c r="J1505" s="1"/>
      <c r="K1505" s="1"/>
      <c r="L1505" s="1"/>
      <c r="M1505" s="1"/>
      <c r="N1505" s="1"/>
      <c r="O1505" s="1"/>
      <c r="P1505" s="1"/>
      <c r="Q1505" s="1"/>
      <c r="R1505" s="1"/>
      <c r="S1505" s="1"/>
    </row>
    <row r="1506" spans="1:19" ht="33.75" customHeight="1">
      <c r="A1506" s="1" t="s">
        <v>4225</v>
      </c>
      <c r="B1506" s="1" t="s">
        <v>3800</v>
      </c>
      <c r="C1506" s="1">
        <v>20</v>
      </c>
      <c r="D1506" s="4">
        <v>39896.818055555559</v>
      </c>
      <c r="E1506" s="1" t="s">
        <v>2893</v>
      </c>
      <c r="F1506" s="1"/>
      <c r="G1506" s="1"/>
      <c r="H1506" s="1"/>
      <c r="I1506" s="1"/>
      <c r="J1506" s="1"/>
      <c r="K1506" s="1"/>
      <c r="L1506" s="1"/>
      <c r="M1506" s="1"/>
      <c r="N1506" s="1"/>
      <c r="O1506" s="1"/>
      <c r="P1506" s="1"/>
      <c r="Q1506" s="1"/>
      <c r="R1506" s="1"/>
      <c r="S1506" s="1"/>
    </row>
    <row r="1507" spans="1:19" ht="33.75" customHeight="1">
      <c r="A1507" s="1" t="s">
        <v>4228</v>
      </c>
      <c r="B1507" s="1" t="s">
        <v>3800</v>
      </c>
      <c r="C1507" s="1">
        <v>20</v>
      </c>
      <c r="D1507" s="4">
        <v>39896.824305555558</v>
      </c>
      <c r="E1507" s="1" t="s">
        <v>772</v>
      </c>
      <c r="F1507" s="1"/>
      <c r="G1507" s="1"/>
      <c r="H1507" s="1"/>
      <c r="I1507" s="1"/>
      <c r="J1507" s="1"/>
      <c r="K1507" s="1"/>
      <c r="L1507" s="1"/>
      <c r="M1507" s="1"/>
      <c r="N1507" s="1"/>
      <c r="O1507" s="1"/>
      <c r="P1507" s="1"/>
      <c r="Q1507" s="1"/>
      <c r="R1507" s="1"/>
      <c r="S1507" s="1"/>
    </row>
    <row r="1508" spans="1:19" ht="33.75" customHeight="1">
      <c r="A1508" s="1" t="s">
        <v>4230</v>
      </c>
      <c r="B1508" s="1" t="s">
        <v>4151</v>
      </c>
      <c r="C1508" s="1">
        <v>22</v>
      </c>
      <c r="D1508" s="4">
        <v>39896.862500000003</v>
      </c>
      <c r="E1508" s="1" t="s">
        <v>4231</v>
      </c>
      <c r="F1508" s="1"/>
      <c r="G1508" s="1"/>
      <c r="H1508" s="1"/>
      <c r="I1508" s="1"/>
      <c r="J1508" s="1"/>
      <c r="K1508" s="1"/>
      <c r="L1508" s="1"/>
      <c r="M1508" s="1"/>
      <c r="N1508" s="1"/>
      <c r="O1508" s="1"/>
      <c r="P1508" s="1"/>
      <c r="Q1508" s="1"/>
      <c r="R1508" s="1"/>
      <c r="S1508" s="1"/>
    </row>
    <row r="1509" spans="1:19" ht="33.75" customHeight="1">
      <c r="A1509" s="1" t="s">
        <v>4234</v>
      </c>
      <c r="B1509" s="1" t="s">
        <v>4151</v>
      </c>
      <c r="C1509" s="1">
        <v>22</v>
      </c>
      <c r="D1509" s="4">
        <v>39896.924305555556</v>
      </c>
      <c r="E1509" s="1" t="s">
        <v>4235</v>
      </c>
      <c r="F1509" s="1"/>
      <c r="G1509" s="1"/>
      <c r="H1509" s="1"/>
      <c r="I1509" s="1"/>
      <c r="J1509" s="1"/>
      <c r="K1509" s="1"/>
      <c r="L1509" s="1"/>
      <c r="M1509" s="1"/>
      <c r="N1509" s="1"/>
      <c r="O1509" s="1"/>
      <c r="P1509" s="1"/>
      <c r="Q1509" s="1"/>
      <c r="R1509" s="1"/>
      <c r="S1509" s="1"/>
    </row>
    <row r="1510" spans="1:19" ht="33.75" customHeight="1">
      <c r="A1510" s="1" t="s">
        <v>4238</v>
      </c>
      <c r="B1510" s="1" t="s">
        <v>4151</v>
      </c>
      <c r="C1510" s="1">
        <v>22</v>
      </c>
      <c r="D1510" s="4">
        <v>39896.9375</v>
      </c>
      <c r="E1510" s="1" t="s">
        <v>4239</v>
      </c>
      <c r="F1510" s="1"/>
      <c r="G1510" s="1"/>
      <c r="H1510" s="1"/>
      <c r="I1510" s="1"/>
      <c r="J1510" s="1"/>
      <c r="K1510" s="1"/>
      <c r="L1510" s="1"/>
      <c r="M1510" s="1"/>
      <c r="N1510" s="1"/>
      <c r="O1510" s="1"/>
      <c r="P1510" s="1"/>
      <c r="Q1510" s="1"/>
      <c r="R1510" s="1"/>
      <c r="S1510" s="1"/>
    </row>
    <row r="1511" spans="1:19" ht="33.75" customHeight="1">
      <c r="A1511" s="1" t="s">
        <v>4242</v>
      </c>
      <c r="B1511" s="1" t="s">
        <v>3929</v>
      </c>
      <c r="C1511" s="1">
        <v>21</v>
      </c>
      <c r="D1511" s="4">
        <v>39896.961805555555</v>
      </c>
      <c r="E1511" s="1" t="s">
        <v>255</v>
      </c>
      <c r="F1511" s="1"/>
      <c r="G1511" s="1"/>
      <c r="H1511" s="1"/>
      <c r="I1511" s="1"/>
      <c r="J1511" s="1"/>
      <c r="K1511" s="1"/>
      <c r="L1511" s="1"/>
      <c r="M1511" s="1"/>
      <c r="N1511" s="1"/>
      <c r="O1511" s="1"/>
      <c r="P1511" s="1"/>
      <c r="Q1511" s="1"/>
      <c r="R1511" s="1"/>
      <c r="S1511" s="1"/>
    </row>
    <row r="1512" spans="1:19" ht="33.75" customHeight="1">
      <c r="A1512" s="1" t="s">
        <v>4244</v>
      </c>
      <c r="B1512" s="1" t="s">
        <v>3800</v>
      </c>
      <c r="C1512" s="1">
        <v>20</v>
      </c>
      <c r="D1512" s="4">
        <v>39896.993055555555</v>
      </c>
      <c r="E1512" s="1" t="s">
        <v>1887</v>
      </c>
      <c r="F1512" s="1"/>
      <c r="G1512" s="1"/>
      <c r="H1512" s="1"/>
      <c r="I1512" s="1"/>
      <c r="J1512" s="1"/>
      <c r="K1512" s="1"/>
      <c r="L1512" s="1"/>
      <c r="M1512" s="1"/>
      <c r="N1512" s="1"/>
      <c r="O1512" s="1"/>
      <c r="P1512" s="1"/>
      <c r="Q1512" s="1"/>
      <c r="R1512" s="1"/>
      <c r="S1512" s="1"/>
    </row>
    <row r="1513" spans="1:19" ht="33.75" customHeight="1">
      <c r="A1513" s="1" t="s">
        <v>4246</v>
      </c>
      <c r="B1513" s="1" t="s">
        <v>3255</v>
      </c>
      <c r="C1513" s="1">
        <v>19</v>
      </c>
      <c r="D1513" s="4">
        <v>39897.140277777777</v>
      </c>
      <c r="E1513" s="1" t="s">
        <v>4247</v>
      </c>
      <c r="F1513" s="1"/>
      <c r="G1513" s="1"/>
      <c r="H1513" s="1"/>
      <c r="I1513" s="1"/>
      <c r="J1513" s="1"/>
      <c r="K1513" s="1"/>
      <c r="L1513" s="1"/>
      <c r="M1513" s="1"/>
      <c r="N1513" s="1"/>
      <c r="O1513" s="1"/>
      <c r="P1513" s="1"/>
      <c r="Q1513" s="1"/>
      <c r="R1513" s="1"/>
      <c r="S1513" s="1"/>
    </row>
    <row r="1514" spans="1:19" ht="33.75" customHeight="1">
      <c r="A1514" s="1" t="s">
        <v>4250</v>
      </c>
      <c r="B1514" s="1" t="s">
        <v>4151</v>
      </c>
      <c r="C1514" s="1">
        <v>22</v>
      </c>
      <c r="D1514" s="4">
        <v>39897.214583333334</v>
      </c>
      <c r="E1514" s="1" t="s">
        <v>393</v>
      </c>
      <c r="F1514" s="1"/>
      <c r="G1514" s="1"/>
      <c r="H1514" s="1"/>
      <c r="I1514" s="1"/>
      <c r="J1514" s="1"/>
      <c r="K1514" s="1"/>
      <c r="L1514" s="1"/>
      <c r="M1514" s="1"/>
      <c r="N1514" s="1"/>
      <c r="O1514" s="1"/>
      <c r="P1514" s="1"/>
      <c r="Q1514" s="1"/>
      <c r="R1514" s="1"/>
      <c r="S1514" s="1"/>
    </row>
    <row r="1515" spans="1:19" ht="33.75" customHeight="1">
      <c r="A1515" s="1" t="s">
        <v>4253</v>
      </c>
      <c r="B1515" s="1" t="s">
        <v>3800</v>
      </c>
      <c r="C1515" s="1">
        <v>20</v>
      </c>
      <c r="D1515" s="4">
        <v>39897.29583333333</v>
      </c>
      <c r="E1515" s="1" t="s">
        <v>84</v>
      </c>
      <c r="F1515" s="1"/>
      <c r="G1515" s="1"/>
      <c r="H1515" s="1"/>
      <c r="I1515" s="1"/>
      <c r="J1515" s="1"/>
      <c r="K1515" s="1"/>
      <c r="L1515" s="1"/>
      <c r="M1515" s="1"/>
      <c r="N1515" s="1"/>
      <c r="O1515" s="1"/>
      <c r="P1515" s="1"/>
      <c r="Q1515" s="1"/>
      <c r="R1515" s="1"/>
      <c r="S1515" s="1"/>
    </row>
    <row r="1516" spans="1:19" ht="33.75" customHeight="1">
      <c r="A1516" s="1" t="s">
        <v>4255</v>
      </c>
      <c r="B1516" s="1" t="s">
        <v>3800</v>
      </c>
      <c r="C1516" s="1">
        <v>20</v>
      </c>
      <c r="D1516" s="4">
        <v>39897.497916666667</v>
      </c>
      <c r="E1516" s="1" t="s">
        <v>1887</v>
      </c>
      <c r="F1516" s="1"/>
      <c r="G1516" s="1"/>
      <c r="H1516" s="1"/>
      <c r="I1516" s="1"/>
      <c r="J1516" s="1"/>
      <c r="K1516" s="1"/>
      <c r="L1516" s="1"/>
      <c r="M1516" s="1"/>
      <c r="N1516" s="1"/>
      <c r="O1516" s="1"/>
      <c r="P1516" s="1"/>
      <c r="Q1516" s="1"/>
      <c r="R1516" s="1"/>
      <c r="S1516" s="1"/>
    </row>
    <row r="1517" spans="1:19" ht="33.75" customHeight="1">
      <c r="A1517" s="1" t="s">
        <v>4258</v>
      </c>
      <c r="B1517" s="1" t="s">
        <v>4151</v>
      </c>
      <c r="C1517" s="1">
        <v>22</v>
      </c>
      <c r="D1517" s="4">
        <v>39897.551388888889</v>
      </c>
      <c r="E1517" s="1" t="s">
        <v>14</v>
      </c>
      <c r="F1517" s="1"/>
      <c r="G1517" s="1"/>
      <c r="H1517" s="1"/>
      <c r="I1517" s="1"/>
      <c r="J1517" s="1"/>
      <c r="K1517" s="1"/>
      <c r="L1517" s="1"/>
      <c r="M1517" s="1"/>
      <c r="N1517" s="1"/>
      <c r="O1517" s="1"/>
      <c r="P1517" s="1"/>
      <c r="Q1517" s="1"/>
      <c r="R1517" s="1"/>
      <c r="S1517" s="1"/>
    </row>
    <row r="1518" spans="1:19" ht="33.75" customHeight="1">
      <c r="A1518" s="1" t="s">
        <v>4261</v>
      </c>
      <c r="B1518" s="1" t="s">
        <v>4151</v>
      </c>
      <c r="C1518" s="1">
        <v>22</v>
      </c>
      <c r="D1518" s="4">
        <v>39897.649305555555</v>
      </c>
      <c r="E1518" s="1" t="s">
        <v>84</v>
      </c>
      <c r="F1518" s="1"/>
      <c r="G1518" s="1"/>
      <c r="H1518" s="1"/>
      <c r="I1518" s="1"/>
      <c r="J1518" s="1"/>
      <c r="K1518" s="1"/>
      <c r="L1518" s="1"/>
      <c r="M1518" s="1"/>
      <c r="N1518" s="1"/>
      <c r="O1518" s="1"/>
      <c r="P1518" s="1"/>
      <c r="Q1518" s="1"/>
      <c r="R1518" s="1"/>
      <c r="S1518" s="1"/>
    </row>
    <row r="1519" spans="1:19" ht="33.75" customHeight="1">
      <c r="A1519" s="1" t="s">
        <v>4264</v>
      </c>
      <c r="B1519" s="1" t="s">
        <v>4151</v>
      </c>
      <c r="C1519" s="1">
        <v>22</v>
      </c>
      <c r="D1519" s="4">
        <v>39897.725694444445</v>
      </c>
      <c r="E1519" s="1" t="s">
        <v>4265</v>
      </c>
      <c r="F1519" s="1"/>
      <c r="G1519" s="1"/>
      <c r="H1519" s="1"/>
      <c r="I1519" s="1"/>
      <c r="J1519" s="1"/>
      <c r="K1519" s="1"/>
      <c r="L1519" s="1"/>
      <c r="M1519" s="1"/>
      <c r="N1519" s="1"/>
      <c r="O1519" s="1"/>
      <c r="P1519" s="1"/>
      <c r="Q1519" s="1"/>
      <c r="R1519" s="1"/>
      <c r="S1519" s="1"/>
    </row>
    <row r="1520" spans="1:19" ht="33.75" customHeight="1">
      <c r="A1520" s="1" t="s">
        <v>4269</v>
      </c>
      <c r="B1520" s="1" t="s">
        <v>3929</v>
      </c>
      <c r="C1520" s="1">
        <v>21</v>
      </c>
      <c r="D1520" s="4">
        <v>39897.833333333336</v>
      </c>
      <c r="E1520" s="1" t="s">
        <v>772</v>
      </c>
      <c r="F1520" s="1"/>
      <c r="G1520" s="1"/>
      <c r="H1520" s="1"/>
      <c r="I1520" s="1"/>
      <c r="J1520" s="1"/>
      <c r="K1520" s="1"/>
      <c r="L1520" s="1"/>
      <c r="M1520" s="1"/>
      <c r="N1520" s="1"/>
      <c r="O1520" s="1"/>
      <c r="P1520" s="1"/>
      <c r="Q1520" s="1"/>
      <c r="R1520" s="1"/>
      <c r="S1520" s="1"/>
    </row>
    <row r="1521" spans="1:19" ht="33.75" customHeight="1">
      <c r="A1521" s="1" t="s">
        <v>4272</v>
      </c>
      <c r="B1521" s="1" t="s">
        <v>1519</v>
      </c>
      <c r="C1521" s="1">
        <v>11</v>
      </c>
      <c r="D1521" s="4">
        <v>39856.865277777775</v>
      </c>
      <c r="E1521" s="1" t="s">
        <v>1528</v>
      </c>
      <c r="F1521" s="1"/>
      <c r="G1521" s="1"/>
      <c r="H1521" s="1"/>
      <c r="I1521" s="1"/>
      <c r="J1521" s="1"/>
      <c r="K1521" s="1"/>
      <c r="L1521" s="1"/>
      <c r="M1521" s="1"/>
      <c r="N1521" s="1"/>
      <c r="O1521" s="1"/>
      <c r="P1521" s="1"/>
      <c r="Q1521" s="1"/>
      <c r="R1521" s="1"/>
      <c r="S1521" s="1"/>
    </row>
    <row r="1522" spans="1:19" ht="33.75" customHeight="1">
      <c r="A1522" s="1" t="s">
        <v>4276</v>
      </c>
      <c r="B1522" s="1" t="s">
        <v>4151</v>
      </c>
      <c r="C1522" s="1">
        <v>22</v>
      </c>
      <c r="D1522" s="4">
        <v>39898.131249999999</v>
      </c>
      <c r="E1522" s="1" t="s">
        <v>110</v>
      </c>
      <c r="F1522" s="1"/>
      <c r="G1522" s="1"/>
      <c r="H1522" s="1"/>
      <c r="I1522" s="1"/>
      <c r="J1522" s="1"/>
      <c r="K1522" s="1"/>
      <c r="L1522" s="1"/>
      <c r="M1522" s="1"/>
      <c r="N1522" s="1"/>
      <c r="O1522" s="1"/>
      <c r="P1522" s="1"/>
      <c r="Q1522" s="1"/>
      <c r="R1522" s="1"/>
      <c r="S1522" s="1"/>
    </row>
    <row r="1523" spans="1:19" ht="33.75" customHeight="1">
      <c r="A1523" s="1" t="s">
        <v>4279</v>
      </c>
      <c r="B1523" s="1" t="s">
        <v>4151</v>
      </c>
      <c r="C1523" s="1">
        <v>22</v>
      </c>
      <c r="D1523" s="4">
        <v>39898.260416666664</v>
      </c>
      <c r="E1523" s="1" t="s">
        <v>255</v>
      </c>
      <c r="F1523" s="1"/>
      <c r="G1523" s="1"/>
      <c r="H1523" s="1"/>
      <c r="I1523" s="1"/>
      <c r="J1523" s="1"/>
      <c r="K1523" s="1"/>
      <c r="L1523" s="1"/>
      <c r="M1523" s="1"/>
      <c r="N1523" s="1"/>
      <c r="O1523" s="1"/>
      <c r="P1523" s="1"/>
      <c r="Q1523" s="1"/>
      <c r="R1523" s="1"/>
      <c r="S1523" s="1"/>
    </row>
    <row r="1524" spans="1:19" ht="33.75" customHeight="1">
      <c r="A1524" s="1" t="s">
        <v>4282</v>
      </c>
      <c r="B1524" s="1" t="s">
        <v>3800</v>
      </c>
      <c r="C1524" s="1">
        <v>20</v>
      </c>
      <c r="D1524" s="4">
        <v>39898.538888888892</v>
      </c>
      <c r="E1524" s="1" t="s">
        <v>772</v>
      </c>
      <c r="F1524" s="1"/>
      <c r="G1524" s="1"/>
      <c r="H1524" s="1"/>
      <c r="I1524" s="1"/>
      <c r="J1524" s="1"/>
      <c r="K1524" s="1"/>
      <c r="L1524" s="1"/>
      <c r="M1524" s="1"/>
      <c r="N1524" s="1"/>
      <c r="O1524" s="1"/>
      <c r="P1524" s="1"/>
      <c r="Q1524" s="1"/>
      <c r="R1524" s="1"/>
      <c r="S1524" s="1"/>
    </row>
    <row r="1525" spans="1:19" ht="33.75" customHeight="1">
      <c r="A1525" s="1" t="s">
        <v>4285</v>
      </c>
      <c r="B1525" s="1" t="s">
        <v>3800</v>
      </c>
      <c r="C1525" s="1">
        <v>20</v>
      </c>
      <c r="D1525" s="4">
        <v>39898.54791666667</v>
      </c>
      <c r="E1525" s="1" t="s">
        <v>1887</v>
      </c>
      <c r="F1525" s="1"/>
      <c r="G1525" s="1"/>
      <c r="H1525" s="1"/>
      <c r="I1525" s="1"/>
      <c r="J1525" s="1"/>
      <c r="K1525" s="1"/>
      <c r="L1525" s="1"/>
      <c r="M1525" s="1"/>
      <c r="N1525" s="1"/>
      <c r="O1525" s="1"/>
      <c r="P1525" s="1"/>
      <c r="Q1525" s="1"/>
      <c r="R1525" s="1"/>
      <c r="S1525" s="1"/>
    </row>
    <row r="1526" spans="1:19" ht="33.75" customHeight="1">
      <c r="A1526" s="1" t="s">
        <v>4288</v>
      </c>
      <c r="B1526" s="1" t="s">
        <v>3800</v>
      </c>
      <c r="C1526" s="1">
        <v>20</v>
      </c>
      <c r="D1526" s="4">
        <v>39898.551388888889</v>
      </c>
      <c r="E1526" s="1" t="s">
        <v>1887</v>
      </c>
      <c r="F1526" s="1"/>
      <c r="G1526" s="1"/>
      <c r="H1526" s="1"/>
      <c r="I1526" s="1"/>
      <c r="J1526" s="1"/>
      <c r="K1526" s="1"/>
      <c r="L1526" s="1"/>
      <c r="M1526" s="1"/>
      <c r="N1526" s="1"/>
      <c r="O1526" s="1"/>
      <c r="P1526" s="1"/>
      <c r="Q1526" s="1"/>
      <c r="R1526" s="1"/>
      <c r="S1526" s="1"/>
    </row>
    <row r="1527" spans="1:19" ht="33.75" customHeight="1">
      <c r="A1527" s="1" t="s">
        <v>4290</v>
      </c>
      <c r="B1527" s="1" t="s">
        <v>3800</v>
      </c>
      <c r="C1527" s="1">
        <v>20</v>
      </c>
      <c r="D1527" s="4">
        <v>39898.695833333331</v>
      </c>
      <c r="E1527" s="1" t="s">
        <v>84</v>
      </c>
      <c r="F1527" s="1"/>
      <c r="G1527" s="1"/>
      <c r="H1527" s="1"/>
      <c r="I1527" s="1"/>
      <c r="J1527" s="1"/>
      <c r="K1527" s="1"/>
      <c r="L1527" s="1"/>
      <c r="M1527" s="1"/>
      <c r="N1527" s="1"/>
      <c r="O1527" s="1"/>
      <c r="P1527" s="1"/>
      <c r="Q1527" s="1"/>
      <c r="R1527" s="1"/>
      <c r="S1527" s="1"/>
    </row>
    <row r="1528" spans="1:19" ht="33.75" customHeight="1">
      <c r="A1528" s="1" t="s">
        <v>4292</v>
      </c>
      <c r="B1528" s="1" t="s">
        <v>3800</v>
      </c>
      <c r="C1528" s="1">
        <v>20</v>
      </c>
      <c r="D1528" s="4">
        <v>39898.697222222225</v>
      </c>
      <c r="E1528" s="1" t="s">
        <v>84</v>
      </c>
      <c r="F1528" s="1"/>
      <c r="G1528" s="1"/>
      <c r="H1528" s="1"/>
      <c r="I1528" s="1"/>
      <c r="J1528" s="1"/>
      <c r="K1528" s="1"/>
      <c r="L1528" s="1"/>
      <c r="M1528" s="1"/>
      <c r="N1528" s="1"/>
      <c r="O1528" s="1"/>
      <c r="P1528" s="1"/>
      <c r="Q1528" s="1"/>
      <c r="R1528" s="1"/>
      <c r="S1528" s="1"/>
    </row>
    <row r="1529" spans="1:19" ht="33.75" customHeight="1">
      <c r="A1529" s="1" t="s">
        <v>4294</v>
      </c>
      <c r="B1529" s="1" t="s">
        <v>3800</v>
      </c>
      <c r="C1529" s="1">
        <v>20</v>
      </c>
      <c r="D1529" s="4">
        <v>39898.700694444444</v>
      </c>
      <c r="E1529" s="1" t="s">
        <v>84</v>
      </c>
      <c r="F1529" s="1"/>
      <c r="G1529" s="1"/>
      <c r="H1529" s="1"/>
      <c r="I1529" s="1"/>
      <c r="J1529" s="1"/>
      <c r="K1529" s="1"/>
      <c r="L1529" s="1"/>
      <c r="M1529" s="1"/>
      <c r="N1529" s="1"/>
      <c r="O1529" s="1"/>
      <c r="P1529" s="1"/>
      <c r="Q1529" s="1"/>
      <c r="R1529" s="1"/>
      <c r="S1529" s="1"/>
    </row>
    <row r="1530" spans="1:19" ht="33.75" customHeight="1">
      <c r="A1530" s="1" t="s">
        <v>4296</v>
      </c>
      <c r="B1530" s="1" t="s">
        <v>4151</v>
      </c>
      <c r="C1530" s="1">
        <v>22</v>
      </c>
      <c r="D1530" s="4">
        <v>39898.803472222222</v>
      </c>
      <c r="E1530" s="1" t="s">
        <v>4297</v>
      </c>
      <c r="F1530" s="1"/>
      <c r="G1530" s="1"/>
      <c r="H1530" s="1"/>
      <c r="I1530" s="1"/>
      <c r="J1530" s="1"/>
      <c r="K1530" s="1"/>
      <c r="L1530" s="1"/>
      <c r="M1530" s="1"/>
      <c r="N1530" s="1"/>
      <c r="O1530" s="1"/>
      <c r="P1530" s="1"/>
      <c r="Q1530" s="1"/>
      <c r="R1530" s="1"/>
      <c r="S1530" s="1"/>
    </row>
    <row r="1531" spans="1:19" ht="33.75" customHeight="1">
      <c r="A1531" s="1" t="s">
        <v>4300</v>
      </c>
      <c r="B1531" s="1" t="s">
        <v>3800</v>
      </c>
      <c r="C1531" s="1">
        <v>20</v>
      </c>
      <c r="D1531" s="4">
        <v>39898.821527777778</v>
      </c>
      <c r="E1531" s="1" t="s">
        <v>84</v>
      </c>
      <c r="F1531" s="1"/>
      <c r="G1531" s="1"/>
      <c r="H1531" s="1"/>
      <c r="I1531" s="1"/>
      <c r="J1531" s="1"/>
      <c r="K1531" s="1"/>
      <c r="L1531" s="1"/>
      <c r="M1531" s="1"/>
      <c r="N1531" s="1"/>
      <c r="O1531" s="1"/>
      <c r="P1531" s="1"/>
      <c r="Q1531" s="1"/>
      <c r="R1531" s="1"/>
      <c r="S1531" s="1"/>
    </row>
    <row r="1532" spans="1:19" ht="33.75" customHeight="1">
      <c r="A1532" s="1" t="s">
        <v>4302</v>
      </c>
      <c r="B1532" s="1" t="s">
        <v>3800</v>
      </c>
      <c r="C1532" s="1">
        <v>20</v>
      </c>
      <c r="D1532" s="4">
        <v>39898.841666666667</v>
      </c>
      <c r="E1532" s="1" t="s">
        <v>1089</v>
      </c>
      <c r="F1532" s="1"/>
      <c r="G1532" s="1"/>
      <c r="H1532" s="1"/>
      <c r="I1532" s="1"/>
      <c r="J1532" s="1"/>
      <c r="K1532" s="1"/>
      <c r="L1532" s="1"/>
      <c r="M1532" s="1"/>
      <c r="N1532" s="1"/>
      <c r="O1532" s="1"/>
      <c r="P1532" s="1"/>
      <c r="Q1532" s="1"/>
      <c r="R1532" s="1"/>
      <c r="S1532" s="1"/>
    </row>
    <row r="1533" spans="1:19" ht="33.75" customHeight="1">
      <c r="A1533" s="1" t="s">
        <v>4304</v>
      </c>
      <c r="B1533" s="1" t="s">
        <v>3800</v>
      </c>
      <c r="C1533" s="1">
        <v>20</v>
      </c>
      <c r="D1533" s="4">
        <v>39898.878472222219</v>
      </c>
      <c r="E1533" s="1" t="s">
        <v>84</v>
      </c>
      <c r="F1533" s="1"/>
      <c r="G1533" s="1"/>
      <c r="H1533" s="1"/>
      <c r="I1533" s="1"/>
      <c r="J1533" s="1"/>
      <c r="K1533" s="1"/>
      <c r="L1533" s="1"/>
      <c r="M1533" s="1"/>
      <c r="N1533" s="1"/>
      <c r="O1533" s="1"/>
      <c r="P1533" s="1"/>
      <c r="Q1533" s="1"/>
      <c r="R1533" s="1"/>
      <c r="S1533" s="1"/>
    </row>
    <row r="1534" spans="1:19" ht="33.75" customHeight="1">
      <c r="A1534" s="1" t="s">
        <v>4306</v>
      </c>
      <c r="B1534" s="1" t="s">
        <v>3800</v>
      </c>
      <c r="C1534" s="1">
        <v>20</v>
      </c>
      <c r="D1534" s="4">
        <v>39898.957638888889</v>
      </c>
      <c r="E1534" s="1" t="s">
        <v>84</v>
      </c>
      <c r="F1534" s="1"/>
      <c r="G1534" s="1"/>
      <c r="H1534" s="1"/>
      <c r="I1534" s="1"/>
      <c r="J1534" s="1"/>
      <c r="K1534" s="1"/>
      <c r="L1534" s="1"/>
      <c r="M1534" s="1"/>
      <c r="N1534" s="1"/>
      <c r="O1534" s="1"/>
      <c r="P1534" s="1"/>
      <c r="Q1534" s="1"/>
      <c r="R1534" s="1"/>
      <c r="S1534" s="1"/>
    </row>
    <row r="1535" spans="1:19" ht="33.75" customHeight="1">
      <c r="A1535" s="1" t="s">
        <v>4308</v>
      </c>
      <c r="B1535" s="1" t="s">
        <v>3800</v>
      </c>
      <c r="C1535" s="1">
        <v>20</v>
      </c>
      <c r="D1535" s="4">
        <v>39898.964583333334</v>
      </c>
      <c r="E1535" s="1" t="s">
        <v>1887</v>
      </c>
      <c r="F1535" s="1"/>
      <c r="G1535" s="1"/>
      <c r="H1535" s="1"/>
      <c r="I1535" s="1"/>
      <c r="J1535" s="1"/>
      <c r="K1535" s="1"/>
      <c r="L1535" s="1"/>
      <c r="M1535" s="1"/>
      <c r="N1535" s="1"/>
      <c r="O1535" s="1"/>
      <c r="P1535" s="1"/>
      <c r="Q1535" s="1"/>
      <c r="R1535" s="1"/>
      <c r="S1535" s="1"/>
    </row>
    <row r="1536" spans="1:19" ht="33.75" customHeight="1">
      <c r="A1536" s="1" t="s">
        <v>4310</v>
      </c>
      <c r="B1536" s="1" t="s">
        <v>3800</v>
      </c>
      <c r="C1536" s="1">
        <v>20</v>
      </c>
      <c r="D1536" s="4">
        <v>39898.96597222222</v>
      </c>
      <c r="E1536" s="1" t="s">
        <v>1887</v>
      </c>
      <c r="F1536" s="1"/>
      <c r="G1536" s="1"/>
      <c r="H1536" s="1"/>
      <c r="I1536" s="1"/>
      <c r="J1536" s="1"/>
      <c r="K1536" s="1"/>
      <c r="L1536" s="1"/>
      <c r="M1536" s="1"/>
      <c r="N1536" s="1"/>
      <c r="O1536" s="1"/>
      <c r="P1536" s="1"/>
      <c r="Q1536" s="1"/>
      <c r="R1536" s="1"/>
      <c r="S1536" s="1"/>
    </row>
    <row r="1537" spans="1:19" ht="33.75" customHeight="1">
      <c r="A1537" s="1" t="s">
        <v>4314</v>
      </c>
      <c r="B1537" s="1" t="s">
        <v>4151</v>
      </c>
      <c r="C1537" s="1">
        <v>22</v>
      </c>
      <c r="D1537" s="4">
        <v>39899.057638888888</v>
      </c>
      <c r="E1537" s="1" t="s">
        <v>435</v>
      </c>
      <c r="F1537" s="1"/>
      <c r="G1537" s="1"/>
      <c r="H1537" s="1"/>
      <c r="I1537" s="1"/>
      <c r="J1537" s="1"/>
      <c r="K1537" s="1"/>
      <c r="L1537" s="1"/>
      <c r="M1537" s="1"/>
      <c r="N1537" s="1"/>
      <c r="O1537" s="1"/>
      <c r="P1537" s="1"/>
      <c r="Q1537" s="1"/>
      <c r="R1537" s="1"/>
      <c r="S1537" s="1"/>
    </row>
    <row r="1538" spans="1:19" ht="33.75" customHeight="1">
      <c r="A1538" s="1" t="s">
        <v>4317</v>
      </c>
      <c r="B1538" s="1" t="s">
        <v>4151</v>
      </c>
      <c r="C1538" s="1">
        <v>22</v>
      </c>
      <c r="D1538" s="4">
        <v>39899.276388888888</v>
      </c>
      <c r="E1538" s="1" t="s">
        <v>688</v>
      </c>
      <c r="F1538" s="1"/>
      <c r="G1538" s="1"/>
      <c r="H1538" s="1"/>
      <c r="I1538" s="1"/>
      <c r="J1538" s="1"/>
      <c r="K1538" s="1"/>
      <c r="L1538" s="1"/>
      <c r="M1538" s="1"/>
      <c r="N1538" s="1"/>
      <c r="O1538" s="1"/>
      <c r="P1538" s="1"/>
      <c r="Q1538" s="1"/>
      <c r="R1538" s="1"/>
      <c r="S1538" s="1"/>
    </row>
    <row r="1539" spans="1:19" ht="33.75" customHeight="1">
      <c r="A1539" s="1" t="s">
        <v>4321</v>
      </c>
      <c r="B1539" s="1" t="s">
        <v>3800</v>
      </c>
      <c r="C1539" s="1">
        <v>20</v>
      </c>
      <c r="D1539" s="4">
        <v>39899.493055555555</v>
      </c>
      <c r="E1539" s="1" t="s">
        <v>84</v>
      </c>
      <c r="F1539" s="1"/>
      <c r="G1539" s="1"/>
      <c r="H1539" s="1"/>
      <c r="I1539" s="1"/>
      <c r="J1539" s="1"/>
      <c r="K1539" s="1"/>
      <c r="L1539" s="1"/>
      <c r="M1539" s="1"/>
      <c r="N1539" s="1"/>
      <c r="O1539" s="1"/>
      <c r="P1539" s="1"/>
      <c r="Q1539" s="1"/>
      <c r="R1539" s="1"/>
      <c r="S1539" s="1"/>
    </row>
    <row r="1540" spans="1:19" ht="33.75" customHeight="1">
      <c r="A1540" s="1" t="s">
        <v>4323</v>
      </c>
      <c r="B1540" s="1" t="s">
        <v>3800</v>
      </c>
      <c r="C1540" s="1">
        <v>20</v>
      </c>
      <c r="D1540" s="4">
        <v>39899.518750000003</v>
      </c>
      <c r="E1540" s="1" t="s">
        <v>772</v>
      </c>
      <c r="F1540" s="1"/>
      <c r="G1540" s="1"/>
      <c r="H1540" s="1"/>
      <c r="I1540" s="1"/>
      <c r="J1540" s="1"/>
      <c r="K1540" s="1"/>
      <c r="L1540" s="1"/>
      <c r="M1540" s="1"/>
      <c r="N1540" s="1"/>
      <c r="O1540" s="1"/>
      <c r="P1540" s="1"/>
      <c r="Q1540" s="1"/>
      <c r="R1540" s="1"/>
      <c r="S1540" s="1"/>
    </row>
    <row r="1541" spans="1:19" ht="33.75" customHeight="1">
      <c r="A1541" s="1" t="s">
        <v>4325</v>
      </c>
      <c r="B1541" s="1" t="s">
        <v>3800</v>
      </c>
      <c r="C1541" s="1">
        <v>20</v>
      </c>
      <c r="D1541" s="4">
        <v>39899.522222222222</v>
      </c>
      <c r="E1541" s="1" t="s">
        <v>772</v>
      </c>
      <c r="F1541" s="1"/>
      <c r="G1541" s="1"/>
      <c r="H1541" s="1"/>
      <c r="I1541" s="1"/>
      <c r="J1541" s="1"/>
      <c r="K1541" s="1"/>
      <c r="L1541" s="1"/>
      <c r="M1541" s="1"/>
      <c r="N1541" s="1"/>
      <c r="O1541" s="1"/>
      <c r="P1541" s="1"/>
      <c r="Q1541" s="1"/>
      <c r="R1541" s="1"/>
      <c r="S1541" s="1"/>
    </row>
    <row r="1542" spans="1:19" ht="33.75" customHeight="1">
      <c r="A1542" s="1" t="s">
        <v>4328</v>
      </c>
      <c r="B1542" s="1" t="s">
        <v>4151</v>
      </c>
      <c r="C1542" s="1">
        <v>22</v>
      </c>
      <c r="D1542" s="4">
        <v>39899.665277777778</v>
      </c>
      <c r="E1542" s="1" t="s">
        <v>435</v>
      </c>
      <c r="F1542" s="1"/>
      <c r="G1542" s="1"/>
      <c r="H1542" s="1"/>
      <c r="I1542" s="1"/>
      <c r="J1542" s="1"/>
      <c r="K1542" s="1"/>
      <c r="L1542" s="1"/>
      <c r="M1542" s="1"/>
      <c r="N1542" s="1"/>
      <c r="O1542" s="1"/>
      <c r="P1542" s="1"/>
      <c r="Q1542" s="1"/>
      <c r="R1542" s="1"/>
      <c r="S1542" s="1"/>
    </row>
    <row r="1543" spans="1:19" ht="33.75" customHeight="1">
      <c r="A1543" s="1" t="s">
        <v>4332</v>
      </c>
      <c r="B1543" s="1" t="s">
        <v>4151</v>
      </c>
      <c r="C1543" s="1">
        <v>22</v>
      </c>
      <c r="D1543" s="4">
        <v>39899.691666666666</v>
      </c>
      <c r="E1543" s="1" t="s">
        <v>14</v>
      </c>
      <c r="F1543" s="1"/>
      <c r="G1543" s="1"/>
      <c r="H1543" s="1"/>
      <c r="I1543" s="1"/>
      <c r="J1543" s="1"/>
      <c r="K1543" s="1"/>
      <c r="L1543" s="1"/>
      <c r="M1543" s="1"/>
      <c r="N1543" s="1"/>
      <c r="O1543" s="1"/>
      <c r="P1543" s="1"/>
      <c r="Q1543" s="1"/>
      <c r="R1543" s="1"/>
      <c r="S1543" s="1"/>
    </row>
    <row r="1544" spans="1:19" ht="33.75" customHeight="1">
      <c r="A1544" s="1" t="s">
        <v>4335</v>
      </c>
      <c r="B1544" s="1" t="s">
        <v>4151</v>
      </c>
      <c r="C1544" s="1">
        <v>22</v>
      </c>
      <c r="D1544" s="4">
        <v>39899.77847222222</v>
      </c>
      <c r="E1544" s="1" t="s">
        <v>255</v>
      </c>
      <c r="F1544" s="1"/>
      <c r="G1544" s="1"/>
      <c r="H1544" s="1"/>
      <c r="I1544" s="1"/>
      <c r="J1544" s="1"/>
      <c r="K1544" s="1"/>
      <c r="L1544" s="1"/>
      <c r="M1544" s="1"/>
      <c r="N1544" s="1"/>
      <c r="O1544" s="1"/>
      <c r="P1544" s="1"/>
      <c r="Q1544" s="1"/>
      <c r="R1544" s="1"/>
      <c r="S1544" s="1"/>
    </row>
    <row r="1545" spans="1:19" ht="33.75" customHeight="1">
      <c r="A1545" s="1" t="s">
        <v>4338</v>
      </c>
      <c r="B1545" s="1" t="s">
        <v>4151</v>
      </c>
      <c r="C1545" s="1">
        <v>22</v>
      </c>
      <c r="D1545" s="4">
        <v>39899.79583333333</v>
      </c>
      <c r="E1545" s="1" t="s">
        <v>4297</v>
      </c>
      <c r="F1545" s="1"/>
      <c r="G1545" s="1"/>
      <c r="H1545" s="1"/>
      <c r="I1545" s="1"/>
      <c r="J1545" s="1"/>
      <c r="K1545" s="1"/>
      <c r="L1545" s="1"/>
      <c r="M1545" s="1"/>
      <c r="N1545" s="1"/>
      <c r="O1545" s="1"/>
      <c r="P1545" s="1"/>
      <c r="Q1545" s="1"/>
      <c r="R1545" s="1"/>
      <c r="S1545" s="1"/>
    </row>
    <row r="1546" spans="1:19" ht="33.75" customHeight="1">
      <c r="A1546" s="1" t="s">
        <v>4341</v>
      </c>
      <c r="B1546" s="1" t="s">
        <v>3929</v>
      </c>
      <c r="C1546" s="1">
        <v>21</v>
      </c>
      <c r="D1546" s="4">
        <v>39899.810416666667</v>
      </c>
      <c r="E1546" s="1" t="s">
        <v>14</v>
      </c>
      <c r="F1546" s="1"/>
      <c r="G1546" s="1"/>
      <c r="H1546" s="1"/>
      <c r="I1546" s="1"/>
      <c r="J1546" s="1"/>
      <c r="K1546" s="1"/>
      <c r="L1546" s="1"/>
      <c r="M1546" s="1"/>
      <c r="N1546" s="1"/>
      <c r="O1546" s="1"/>
      <c r="P1546" s="1"/>
      <c r="Q1546" s="1"/>
      <c r="R1546" s="1"/>
      <c r="S1546" s="1"/>
    </row>
    <row r="1547" spans="1:19" ht="33.75" customHeight="1">
      <c r="A1547" s="1" t="s">
        <v>4343</v>
      </c>
      <c r="B1547" s="1" t="s">
        <v>3929</v>
      </c>
      <c r="C1547" s="1">
        <v>21</v>
      </c>
      <c r="D1547" s="4">
        <v>39899.811805555553</v>
      </c>
      <c r="E1547" s="1" t="s">
        <v>14</v>
      </c>
      <c r="F1547" s="1"/>
      <c r="G1547" s="1"/>
      <c r="H1547" s="1"/>
      <c r="I1547" s="1"/>
      <c r="J1547" s="1"/>
      <c r="K1547" s="1"/>
      <c r="L1547" s="1"/>
      <c r="M1547" s="1"/>
      <c r="N1547" s="1"/>
      <c r="O1547" s="1"/>
      <c r="P1547" s="1"/>
      <c r="Q1547" s="1"/>
      <c r="R1547" s="1"/>
      <c r="S1547" s="1"/>
    </row>
    <row r="1548" spans="1:19" ht="33.75" customHeight="1">
      <c r="A1548" s="1" t="s">
        <v>4346</v>
      </c>
      <c r="B1548" s="1" t="s">
        <v>3929</v>
      </c>
      <c r="C1548" s="1">
        <v>21</v>
      </c>
      <c r="D1548" s="4">
        <v>39900.013888888891</v>
      </c>
      <c r="E1548" s="1" t="s">
        <v>320</v>
      </c>
      <c r="F1548" s="1"/>
      <c r="G1548" s="1"/>
      <c r="H1548" s="1"/>
      <c r="I1548" s="1"/>
      <c r="J1548" s="1"/>
      <c r="K1548" s="1"/>
      <c r="L1548" s="1"/>
      <c r="M1548" s="1"/>
      <c r="N1548" s="1"/>
      <c r="O1548" s="1"/>
      <c r="P1548" s="1"/>
      <c r="Q1548" s="1"/>
      <c r="R1548" s="1"/>
      <c r="S1548" s="1"/>
    </row>
    <row r="1549" spans="1:19" ht="33.75" customHeight="1">
      <c r="A1549" s="1" t="s">
        <v>4349</v>
      </c>
      <c r="B1549" s="1" t="s">
        <v>3800</v>
      </c>
      <c r="C1549" s="1">
        <v>20</v>
      </c>
      <c r="D1549" s="4">
        <v>39900.065972222219</v>
      </c>
      <c r="E1549" s="1" t="s">
        <v>1887</v>
      </c>
      <c r="F1549" s="1"/>
      <c r="G1549" s="1"/>
      <c r="H1549" s="1"/>
      <c r="I1549" s="1"/>
      <c r="J1549" s="1"/>
      <c r="K1549" s="1"/>
      <c r="L1549" s="1"/>
      <c r="M1549" s="1"/>
      <c r="N1549" s="1"/>
      <c r="O1549" s="1"/>
      <c r="P1549" s="1"/>
      <c r="Q1549" s="1"/>
      <c r="R1549" s="1"/>
      <c r="S1549" s="1"/>
    </row>
    <row r="1550" spans="1:19" ht="33.75" customHeight="1">
      <c r="A1550" s="1" t="s">
        <v>4351</v>
      </c>
      <c r="B1550" s="1" t="s">
        <v>4151</v>
      </c>
      <c r="C1550" s="1">
        <v>22</v>
      </c>
      <c r="D1550" s="4">
        <v>39900.122916666667</v>
      </c>
      <c r="E1550" s="1" t="s">
        <v>435</v>
      </c>
      <c r="F1550" s="1"/>
      <c r="G1550" s="1"/>
      <c r="H1550" s="1"/>
      <c r="I1550" s="1"/>
      <c r="J1550" s="1"/>
      <c r="K1550" s="1"/>
      <c r="L1550" s="1"/>
      <c r="M1550" s="1"/>
      <c r="N1550" s="1"/>
      <c r="O1550" s="1"/>
      <c r="P1550" s="1"/>
      <c r="Q1550" s="1"/>
      <c r="R1550" s="1"/>
      <c r="S1550" s="1"/>
    </row>
    <row r="1551" spans="1:19" ht="33.75" customHeight="1">
      <c r="A1551" s="1" t="s">
        <v>4354</v>
      </c>
      <c r="B1551" s="1" t="s">
        <v>3800</v>
      </c>
      <c r="C1551" s="1">
        <v>20</v>
      </c>
      <c r="D1551" s="4">
        <v>39900.23333333333</v>
      </c>
      <c r="E1551" s="1" t="s">
        <v>84</v>
      </c>
      <c r="F1551" s="1"/>
      <c r="G1551" s="1"/>
      <c r="H1551" s="1"/>
      <c r="I1551" s="1"/>
      <c r="J1551" s="1"/>
      <c r="K1551" s="1"/>
      <c r="L1551" s="1"/>
      <c r="M1551" s="1"/>
      <c r="N1551" s="1"/>
      <c r="O1551" s="1"/>
      <c r="P1551" s="1"/>
      <c r="Q1551" s="1"/>
      <c r="R1551" s="1"/>
      <c r="S1551" s="1"/>
    </row>
    <row r="1552" spans="1:19" ht="33.75" customHeight="1">
      <c r="A1552" s="1" t="s">
        <v>4356</v>
      </c>
      <c r="B1552" s="1" t="s">
        <v>3800</v>
      </c>
      <c r="C1552" s="1">
        <v>20</v>
      </c>
      <c r="D1552" s="4">
        <v>39900.422222222223</v>
      </c>
      <c r="E1552" s="1" t="s">
        <v>1089</v>
      </c>
      <c r="F1552" s="1"/>
      <c r="G1552" s="1"/>
      <c r="H1552" s="1"/>
      <c r="I1552" s="1"/>
      <c r="J1552" s="1"/>
      <c r="K1552" s="1"/>
      <c r="L1552" s="1"/>
      <c r="M1552" s="1"/>
      <c r="N1552" s="1"/>
      <c r="O1552" s="1"/>
      <c r="P1552" s="1"/>
      <c r="Q1552" s="1"/>
      <c r="R1552" s="1"/>
      <c r="S1552" s="1"/>
    </row>
    <row r="1553" spans="1:19" ht="33.75" customHeight="1">
      <c r="A1553" s="1" t="s">
        <v>4358</v>
      </c>
      <c r="B1553" s="1" t="s">
        <v>3800</v>
      </c>
      <c r="C1553" s="1">
        <v>20</v>
      </c>
      <c r="D1553" s="4">
        <v>39900.45416666667</v>
      </c>
      <c r="E1553" s="1" t="s">
        <v>1887</v>
      </c>
      <c r="F1553" s="1"/>
      <c r="G1553" s="1"/>
      <c r="H1553" s="1"/>
      <c r="I1553" s="1"/>
      <c r="J1553" s="1"/>
      <c r="K1553" s="1"/>
      <c r="L1553" s="1"/>
      <c r="M1553" s="1"/>
      <c r="N1553" s="1"/>
      <c r="O1553" s="1"/>
      <c r="P1553" s="1"/>
      <c r="Q1553" s="1"/>
      <c r="R1553" s="1"/>
      <c r="S1553" s="1"/>
    </row>
    <row r="1554" spans="1:19" ht="33.75" customHeight="1">
      <c r="A1554" s="1" t="s">
        <v>4360</v>
      </c>
      <c r="B1554" s="1" t="s">
        <v>3800</v>
      </c>
      <c r="C1554" s="1">
        <v>20</v>
      </c>
      <c r="D1554" s="4">
        <v>39900.538888888892</v>
      </c>
      <c r="E1554" s="1" t="s">
        <v>772</v>
      </c>
      <c r="F1554" s="1"/>
      <c r="G1554" s="1"/>
      <c r="H1554" s="1"/>
      <c r="I1554" s="1"/>
      <c r="J1554" s="1"/>
      <c r="K1554" s="1"/>
      <c r="L1554" s="1"/>
      <c r="M1554" s="1"/>
      <c r="N1554" s="1"/>
      <c r="O1554" s="1"/>
      <c r="P1554" s="1"/>
      <c r="Q1554" s="1"/>
      <c r="R1554" s="1"/>
      <c r="S1554" s="1"/>
    </row>
    <row r="1555" spans="1:19" ht="33.75" customHeight="1">
      <c r="A1555" s="1" t="s">
        <v>4362</v>
      </c>
      <c r="B1555" s="1" t="s">
        <v>4151</v>
      </c>
      <c r="C1555" s="1">
        <v>22</v>
      </c>
      <c r="D1555" s="4">
        <v>39900.777777777781</v>
      </c>
      <c r="E1555" s="1" t="s">
        <v>1887</v>
      </c>
      <c r="F1555" s="1"/>
      <c r="G1555" s="1"/>
      <c r="H1555" s="1"/>
      <c r="I1555" s="1"/>
      <c r="J1555" s="1"/>
      <c r="K1555" s="1"/>
      <c r="L1555" s="1"/>
      <c r="M1555" s="1"/>
      <c r="N1555" s="1"/>
      <c r="O1555" s="1"/>
      <c r="P1555" s="1"/>
      <c r="Q1555" s="1"/>
      <c r="R1555" s="1"/>
      <c r="S1555" s="1"/>
    </row>
    <row r="1556" spans="1:19" ht="33.75" customHeight="1">
      <c r="A1556" s="1" t="s">
        <v>4365</v>
      </c>
      <c r="B1556" s="1" t="s">
        <v>4151</v>
      </c>
      <c r="C1556" s="1">
        <v>22</v>
      </c>
      <c r="D1556" s="4">
        <v>39900.843055555553</v>
      </c>
      <c r="E1556" s="1" t="s">
        <v>14</v>
      </c>
      <c r="F1556" s="1"/>
      <c r="G1556" s="1"/>
      <c r="H1556" s="1"/>
      <c r="I1556" s="1"/>
      <c r="J1556" s="1"/>
      <c r="K1556" s="1"/>
      <c r="L1556" s="1"/>
      <c r="M1556" s="1"/>
      <c r="N1556" s="1"/>
      <c r="O1556" s="1"/>
      <c r="P1556" s="1"/>
      <c r="Q1556" s="1"/>
      <c r="R1556" s="1"/>
      <c r="S1556" s="1"/>
    </row>
    <row r="1557" spans="1:19" ht="33.75" customHeight="1">
      <c r="A1557" s="1" t="s">
        <v>4369</v>
      </c>
      <c r="B1557" s="1" t="s">
        <v>4151</v>
      </c>
      <c r="C1557" s="1">
        <v>22</v>
      </c>
      <c r="D1557" s="4">
        <v>39900.865277777775</v>
      </c>
      <c r="E1557" s="1" t="s">
        <v>435</v>
      </c>
      <c r="F1557" s="1"/>
      <c r="G1557" s="1"/>
      <c r="H1557" s="1"/>
      <c r="I1557" s="1"/>
      <c r="J1557" s="1"/>
      <c r="K1557" s="1"/>
      <c r="L1557" s="1"/>
      <c r="M1557" s="1"/>
      <c r="N1557" s="1"/>
      <c r="O1557" s="1"/>
      <c r="P1557" s="1"/>
      <c r="Q1557" s="1"/>
      <c r="R1557" s="1"/>
      <c r="S1557" s="1"/>
    </row>
    <row r="1558" spans="1:19" ht="33.75" customHeight="1">
      <c r="A1558" s="1" t="s">
        <v>4372</v>
      </c>
      <c r="B1558" s="1" t="s">
        <v>3929</v>
      </c>
      <c r="C1558" s="1">
        <v>21</v>
      </c>
      <c r="D1558" s="4">
        <v>39901.026388888888</v>
      </c>
      <c r="E1558" s="1" t="s">
        <v>772</v>
      </c>
      <c r="F1558" s="1"/>
      <c r="G1558" s="1"/>
      <c r="H1558" s="1"/>
      <c r="I1558" s="1"/>
      <c r="J1558" s="1"/>
      <c r="K1558" s="1"/>
      <c r="L1558" s="1"/>
      <c r="M1558" s="1"/>
      <c r="N1558" s="1"/>
      <c r="O1558" s="1"/>
      <c r="P1558" s="1"/>
      <c r="Q1558" s="1"/>
      <c r="R1558" s="1"/>
      <c r="S1558" s="1"/>
    </row>
    <row r="1559" spans="1:19" ht="33.75" customHeight="1">
      <c r="A1559" s="1" t="s">
        <v>4374</v>
      </c>
      <c r="B1559" s="1" t="s">
        <v>4151</v>
      </c>
      <c r="C1559" s="1">
        <v>22</v>
      </c>
      <c r="D1559" s="4">
        <v>39901.029166666667</v>
      </c>
      <c r="E1559" s="1" t="s">
        <v>84</v>
      </c>
      <c r="F1559" s="1"/>
      <c r="G1559" s="1"/>
      <c r="H1559" s="1"/>
      <c r="I1559" s="1"/>
      <c r="J1559" s="1"/>
      <c r="K1559" s="1"/>
      <c r="L1559" s="1"/>
      <c r="M1559" s="1"/>
      <c r="N1559" s="1"/>
      <c r="O1559" s="1"/>
      <c r="P1559" s="1"/>
      <c r="Q1559" s="1"/>
      <c r="R1559" s="1"/>
      <c r="S1559" s="1"/>
    </row>
    <row r="1560" spans="1:19" ht="33.75" customHeight="1">
      <c r="A1560" s="1" t="s">
        <v>4377</v>
      </c>
      <c r="B1560" s="1" t="s">
        <v>3800</v>
      </c>
      <c r="C1560" s="1">
        <v>20</v>
      </c>
      <c r="D1560" s="4">
        <v>39901.453472222223</v>
      </c>
      <c r="E1560" s="1" t="s">
        <v>772</v>
      </c>
      <c r="F1560" s="1"/>
      <c r="G1560" s="1"/>
      <c r="H1560" s="1"/>
      <c r="I1560" s="1"/>
      <c r="J1560" s="1"/>
      <c r="K1560" s="1"/>
      <c r="L1560" s="1"/>
      <c r="M1560" s="1"/>
      <c r="N1560" s="1"/>
      <c r="O1560" s="1"/>
      <c r="P1560" s="1"/>
      <c r="Q1560" s="1"/>
      <c r="R1560" s="1"/>
      <c r="S1560" s="1"/>
    </row>
    <row r="1561" spans="1:19" ht="33.75" customHeight="1">
      <c r="A1561" s="1" t="s">
        <v>4379</v>
      </c>
      <c r="B1561" s="1" t="s">
        <v>3800</v>
      </c>
      <c r="C1561" s="1">
        <v>20</v>
      </c>
      <c r="D1561" s="4">
        <v>39901.598611111112</v>
      </c>
      <c r="E1561" s="1" t="s">
        <v>54</v>
      </c>
      <c r="F1561" s="1"/>
      <c r="G1561" s="1"/>
      <c r="H1561" s="1"/>
      <c r="I1561" s="1"/>
      <c r="J1561" s="1"/>
      <c r="K1561" s="1"/>
      <c r="L1561" s="1"/>
      <c r="M1561" s="1"/>
      <c r="N1561" s="1"/>
      <c r="O1561" s="1"/>
      <c r="P1561" s="1"/>
      <c r="Q1561" s="1"/>
      <c r="R1561" s="1"/>
      <c r="S1561" s="1"/>
    </row>
    <row r="1562" spans="1:19" ht="33.75" customHeight="1">
      <c r="A1562" s="1" t="s">
        <v>4382</v>
      </c>
      <c r="B1562" s="1" t="s">
        <v>3800</v>
      </c>
      <c r="C1562" s="1">
        <v>20</v>
      </c>
      <c r="D1562" s="4">
        <v>39901.604166666664</v>
      </c>
      <c r="E1562" s="1" t="s">
        <v>54</v>
      </c>
      <c r="F1562" s="1"/>
      <c r="G1562" s="1"/>
      <c r="H1562" s="1"/>
      <c r="I1562" s="1"/>
      <c r="J1562" s="1"/>
      <c r="K1562" s="1"/>
      <c r="L1562" s="1"/>
      <c r="M1562" s="1"/>
      <c r="N1562" s="1"/>
      <c r="O1562" s="1"/>
      <c r="P1562" s="1"/>
      <c r="Q1562" s="1"/>
      <c r="R1562" s="1"/>
      <c r="S1562" s="1"/>
    </row>
    <row r="1563" spans="1:19" ht="33.75" customHeight="1">
      <c r="A1563" s="1" t="s">
        <v>4384</v>
      </c>
      <c r="B1563" s="1" t="s">
        <v>3800</v>
      </c>
      <c r="C1563" s="1">
        <v>20</v>
      </c>
      <c r="D1563" s="4">
        <v>39901.661805555559</v>
      </c>
      <c r="E1563" s="1" t="s">
        <v>84</v>
      </c>
      <c r="F1563" s="1"/>
      <c r="G1563" s="1"/>
      <c r="H1563" s="1"/>
      <c r="I1563" s="1"/>
      <c r="J1563" s="1"/>
      <c r="K1563" s="1"/>
      <c r="L1563" s="1"/>
      <c r="M1563" s="1"/>
      <c r="N1563" s="1"/>
      <c r="O1563" s="1"/>
      <c r="P1563" s="1"/>
      <c r="Q1563" s="1"/>
      <c r="R1563" s="1"/>
      <c r="S1563" s="1"/>
    </row>
    <row r="1564" spans="1:19" ht="33.75" customHeight="1">
      <c r="A1564" s="1" t="s">
        <v>4387</v>
      </c>
      <c r="B1564" s="1" t="s">
        <v>3800</v>
      </c>
      <c r="C1564" s="1">
        <v>20</v>
      </c>
      <c r="D1564" s="4">
        <v>39901.678472222222</v>
      </c>
      <c r="E1564" s="1" t="s">
        <v>772</v>
      </c>
      <c r="F1564" s="1"/>
      <c r="G1564" s="1"/>
      <c r="H1564" s="1"/>
      <c r="I1564" s="1"/>
      <c r="J1564" s="1"/>
      <c r="K1564" s="1"/>
      <c r="L1564" s="1"/>
      <c r="M1564" s="1"/>
      <c r="N1564" s="1"/>
      <c r="O1564" s="1"/>
      <c r="P1564" s="1"/>
      <c r="Q1564" s="1"/>
      <c r="R1564" s="1"/>
      <c r="S1564" s="1"/>
    </row>
    <row r="1565" spans="1:19" ht="33.75" customHeight="1">
      <c r="A1565" s="1" t="s">
        <v>4389</v>
      </c>
      <c r="B1565" s="1" t="s">
        <v>3800</v>
      </c>
      <c r="C1565" s="1">
        <v>20</v>
      </c>
      <c r="D1565" s="4">
        <v>39901.686805555553</v>
      </c>
      <c r="E1565" s="1" t="s">
        <v>84</v>
      </c>
      <c r="F1565" s="1"/>
      <c r="G1565" s="1"/>
      <c r="H1565" s="1"/>
      <c r="I1565" s="1"/>
      <c r="J1565" s="1"/>
      <c r="K1565" s="1"/>
      <c r="L1565" s="1"/>
      <c r="M1565" s="1"/>
      <c r="N1565" s="1"/>
      <c r="O1565" s="1"/>
      <c r="P1565" s="1"/>
      <c r="Q1565" s="1"/>
      <c r="R1565" s="1"/>
      <c r="S1565" s="1"/>
    </row>
    <row r="1566" spans="1:19" ht="33.75" customHeight="1">
      <c r="A1566" s="1" t="s">
        <v>4392</v>
      </c>
      <c r="B1566" s="1" t="s">
        <v>3800</v>
      </c>
      <c r="C1566" s="1">
        <v>20</v>
      </c>
      <c r="D1566" s="4">
        <v>39901.706944444442</v>
      </c>
      <c r="E1566" s="1" t="s">
        <v>772</v>
      </c>
      <c r="F1566" s="1"/>
      <c r="G1566" s="1"/>
      <c r="H1566" s="1"/>
      <c r="I1566" s="1"/>
      <c r="J1566" s="1"/>
      <c r="K1566" s="1"/>
      <c r="L1566" s="1"/>
      <c r="M1566" s="1"/>
      <c r="N1566" s="1"/>
      <c r="O1566" s="1"/>
      <c r="P1566" s="1"/>
      <c r="Q1566" s="1"/>
      <c r="R1566" s="1"/>
      <c r="S1566" s="1"/>
    </row>
    <row r="1567" spans="1:19" ht="33.75" customHeight="1">
      <c r="A1567" s="1" t="s">
        <v>4394</v>
      </c>
      <c r="B1567" s="1" t="s">
        <v>3800</v>
      </c>
      <c r="C1567" s="1">
        <v>20</v>
      </c>
      <c r="D1567" s="4">
        <v>39901.750694444447</v>
      </c>
      <c r="E1567" s="1" t="s">
        <v>84</v>
      </c>
      <c r="F1567" s="1"/>
      <c r="G1567" s="1"/>
      <c r="H1567" s="1"/>
      <c r="I1567" s="1"/>
      <c r="J1567" s="1"/>
      <c r="K1567" s="1"/>
      <c r="L1567" s="1"/>
      <c r="M1567" s="1"/>
      <c r="N1567" s="1"/>
      <c r="O1567" s="1"/>
      <c r="P1567" s="1"/>
      <c r="Q1567" s="1"/>
      <c r="R1567" s="1"/>
      <c r="S1567" s="1"/>
    </row>
    <row r="1568" spans="1:19" ht="33.75" customHeight="1">
      <c r="A1568" s="1" t="s">
        <v>4396</v>
      </c>
      <c r="B1568" s="1" t="s">
        <v>3800</v>
      </c>
      <c r="C1568" s="1">
        <v>20</v>
      </c>
      <c r="D1568" s="4">
        <v>39901.782638888886</v>
      </c>
      <c r="E1568" s="1" t="s">
        <v>772</v>
      </c>
      <c r="F1568" s="1"/>
      <c r="G1568" s="1"/>
      <c r="H1568" s="1"/>
      <c r="I1568" s="1"/>
      <c r="J1568" s="1"/>
      <c r="K1568" s="1"/>
      <c r="L1568" s="1"/>
      <c r="M1568" s="1"/>
      <c r="N1568" s="1"/>
      <c r="O1568" s="1"/>
      <c r="P1568" s="1"/>
      <c r="Q1568" s="1"/>
      <c r="R1568" s="1"/>
      <c r="S1568" s="1"/>
    </row>
    <row r="1569" spans="1:19" ht="33.75" customHeight="1">
      <c r="A1569" s="1" t="s">
        <v>4398</v>
      </c>
      <c r="B1569" s="1" t="s">
        <v>3800</v>
      </c>
      <c r="C1569" s="1">
        <v>20</v>
      </c>
      <c r="D1569" s="4">
        <v>39901.825694444444</v>
      </c>
      <c r="E1569" s="1" t="s">
        <v>772</v>
      </c>
      <c r="F1569" s="1"/>
      <c r="G1569" s="1"/>
      <c r="H1569" s="1"/>
      <c r="I1569" s="1"/>
      <c r="J1569" s="1"/>
      <c r="K1569" s="1"/>
      <c r="L1569" s="1"/>
      <c r="M1569" s="1"/>
      <c r="N1569" s="1"/>
      <c r="O1569" s="1"/>
      <c r="P1569" s="1"/>
      <c r="Q1569" s="1"/>
      <c r="R1569" s="1"/>
      <c r="S1569" s="1"/>
    </row>
    <row r="1570" spans="1:19" ht="33.75" customHeight="1">
      <c r="A1570" s="1" t="s">
        <v>4400</v>
      </c>
      <c r="B1570" s="1" t="s">
        <v>3800</v>
      </c>
      <c r="C1570" s="1">
        <v>20</v>
      </c>
      <c r="D1570" s="4">
        <v>39901.829861111109</v>
      </c>
      <c r="E1570" s="1" t="s">
        <v>772</v>
      </c>
      <c r="F1570" s="1"/>
      <c r="G1570" s="1"/>
      <c r="H1570" s="1"/>
      <c r="I1570" s="1"/>
      <c r="J1570" s="1"/>
      <c r="K1570" s="1"/>
      <c r="L1570" s="1"/>
      <c r="M1570" s="1"/>
      <c r="N1570" s="1"/>
      <c r="O1570" s="1"/>
      <c r="P1570" s="1"/>
      <c r="Q1570" s="1"/>
      <c r="R1570" s="1"/>
      <c r="S1570" s="1"/>
    </row>
    <row r="1571" spans="1:19" ht="33.75" customHeight="1">
      <c r="A1571" s="1" t="s">
        <v>4402</v>
      </c>
      <c r="B1571" s="1" t="s">
        <v>3800</v>
      </c>
      <c r="C1571" s="1">
        <v>20</v>
      </c>
      <c r="D1571" s="4">
        <v>39901.84375</v>
      </c>
      <c r="E1571" s="1" t="s">
        <v>772</v>
      </c>
      <c r="F1571" s="1"/>
      <c r="G1571" s="1"/>
      <c r="H1571" s="1"/>
      <c r="I1571" s="1"/>
      <c r="J1571" s="1"/>
      <c r="K1571" s="1"/>
      <c r="L1571" s="1"/>
      <c r="M1571" s="1"/>
      <c r="N1571" s="1"/>
      <c r="O1571" s="1"/>
      <c r="P1571" s="1"/>
      <c r="Q1571" s="1"/>
      <c r="R1571" s="1"/>
      <c r="S1571" s="1"/>
    </row>
    <row r="1572" spans="1:19" ht="33.75" customHeight="1">
      <c r="A1572" s="1" t="s">
        <v>4404</v>
      </c>
      <c r="B1572" s="1" t="s">
        <v>3800</v>
      </c>
      <c r="C1572" s="1">
        <v>20</v>
      </c>
      <c r="D1572" s="4">
        <v>39901.847916666666</v>
      </c>
      <c r="E1572" s="1" t="s">
        <v>772</v>
      </c>
      <c r="F1572" s="1"/>
      <c r="G1572" s="1"/>
      <c r="H1572" s="1"/>
      <c r="I1572" s="1"/>
      <c r="J1572" s="1"/>
      <c r="K1572" s="1"/>
      <c r="L1572" s="1"/>
      <c r="M1572" s="1"/>
      <c r="N1572" s="1"/>
      <c r="O1572" s="1"/>
      <c r="P1572" s="1"/>
      <c r="Q1572" s="1"/>
      <c r="R1572" s="1"/>
      <c r="S1572" s="1"/>
    </row>
    <row r="1573" spans="1:19" ht="33.75" customHeight="1">
      <c r="A1573" s="1" t="s">
        <v>4406</v>
      </c>
      <c r="B1573" s="1" t="s">
        <v>3800</v>
      </c>
      <c r="C1573" s="1">
        <v>20</v>
      </c>
      <c r="D1573" s="4">
        <v>39901.922222222223</v>
      </c>
      <c r="E1573" s="1" t="s">
        <v>772</v>
      </c>
      <c r="F1573" s="1"/>
      <c r="G1573" s="1"/>
      <c r="H1573" s="1"/>
      <c r="I1573" s="1"/>
      <c r="J1573" s="1"/>
      <c r="K1573" s="1"/>
      <c r="L1573" s="1"/>
      <c r="M1573" s="1"/>
      <c r="N1573" s="1"/>
      <c r="O1573" s="1"/>
      <c r="P1573" s="1"/>
      <c r="Q1573" s="1"/>
      <c r="R1573" s="1"/>
      <c r="S1573" s="1"/>
    </row>
    <row r="1574" spans="1:19" ht="33.75" customHeight="1">
      <c r="A1574" s="1" t="s">
        <v>4408</v>
      </c>
      <c r="B1574" s="1" t="s">
        <v>3800</v>
      </c>
      <c r="C1574" s="1">
        <v>20</v>
      </c>
      <c r="D1574" s="4">
        <v>39901.923611111109</v>
      </c>
      <c r="E1574" s="1" t="s">
        <v>772</v>
      </c>
      <c r="F1574" s="1"/>
      <c r="G1574" s="1"/>
      <c r="H1574" s="1"/>
      <c r="I1574" s="1"/>
      <c r="J1574" s="1"/>
      <c r="K1574" s="1"/>
      <c r="L1574" s="1"/>
      <c r="M1574" s="1"/>
      <c r="N1574" s="1"/>
      <c r="O1574" s="1"/>
      <c r="P1574" s="1"/>
      <c r="Q1574" s="1"/>
      <c r="R1574" s="1"/>
      <c r="S1574" s="1"/>
    </row>
    <row r="1575" spans="1:19" ht="33.75" customHeight="1">
      <c r="A1575" s="1" t="s">
        <v>4410</v>
      </c>
      <c r="B1575" s="1" t="s">
        <v>3800</v>
      </c>
      <c r="C1575" s="1">
        <v>20</v>
      </c>
      <c r="D1575" s="4">
        <v>39901.943749999999</v>
      </c>
      <c r="E1575" s="1" t="s">
        <v>1887</v>
      </c>
      <c r="F1575" s="1"/>
      <c r="G1575" s="1"/>
      <c r="H1575" s="1"/>
      <c r="I1575" s="1"/>
      <c r="J1575" s="1"/>
      <c r="K1575" s="1"/>
      <c r="L1575" s="1"/>
      <c r="M1575" s="1"/>
      <c r="N1575" s="1"/>
      <c r="O1575" s="1"/>
      <c r="P1575" s="1"/>
      <c r="Q1575" s="1"/>
      <c r="R1575" s="1"/>
      <c r="S1575" s="1"/>
    </row>
    <row r="1576" spans="1:19" ht="33.75" customHeight="1">
      <c r="A1576" s="1" t="s">
        <v>4413</v>
      </c>
      <c r="B1576" s="1" t="s">
        <v>3800</v>
      </c>
      <c r="C1576" s="1">
        <v>20</v>
      </c>
      <c r="D1576" s="4">
        <v>39902.043749999997</v>
      </c>
      <c r="E1576" s="1" t="s">
        <v>1887</v>
      </c>
      <c r="F1576" s="1"/>
      <c r="G1576" s="1"/>
      <c r="H1576" s="1"/>
      <c r="I1576" s="1"/>
      <c r="J1576" s="1"/>
      <c r="K1576" s="1"/>
      <c r="L1576" s="1"/>
      <c r="M1576" s="1"/>
      <c r="N1576" s="1"/>
      <c r="O1576" s="1"/>
      <c r="P1576" s="1"/>
      <c r="Q1576" s="1"/>
      <c r="R1576" s="1"/>
      <c r="S1576" s="1"/>
    </row>
    <row r="1577" spans="1:19" ht="33.75" customHeight="1">
      <c r="A1577" s="1" t="s">
        <v>4415</v>
      </c>
      <c r="B1577" s="1" t="s">
        <v>3800</v>
      </c>
      <c r="C1577" s="1">
        <v>20</v>
      </c>
      <c r="D1577" s="4">
        <v>39902.167361111111</v>
      </c>
      <c r="E1577" s="1" t="s">
        <v>4416</v>
      </c>
      <c r="F1577" s="1"/>
      <c r="G1577" s="1"/>
      <c r="H1577" s="1"/>
      <c r="I1577" s="1"/>
      <c r="J1577" s="1"/>
      <c r="K1577" s="1"/>
      <c r="L1577" s="1"/>
      <c r="M1577" s="1"/>
      <c r="N1577" s="1"/>
      <c r="O1577" s="1"/>
      <c r="P1577" s="1"/>
      <c r="Q1577" s="1"/>
      <c r="R1577" s="1"/>
      <c r="S1577" s="1"/>
    </row>
    <row r="1578" spans="1:19" ht="33.75" customHeight="1">
      <c r="A1578" s="1" t="s">
        <v>4418</v>
      </c>
      <c r="B1578" s="1" t="s">
        <v>3800</v>
      </c>
      <c r="C1578" s="1">
        <v>20</v>
      </c>
      <c r="D1578" s="4">
        <v>39902.182638888888</v>
      </c>
      <c r="E1578" s="1" t="s">
        <v>54</v>
      </c>
      <c r="F1578" s="1"/>
      <c r="G1578" s="1"/>
      <c r="H1578" s="1"/>
      <c r="I1578" s="1"/>
      <c r="J1578" s="1"/>
      <c r="K1578" s="1"/>
      <c r="L1578" s="1"/>
      <c r="M1578" s="1"/>
      <c r="N1578" s="1"/>
      <c r="O1578" s="1"/>
      <c r="P1578" s="1"/>
      <c r="Q1578" s="1"/>
      <c r="R1578" s="1"/>
      <c r="S1578" s="1"/>
    </row>
    <row r="1579" spans="1:19" ht="33.75" customHeight="1">
      <c r="A1579" s="1" t="s">
        <v>4420</v>
      </c>
      <c r="B1579" s="1" t="s">
        <v>3800</v>
      </c>
      <c r="C1579" s="1">
        <v>20</v>
      </c>
      <c r="D1579" s="4">
        <v>39902.24722222222</v>
      </c>
      <c r="E1579" s="1" t="s">
        <v>1089</v>
      </c>
      <c r="F1579" s="1"/>
      <c r="G1579" s="1"/>
      <c r="H1579" s="1"/>
      <c r="I1579" s="1"/>
      <c r="J1579" s="1"/>
      <c r="K1579" s="1"/>
      <c r="L1579" s="1"/>
      <c r="M1579" s="1"/>
      <c r="N1579" s="1"/>
      <c r="O1579" s="1"/>
      <c r="P1579" s="1"/>
      <c r="Q1579" s="1"/>
      <c r="R1579" s="1"/>
      <c r="S1579" s="1"/>
    </row>
    <row r="1580" spans="1:19" ht="33.75" customHeight="1">
      <c r="A1580" s="1" t="s">
        <v>4422</v>
      </c>
      <c r="B1580" s="1" t="s">
        <v>3800</v>
      </c>
      <c r="C1580" s="1">
        <v>20</v>
      </c>
      <c r="D1580" s="4">
        <v>39902.309027777781</v>
      </c>
      <c r="E1580" s="1" t="s">
        <v>1089</v>
      </c>
      <c r="F1580" s="1"/>
      <c r="G1580" s="1"/>
      <c r="H1580" s="1"/>
      <c r="I1580" s="1"/>
      <c r="J1580" s="1"/>
      <c r="K1580" s="1"/>
      <c r="L1580" s="1"/>
      <c r="M1580" s="1"/>
      <c r="N1580" s="1"/>
      <c r="O1580" s="1"/>
      <c r="P1580" s="1"/>
      <c r="Q1580" s="1"/>
      <c r="R1580" s="1"/>
      <c r="S1580" s="1"/>
    </row>
    <row r="1581" spans="1:19" ht="33.75" customHeight="1">
      <c r="A1581" s="1" t="s">
        <v>4424</v>
      </c>
      <c r="B1581" s="1" t="s">
        <v>3800</v>
      </c>
      <c r="C1581" s="1">
        <v>20</v>
      </c>
      <c r="D1581" s="4">
        <v>39902.450694444444</v>
      </c>
      <c r="E1581" s="1" t="s">
        <v>772</v>
      </c>
      <c r="F1581" s="1"/>
      <c r="G1581" s="1"/>
      <c r="H1581" s="1"/>
      <c r="I1581" s="1"/>
      <c r="J1581" s="1"/>
      <c r="K1581" s="1"/>
      <c r="L1581" s="1"/>
      <c r="M1581" s="1"/>
      <c r="N1581" s="1"/>
      <c r="O1581" s="1"/>
      <c r="P1581" s="1"/>
      <c r="Q1581" s="1"/>
      <c r="R1581" s="1"/>
      <c r="S1581" s="1"/>
    </row>
    <row r="1582" spans="1:19" ht="33.75" customHeight="1">
      <c r="A1582" s="1" t="s">
        <v>4427</v>
      </c>
      <c r="B1582" s="1" t="s">
        <v>3800</v>
      </c>
      <c r="C1582" s="1">
        <v>20</v>
      </c>
      <c r="D1582" s="4">
        <v>39902.454861111109</v>
      </c>
      <c r="E1582" s="1" t="s">
        <v>772</v>
      </c>
      <c r="F1582" s="1"/>
      <c r="G1582" s="1"/>
      <c r="H1582" s="1"/>
      <c r="I1582" s="1"/>
      <c r="J1582" s="1"/>
      <c r="K1582" s="1"/>
      <c r="L1582" s="1"/>
      <c r="M1582" s="1"/>
      <c r="N1582" s="1"/>
      <c r="O1582" s="1"/>
      <c r="P1582" s="1"/>
      <c r="Q1582" s="1"/>
      <c r="R1582" s="1"/>
      <c r="S1582" s="1"/>
    </row>
    <row r="1583" spans="1:19" ht="33.75" customHeight="1">
      <c r="A1583" s="1" t="s">
        <v>4429</v>
      </c>
      <c r="B1583" s="1" t="s">
        <v>3800</v>
      </c>
      <c r="C1583" s="1">
        <v>20</v>
      </c>
      <c r="D1583" s="4">
        <v>39902.457638888889</v>
      </c>
      <c r="E1583" s="1" t="s">
        <v>772</v>
      </c>
      <c r="F1583" s="1"/>
      <c r="G1583" s="1"/>
      <c r="H1583" s="1"/>
      <c r="I1583" s="1"/>
      <c r="J1583" s="1"/>
      <c r="K1583" s="1"/>
      <c r="L1583" s="1"/>
      <c r="M1583" s="1"/>
      <c r="N1583" s="1"/>
      <c r="O1583" s="1"/>
      <c r="P1583" s="1"/>
      <c r="Q1583" s="1"/>
      <c r="R1583" s="1"/>
      <c r="S1583" s="1"/>
    </row>
    <row r="1584" spans="1:19" ht="33.75" customHeight="1">
      <c r="A1584" s="1" t="s">
        <v>4432</v>
      </c>
      <c r="B1584" s="1" t="s">
        <v>3800</v>
      </c>
      <c r="C1584" s="1">
        <v>20</v>
      </c>
      <c r="D1584" s="4">
        <v>39902.461111111108</v>
      </c>
      <c r="E1584" s="1" t="s">
        <v>772</v>
      </c>
      <c r="F1584" s="1"/>
      <c r="G1584" s="1"/>
      <c r="H1584" s="1"/>
      <c r="I1584" s="1"/>
      <c r="J1584" s="1"/>
      <c r="K1584" s="1"/>
      <c r="L1584" s="1"/>
      <c r="M1584" s="1"/>
      <c r="N1584" s="1"/>
      <c r="O1584" s="1"/>
      <c r="P1584" s="1"/>
      <c r="Q1584" s="1"/>
      <c r="R1584" s="1"/>
      <c r="S1584" s="1"/>
    </row>
    <row r="1585" spans="1:19" ht="33.75" customHeight="1">
      <c r="A1585" s="1" t="s">
        <v>4434</v>
      </c>
      <c r="B1585" s="1" t="s">
        <v>3800</v>
      </c>
      <c r="C1585" s="1">
        <v>20</v>
      </c>
      <c r="D1585" s="4">
        <v>39902.465277777781</v>
      </c>
      <c r="E1585" s="1" t="s">
        <v>772</v>
      </c>
      <c r="F1585" s="1"/>
      <c r="G1585" s="1"/>
      <c r="H1585" s="1"/>
      <c r="I1585" s="1"/>
      <c r="J1585" s="1"/>
      <c r="K1585" s="1"/>
      <c r="L1585" s="1"/>
      <c r="M1585" s="1"/>
      <c r="N1585" s="1"/>
      <c r="O1585" s="1"/>
      <c r="P1585" s="1"/>
      <c r="Q1585" s="1"/>
      <c r="R1585" s="1"/>
      <c r="S1585" s="1"/>
    </row>
    <row r="1586" spans="1:19" ht="33.75" customHeight="1">
      <c r="A1586" s="1" t="s">
        <v>4436</v>
      </c>
      <c r="B1586" s="1" t="s">
        <v>3800</v>
      </c>
      <c r="C1586" s="1">
        <v>20</v>
      </c>
      <c r="D1586" s="4">
        <v>39902.470833333333</v>
      </c>
      <c r="E1586" s="1" t="s">
        <v>1887</v>
      </c>
      <c r="F1586" s="1"/>
      <c r="G1586" s="1"/>
      <c r="H1586" s="1"/>
      <c r="I1586" s="1"/>
      <c r="J1586" s="1"/>
      <c r="K1586" s="1"/>
      <c r="L1586" s="1"/>
      <c r="M1586" s="1"/>
      <c r="N1586" s="1"/>
      <c r="O1586" s="1"/>
      <c r="P1586" s="1"/>
      <c r="Q1586" s="1"/>
      <c r="R1586" s="1"/>
      <c r="S1586" s="1"/>
    </row>
    <row r="1587" spans="1:19" ht="33.75" customHeight="1">
      <c r="A1587" s="1" t="s">
        <v>4438</v>
      </c>
      <c r="B1587" s="1" t="s">
        <v>3800</v>
      </c>
      <c r="C1587" s="1">
        <v>20</v>
      </c>
      <c r="D1587" s="4">
        <v>39902.476388888892</v>
      </c>
      <c r="E1587" s="1" t="s">
        <v>772</v>
      </c>
      <c r="F1587" s="1"/>
      <c r="G1587" s="1"/>
      <c r="H1587" s="1"/>
      <c r="I1587" s="1"/>
      <c r="J1587" s="1"/>
      <c r="K1587" s="1"/>
      <c r="L1587" s="1"/>
      <c r="M1587" s="1"/>
      <c r="N1587" s="1"/>
      <c r="O1587" s="1"/>
      <c r="P1587" s="1"/>
      <c r="Q1587" s="1"/>
      <c r="R1587" s="1"/>
      <c r="S1587" s="1"/>
    </row>
    <row r="1588" spans="1:19" ht="33.75" customHeight="1">
      <c r="A1588" s="1" t="s">
        <v>4440</v>
      </c>
      <c r="B1588" s="1" t="s">
        <v>3800</v>
      </c>
      <c r="C1588" s="1">
        <v>20</v>
      </c>
      <c r="D1588" s="4">
        <v>39902.515277777777</v>
      </c>
      <c r="E1588" s="1" t="s">
        <v>772</v>
      </c>
      <c r="F1588" s="1"/>
      <c r="G1588" s="1"/>
      <c r="H1588" s="1"/>
      <c r="I1588" s="1"/>
      <c r="J1588" s="1"/>
      <c r="K1588" s="1"/>
      <c r="L1588" s="1"/>
      <c r="M1588" s="1"/>
      <c r="N1588" s="1"/>
      <c r="O1588" s="1"/>
      <c r="P1588" s="1"/>
      <c r="Q1588" s="1"/>
      <c r="R1588" s="1"/>
      <c r="S1588" s="1"/>
    </row>
    <row r="1589" spans="1:19" ht="33.75" customHeight="1">
      <c r="A1589" s="1" t="s">
        <v>4443</v>
      </c>
      <c r="B1589" s="1" t="s">
        <v>3800</v>
      </c>
      <c r="C1589" s="1">
        <v>20</v>
      </c>
      <c r="D1589" s="4">
        <v>39902.520138888889</v>
      </c>
      <c r="E1589" s="1" t="s">
        <v>772</v>
      </c>
      <c r="F1589" s="1"/>
      <c r="G1589" s="1"/>
      <c r="H1589" s="1"/>
      <c r="I1589" s="1"/>
      <c r="J1589" s="1"/>
      <c r="K1589" s="1"/>
      <c r="L1589" s="1"/>
      <c r="M1589" s="1"/>
      <c r="N1589" s="1"/>
      <c r="O1589" s="1"/>
      <c r="P1589" s="1"/>
      <c r="Q1589" s="1"/>
      <c r="R1589" s="1"/>
      <c r="S1589" s="1"/>
    </row>
    <row r="1590" spans="1:19" ht="33.75" customHeight="1">
      <c r="A1590" s="1" t="s">
        <v>4445</v>
      </c>
      <c r="B1590" s="1" t="s">
        <v>3800</v>
      </c>
      <c r="C1590" s="1">
        <v>20</v>
      </c>
      <c r="D1590" s="4">
        <v>39902.526388888888</v>
      </c>
      <c r="E1590" s="1" t="s">
        <v>1887</v>
      </c>
      <c r="F1590" s="1"/>
      <c r="G1590" s="1"/>
      <c r="H1590" s="1"/>
      <c r="I1590" s="1"/>
      <c r="J1590" s="1"/>
      <c r="K1590" s="1"/>
      <c r="L1590" s="1"/>
      <c r="M1590" s="1"/>
      <c r="N1590" s="1"/>
      <c r="O1590" s="1"/>
      <c r="P1590" s="1"/>
      <c r="Q1590" s="1"/>
      <c r="R1590" s="1"/>
      <c r="S1590" s="1"/>
    </row>
    <row r="1591" spans="1:19" ht="33.75" customHeight="1">
      <c r="A1591" s="1" t="s">
        <v>4447</v>
      </c>
      <c r="B1591" s="1" t="s">
        <v>3929</v>
      </c>
      <c r="C1591" s="1">
        <v>21</v>
      </c>
      <c r="D1591" s="4">
        <v>39902.52847222222</v>
      </c>
      <c r="E1591" s="1" t="s">
        <v>314</v>
      </c>
      <c r="F1591" s="1"/>
      <c r="G1591" s="1"/>
      <c r="H1591" s="1"/>
      <c r="I1591" s="1"/>
      <c r="J1591" s="1"/>
      <c r="K1591" s="1"/>
      <c r="L1591" s="1"/>
      <c r="M1591" s="1"/>
      <c r="N1591" s="1"/>
      <c r="O1591" s="1"/>
      <c r="P1591" s="1"/>
      <c r="Q1591" s="1"/>
      <c r="R1591" s="1"/>
      <c r="S1591" s="1"/>
    </row>
    <row r="1592" spans="1:19" ht="33.75" customHeight="1">
      <c r="A1592" s="1" t="s">
        <v>4449</v>
      </c>
      <c r="B1592" s="1" t="s">
        <v>3800</v>
      </c>
      <c r="C1592" s="1">
        <v>20</v>
      </c>
      <c r="D1592" s="4">
        <v>39902.548611111109</v>
      </c>
      <c r="E1592" s="1" t="s">
        <v>772</v>
      </c>
      <c r="F1592" s="1"/>
      <c r="G1592" s="1"/>
      <c r="H1592" s="1"/>
      <c r="I1592" s="1"/>
      <c r="J1592" s="1"/>
      <c r="K1592" s="1"/>
      <c r="L1592" s="1"/>
      <c r="M1592" s="1"/>
      <c r="N1592" s="1"/>
      <c r="O1592" s="1"/>
      <c r="P1592" s="1"/>
      <c r="Q1592" s="1"/>
      <c r="R1592" s="1"/>
      <c r="S1592" s="1"/>
    </row>
    <row r="1593" spans="1:19" ht="33.75" customHeight="1">
      <c r="A1593" s="1" t="s">
        <v>4451</v>
      </c>
      <c r="B1593" s="1" t="s">
        <v>3800</v>
      </c>
      <c r="C1593" s="1">
        <v>20</v>
      </c>
      <c r="D1593" s="4">
        <v>39902.550000000003</v>
      </c>
      <c r="E1593" s="1" t="s">
        <v>772</v>
      </c>
      <c r="F1593" s="1"/>
      <c r="G1593" s="1"/>
      <c r="H1593" s="1"/>
      <c r="I1593" s="1"/>
      <c r="J1593" s="1"/>
      <c r="K1593" s="1"/>
      <c r="L1593" s="1"/>
      <c r="M1593" s="1"/>
      <c r="N1593" s="1"/>
      <c r="O1593" s="1"/>
      <c r="P1593" s="1"/>
      <c r="Q1593" s="1"/>
      <c r="R1593" s="1"/>
      <c r="S1593" s="1"/>
    </row>
    <row r="1594" spans="1:19" ht="33.75" customHeight="1">
      <c r="A1594" s="1" t="s">
        <v>4453</v>
      </c>
      <c r="B1594" s="1" t="s">
        <v>3800</v>
      </c>
      <c r="C1594" s="1">
        <v>20</v>
      </c>
      <c r="D1594" s="4">
        <v>39902.5625</v>
      </c>
      <c r="E1594" s="1" t="s">
        <v>772</v>
      </c>
      <c r="F1594" s="1"/>
      <c r="G1594" s="1"/>
      <c r="H1594" s="1"/>
      <c r="I1594" s="1"/>
      <c r="J1594" s="1"/>
      <c r="K1594" s="1"/>
      <c r="L1594" s="1"/>
      <c r="M1594" s="1"/>
      <c r="N1594" s="1"/>
      <c r="O1594" s="1"/>
      <c r="P1594" s="1"/>
      <c r="Q1594" s="1"/>
      <c r="R1594" s="1"/>
      <c r="S1594" s="1"/>
    </row>
    <row r="1595" spans="1:19" ht="33.75" customHeight="1">
      <c r="A1595" s="1" t="s">
        <v>4456</v>
      </c>
      <c r="B1595" s="1" t="s">
        <v>3800</v>
      </c>
      <c r="C1595" s="1">
        <v>20</v>
      </c>
      <c r="D1595" s="4">
        <v>39902.640972222223</v>
      </c>
      <c r="E1595" s="1" t="s">
        <v>54</v>
      </c>
      <c r="F1595" s="1"/>
      <c r="G1595" s="1"/>
      <c r="H1595" s="1"/>
      <c r="I1595" s="1"/>
      <c r="J1595" s="1"/>
      <c r="K1595" s="1"/>
      <c r="L1595" s="1"/>
      <c r="M1595" s="1"/>
      <c r="N1595" s="1"/>
      <c r="O1595" s="1"/>
      <c r="P1595" s="1"/>
      <c r="Q1595" s="1"/>
      <c r="R1595" s="1"/>
      <c r="S1595" s="1"/>
    </row>
    <row r="1596" spans="1:19" ht="33.75" customHeight="1">
      <c r="A1596" s="1" t="s">
        <v>4459</v>
      </c>
      <c r="B1596" s="1" t="s">
        <v>4460</v>
      </c>
      <c r="C1596" s="1">
        <v>23</v>
      </c>
      <c r="D1596" s="4">
        <v>39902.65</v>
      </c>
      <c r="E1596" s="1" t="s">
        <v>772</v>
      </c>
      <c r="F1596" s="1"/>
      <c r="G1596" s="1"/>
      <c r="H1596" s="1"/>
      <c r="I1596" s="1"/>
      <c r="J1596" s="1"/>
      <c r="K1596" s="1"/>
      <c r="L1596" s="1"/>
      <c r="M1596" s="1"/>
      <c r="N1596" s="1"/>
      <c r="O1596" s="1"/>
      <c r="P1596" s="1"/>
      <c r="Q1596" s="1"/>
      <c r="R1596" s="1"/>
      <c r="S1596" s="1"/>
    </row>
    <row r="1597" spans="1:19" ht="33.75" customHeight="1">
      <c r="A1597" s="1" t="s">
        <v>4463</v>
      </c>
      <c r="B1597" s="1" t="s">
        <v>3929</v>
      </c>
      <c r="C1597" s="1">
        <v>21</v>
      </c>
      <c r="D1597" s="4">
        <v>39902.654861111114</v>
      </c>
      <c r="E1597" s="1" t="s">
        <v>196</v>
      </c>
      <c r="F1597" s="1"/>
      <c r="G1597" s="1"/>
      <c r="H1597" s="1"/>
      <c r="I1597" s="1"/>
      <c r="J1597" s="1"/>
      <c r="K1597" s="1"/>
      <c r="L1597" s="1"/>
      <c r="M1597" s="1"/>
      <c r="N1597" s="1"/>
      <c r="O1597" s="1"/>
      <c r="P1597" s="1"/>
      <c r="Q1597" s="1"/>
      <c r="R1597" s="1"/>
      <c r="S1597" s="1"/>
    </row>
    <row r="1598" spans="1:19" ht="33.75" customHeight="1">
      <c r="A1598" s="1" t="s">
        <v>4466</v>
      </c>
      <c r="B1598" s="1" t="s">
        <v>3929</v>
      </c>
      <c r="C1598" s="1">
        <v>21</v>
      </c>
      <c r="D1598" s="4">
        <v>39902.844444444447</v>
      </c>
      <c r="E1598" s="1" t="s">
        <v>255</v>
      </c>
      <c r="F1598" s="1"/>
      <c r="G1598" s="1"/>
      <c r="H1598" s="1"/>
      <c r="I1598" s="1"/>
      <c r="J1598" s="1"/>
      <c r="K1598" s="1"/>
      <c r="L1598" s="1"/>
      <c r="M1598" s="1"/>
      <c r="N1598" s="1"/>
      <c r="O1598" s="1"/>
      <c r="P1598" s="1"/>
      <c r="Q1598" s="1"/>
      <c r="R1598" s="1"/>
      <c r="S1598" s="1"/>
    </row>
    <row r="1599" spans="1:19" ht="33.75" customHeight="1">
      <c r="A1599" s="1" t="s">
        <v>4468</v>
      </c>
      <c r="B1599" s="1" t="s">
        <v>4460</v>
      </c>
      <c r="C1599" s="1">
        <v>23</v>
      </c>
      <c r="D1599" s="4">
        <v>39902.847222222219</v>
      </c>
      <c r="E1599" s="1" t="s">
        <v>1089</v>
      </c>
      <c r="F1599" s="1"/>
      <c r="G1599" s="1"/>
      <c r="H1599" s="1"/>
      <c r="I1599" s="1"/>
      <c r="J1599" s="1"/>
      <c r="K1599" s="1"/>
      <c r="L1599" s="1"/>
      <c r="M1599" s="1"/>
      <c r="N1599" s="1"/>
      <c r="O1599" s="1"/>
      <c r="P1599" s="1"/>
      <c r="Q1599" s="1"/>
      <c r="R1599" s="1"/>
      <c r="S1599" s="1"/>
    </row>
    <row r="1600" spans="1:19" ht="33.75" customHeight="1">
      <c r="A1600" s="1" t="s">
        <v>4470</v>
      </c>
      <c r="B1600" s="1" t="s">
        <v>4460</v>
      </c>
      <c r="C1600" s="1">
        <v>23</v>
      </c>
      <c r="D1600" s="4">
        <v>39902.875</v>
      </c>
      <c r="E1600" s="1" t="s">
        <v>1089</v>
      </c>
      <c r="F1600" s="1"/>
      <c r="G1600" s="1"/>
      <c r="H1600" s="1"/>
      <c r="I1600" s="1"/>
      <c r="J1600" s="1"/>
      <c r="K1600" s="1"/>
      <c r="L1600" s="1"/>
      <c r="M1600" s="1"/>
      <c r="N1600" s="1"/>
      <c r="O1600" s="1"/>
      <c r="P1600" s="1"/>
      <c r="Q1600" s="1"/>
      <c r="R1600" s="1"/>
      <c r="S1600" s="1"/>
    </row>
    <row r="1601" spans="1:19" ht="33.75" customHeight="1">
      <c r="A1601" s="1" t="s">
        <v>4472</v>
      </c>
      <c r="B1601" s="1" t="s">
        <v>4460</v>
      </c>
      <c r="C1601" s="1">
        <v>23</v>
      </c>
      <c r="D1601" s="4">
        <v>39902.883333333331</v>
      </c>
      <c r="E1601" s="1" t="s">
        <v>772</v>
      </c>
      <c r="F1601" s="1"/>
      <c r="G1601" s="1"/>
      <c r="H1601" s="1"/>
      <c r="I1601" s="1"/>
      <c r="J1601" s="1"/>
      <c r="K1601" s="1"/>
      <c r="L1601" s="1"/>
      <c r="M1601" s="1"/>
      <c r="N1601" s="1"/>
      <c r="O1601" s="1"/>
      <c r="P1601" s="1"/>
      <c r="Q1601" s="1"/>
      <c r="R1601" s="1"/>
      <c r="S1601" s="1"/>
    </row>
    <row r="1602" spans="1:19" ht="33.75" customHeight="1">
      <c r="A1602" s="1" t="s">
        <v>12</v>
      </c>
      <c r="B1602" s="1" t="s">
        <v>4460</v>
      </c>
      <c r="C1602" s="1">
        <v>23</v>
      </c>
      <c r="D1602" s="4">
        <v>39902.89298611111</v>
      </c>
      <c r="E1602" s="1" t="s">
        <v>175</v>
      </c>
      <c r="F1602" s="1"/>
      <c r="G1602" s="1"/>
      <c r="H1602" s="1"/>
      <c r="I1602" s="1"/>
      <c r="J1602" s="1"/>
      <c r="K1602" s="1"/>
      <c r="L1602" s="1"/>
      <c r="M1602" s="1"/>
      <c r="N1602" s="1"/>
      <c r="O1602" s="1"/>
      <c r="P1602" s="1"/>
      <c r="Q1602" s="1"/>
      <c r="R1602" s="1"/>
      <c r="S1602" s="1"/>
    </row>
    <row r="1603" spans="1:19" ht="33.75" customHeight="1">
      <c r="A1603" s="1" t="s">
        <v>4477</v>
      </c>
      <c r="B1603" s="1" t="s">
        <v>4460</v>
      </c>
      <c r="C1603" s="1">
        <v>23</v>
      </c>
      <c r="D1603" s="4">
        <v>39902.932638888888</v>
      </c>
      <c r="E1603" s="1" t="s">
        <v>1887</v>
      </c>
      <c r="F1603" s="1"/>
      <c r="G1603" s="1"/>
      <c r="H1603" s="1"/>
      <c r="I1603" s="1"/>
      <c r="J1603" s="1"/>
      <c r="K1603" s="1"/>
      <c r="L1603" s="1"/>
      <c r="M1603" s="1"/>
      <c r="N1603" s="1"/>
      <c r="O1603" s="1"/>
      <c r="P1603" s="1"/>
      <c r="Q1603" s="1"/>
      <c r="R1603" s="1"/>
      <c r="S1603" s="1"/>
    </row>
    <row r="1604" spans="1:19" ht="33.75" customHeight="1">
      <c r="A1604" s="1" t="s">
        <v>4479</v>
      </c>
      <c r="B1604" s="1" t="s">
        <v>4460</v>
      </c>
      <c r="C1604" s="1">
        <v>23</v>
      </c>
      <c r="D1604" s="4">
        <v>39903.060416666667</v>
      </c>
      <c r="E1604" s="1" t="s">
        <v>1089</v>
      </c>
      <c r="F1604" s="1"/>
      <c r="G1604" s="1"/>
      <c r="H1604" s="1"/>
      <c r="I1604" s="1"/>
      <c r="J1604" s="1"/>
      <c r="K1604" s="1"/>
      <c r="L1604" s="1"/>
      <c r="M1604" s="1"/>
      <c r="N1604" s="1"/>
      <c r="O1604" s="1"/>
      <c r="P1604" s="1"/>
      <c r="Q1604" s="1"/>
      <c r="R1604" s="1"/>
      <c r="S1604" s="1"/>
    </row>
    <row r="1605" spans="1:19" ht="33.75" customHeight="1">
      <c r="A1605" s="1" t="s">
        <v>4483</v>
      </c>
      <c r="B1605" s="1" t="s">
        <v>4151</v>
      </c>
      <c r="C1605" s="1">
        <v>22</v>
      </c>
      <c r="D1605" s="4">
        <v>39903.07708333333</v>
      </c>
      <c r="E1605" s="1" t="s">
        <v>4484</v>
      </c>
      <c r="F1605" s="1"/>
      <c r="G1605" s="1"/>
      <c r="H1605" s="1"/>
      <c r="I1605" s="1"/>
      <c r="J1605" s="1"/>
      <c r="K1605" s="1"/>
      <c r="L1605" s="1"/>
      <c r="M1605" s="1"/>
      <c r="N1605" s="1"/>
      <c r="O1605" s="1"/>
      <c r="P1605" s="1"/>
      <c r="Q1605" s="1"/>
      <c r="R1605" s="1"/>
      <c r="S1605" s="1"/>
    </row>
    <row r="1606" spans="1:19" ht="33.75" customHeight="1">
      <c r="A1606" s="1" t="s">
        <v>4487</v>
      </c>
      <c r="B1606" s="1" t="s">
        <v>3929</v>
      </c>
      <c r="C1606" s="1">
        <v>21</v>
      </c>
      <c r="D1606" s="4">
        <v>39903.265277777777</v>
      </c>
      <c r="E1606" s="1" t="s">
        <v>772</v>
      </c>
      <c r="F1606" s="1"/>
      <c r="G1606" s="1"/>
      <c r="H1606" s="1"/>
      <c r="I1606" s="1"/>
      <c r="J1606" s="1"/>
      <c r="K1606" s="1"/>
      <c r="L1606" s="1"/>
      <c r="M1606" s="1"/>
      <c r="N1606" s="1"/>
      <c r="O1606" s="1"/>
      <c r="P1606" s="1"/>
      <c r="Q1606" s="1"/>
      <c r="R1606" s="1"/>
      <c r="S1606" s="1"/>
    </row>
    <row r="1607" spans="1:19" ht="33.75" customHeight="1">
      <c r="A1607" s="1" t="s">
        <v>4489</v>
      </c>
      <c r="B1607" s="1" t="s">
        <v>3929</v>
      </c>
      <c r="C1607" s="1">
        <v>21</v>
      </c>
      <c r="D1607" s="4">
        <v>39903.424305555556</v>
      </c>
      <c r="E1607" s="1" t="s">
        <v>314</v>
      </c>
      <c r="F1607" s="1"/>
      <c r="G1607" s="1"/>
      <c r="H1607" s="1"/>
      <c r="I1607" s="1"/>
      <c r="J1607" s="1"/>
      <c r="K1607" s="1"/>
      <c r="L1607" s="1"/>
      <c r="M1607" s="1"/>
      <c r="N1607" s="1"/>
      <c r="O1607" s="1"/>
      <c r="P1607" s="1"/>
      <c r="Q1607" s="1"/>
      <c r="R1607" s="1"/>
      <c r="S1607" s="1"/>
    </row>
    <row r="1608" spans="1:19" ht="33.75" customHeight="1">
      <c r="A1608" s="1" t="s">
        <v>4491</v>
      </c>
      <c r="B1608" s="1" t="s">
        <v>4460</v>
      </c>
      <c r="C1608" s="1">
        <v>23</v>
      </c>
      <c r="D1608" s="4">
        <v>39903.509027777778</v>
      </c>
      <c r="E1608" s="1" t="s">
        <v>1887</v>
      </c>
      <c r="F1608" s="1"/>
      <c r="G1608" s="1"/>
      <c r="H1608" s="1"/>
      <c r="I1608" s="1"/>
      <c r="J1608" s="1"/>
      <c r="K1608" s="1"/>
      <c r="L1608" s="1"/>
      <c r="M1608" s="1"/>
      <c r="N1608" s="1"/>
      <c r="O1608" s="1"/>
      <c r="P1608" s="1"/>
      <c r="Q1608" s="1"/>
      <c r="R1608" s="1"/>
      <c r="S1608" s="1"/>
    </row>
    <row r="1609" spans="1:19" ht="33.75" customHeight="1">
      <c r="A1609" s="1" t="s">
        <v>4493</v>
      </c>
      <c r="B1609" s="1" t="s">
        <v>4460</v>
      </c>
      <c r="C1609" s="1">
        <v>23</v>
      </c>
      <c r="D1609" s="4">
        <v>39903.515972222223</v>
      </c>
      <c r="E1609" s="1" t="s">
        <v>772</v>
      </c>
      <c r="F1609" s="1"/>
      <c r="G1609" s="1"/>
      <c r="H1609" s="1"/>
      <c r="I1609" s="1"/>
      <c r="J1609" s="1"/>
      <c r="K1609" s="1"/>
      <c r="L1609" s="1"/>
      <c r="M1609" s="1"/>
      <c r="N1609" s="1"/>
      <c r="O1609" s="1"/>
      <c r="P1609" s="1"/>
      <c r="Q1609" s="1"/>
      <c r="R1609" s="1"/>
      <c r="S1609" s="1"/>
    </row>
    <row r="1610" spans="1:19" ht="33.75" customHeight="1">
      <c r="A1610" s="1" t="s">
        <v>4496</v>
      </c>
      <c r="B1610" s="1" t="s">
        <v>4460</v>
      </c>
      <c r="C1610" s="1">
        <v>23</v>
      </c>
      <c r="D1610" s="4">
        <v>39903.523611111108</v>
      </c>
      <c r="E1610" s="1" t="s">
        <v>772</v>
      </c>
      <c r="F1610" s="1"/>
      <c r="G1610" s="1"/>
      <c r="H1610" s="1"/>
      <c r="I1610" s="1"/>
      <c r="J1610" s="1"/>
      <c r="K1610" s="1"/>
      <c r="L1610" s="1"/>
      <c r="M1610" s="1"/>
      <c r="N1610" s="1"/>
      <c r="O1610" s="1"/>
      <c r="P1610" s="1"/>
      <c r="Q1610" s="1"/>
      <c r="R1610" s="1"/>
      <c r="S1610" s="1"/>
    </row>
    <row r="1611" spans="1:19" ht="33.75" customHeight="1">
      <c r="A1611" s="1" t="s">
        <v>4498</v>
      </c>
      <c r="B1611" s="1" t="s">
        <v>4460</v>
      </c>
      <c r="C1611" s="1">
        <v>23</v>
      </c>
      <c r="D1611" s="4">
        <v>39903.54791666667</v>
      </c>
      <c r="E1611" s="1" t="s">
        <v>32</v>
      </c>
      <c r="F1611" s="1"/>
      <c r="G1611" s="1"/>
      <c r="H1611" s="1"/>
      <c r="I1611" s="1"/>
      <c r="J1611" s="1"/>
      <c r="K1611" s="1"/>
      <c r="L1611" s="1"/>
      <c r="M1611" s="1"/>
      <c r="N1611" s="1"/>
      <c r="O1611" s="1"/>
      <c r="P1611" s="1"/>
      <c r="Q1611" s="1"/>
      <c r="R1611" s="1"/>
      <c r="S1611" s="1"/>
    </row>
    <row r="1612" spans="1:19" ht="33.75" customHeight="1">
      <c r="A1612" s="1" t="s">
        <v>4501</v>
      </c>
      <c r="B1612" s="1" t="s">
        <v>3255</v>
      </c>
      <c r="C1612" s="1">
        <v>19</v>
      </c>
      <c r="D1612" s="4">
        <v>39903.57708333333</v>
      </c>
      <c r="E1612" s="1" t="s">
        <v>314</v>
      </c>
      <c r="F1612" s="1"/>
      <c r="G1612" s="1"/>
      <c r="H1612" s="1"/>
      <c r="I1612" s="1"/>
      <c r="J1612" s="1"/>
      <c r="K1612" s="1"/>
      <c r="L1612" s="1"/>
      <c r="M1612" s="1"/>
      <c r="N1612" s="1"/>
      <c r="O1612" s="1"/>
      <c r="P1612" s="1"/>
      <c r="Q1612" s="1"/>
      <c r="R1612" s="1"/>
      <c r="S1612" s="1"/>
    </row>
    <row r="1613" spans="1:19" ht="33.75" customHeight="1">
      <c r="A1613" s="1" t="s">
        <v>4503</v>
      </c>
      <c r="B1613" s="1" t="s">
        <v>4460</v>
      </c>
      <c r="C1613" s="1">
        <v>23</v>
      </c>
      <c r="D1613" s="4">
        <v>39903.618750000001</v>
      </c>
      <c r="E1613" s="1" t="s">
        <v>84</v>
      </c>
      <c r="F1613" s="1"/>
      <c r="G1613" s="1"/>
      <c r="H1613" s="1"/>
      <c r="I1613" s="1"/>
      <c r="J1613" s="1"/>
      <c r="K1613" s="1"/>
      <c r="L1613" s="1"/>
      <c r="M1613" s="1"/>
      <c r="N1613" s="1"/>
      <c r="O1613" s="1"/>
      <c r="P1613" s="1"/>
      <c r="Q1613" s="1"/>
      <c r="R1613" s="1"/>
      <c r="S1613" s="1"/>
    </row>
    <row r="1614" spans="1:19" ht="33.75" customHeight="1">
      <c r="A1614" s="1" t="s">
        <v>4505</v>
      </c>
      <c r="B1614" s="1" t="s">
        <v>3255</v>
      </c>
      <c r="C1614" s="1">
        <v>19</v>
      </c>
      <c r="D1614" s="4">
        <v>39903.67083333333</v>
      </c>
      <c r="E1614" s="1" t="s">
        <v>110</v>
      </c>
      <c r="F1614" s="1"/>
      <c r="G1614" s="1"/>
      <c r="H1614" s="1"/>
      <c r="I1614" s="1"/>
      <c r="J1614" s="1"/>
      <c r="K1614" s="1"/>
      <c r="L1614" s="1"/>
      <c r="M1614" s="1"/>
      <c r="N1614" s="1"/>
      <c r="O1614" s="1"/>
      <c r="P1614" s="1"/>
      <c r="Q1614" s="1"/>
      <c r="R1614" s="1"/>
      <c r="S1614" s="1"/>
    </row>
    <row r="1615" spans="1:19" ht="33.75" customHeight="1">
      <c r="A1615" s="1" t="s">
        <v>4509</v>
      </c>
      <c r="B1615" s="1" t="s">
        <v>4460</v>
      </c>
      <c r="C1615" s="1">
        <v>23</v>
      </c>
      <c r="D1615" s="4">
        <v>39903.681944444441</v>
      </c>
      <c r="E1615" s="1" t="s">
        <v>54</v>
      </c>
      <c r="F1615" s="1"/>
      <c r="G1615" s="1"/>
      <c r="H1615" s="1"/>
      <c r="I1615" s="1"/>
      <c r="J1615" s="1"/>
      <c r="K1615" s="1"/>
      <c r="L1615" s="1"/>
      <c r="M1615" s="1"/>
      <c r="N1615" s="1"/>
      <c r="O1615" s="1"/>
      <c r="P1615" s="1"/>
      <c r="Q1615" s="1"/>
      <c r="R1615" s="1"/>
      <c r="S1615" s="1"/>
    </row>
    <row r="1616" spans="1:19" ht="33.75" customHeight="1">
      <c r="A1616" s="1" t="s">
        <v>4513</v>
      </c>
      <c r="B1616" s="1" t="s">
        <v>4460</v>
      </c>
      <c r="C1616" s="1">
        <v>23</v>
      </c>
      <c r="D1616" s="4">
        <v>39903.713194444441</v>
      </c>
      <c r="E1616" s="1" t="s">
        <v>32</v>
      </c>
      <c r="F1616" s="1"/>
      <c r="G1616" s="1"/>
      <c r="H1616" s="1"/>
      <c r="I1616" s="1"/>
      <c r="J1616" s="1"/>
      <c r="K1616" s="1"/>
      <c r="L1616" s="1"/>
      <c r="M1616" s="1"/>
      <c r="N1616" s="1"/>
      <c r="O1616" s="1"/>
      <c r="P1616" s="1"/>
      <c r="Q1616" s="1"/>
      <c r="R1616" s="1"/>
      <c r="S1616" s="1"/>
    </row>
    <row r="1617" spans="1:19" ht="33.75" customHeight="1">
      <c r="A1617" s="1" t="s">
        <v>4515</v>
      </c>
      <c r="B1617" s="1" t="s">
        <v>4460</v>
      </c>
      <c r="C1617" s="1">
        <v>23</v>
      </c>
      <c r="D1617" s="4">
        <v>39903.866666666669</v>
      </c>
      <c r="E1617" s="1" t="s">
        <v>772</v>
      </c>
      <c r="F1617" s="1"/>
      <c r="G1617" s="1"/>
      <c r="H1617" s="1"/>
      <c r="I1617" s="1"/>
      <c r="J1617" s="1"/>
      <c r="K1617" s="1"/>
      <c r="L1617" s="1"/>
      <c r="M1617" s="1"/>
      <c r="N1617" s="1"/>
      <c r="O1617" s="1"/>
      <c r="P1617" s="1"/>
      <c r="Q1617" s="1"/>
      <c r="R1617" s="1"/>
      <c r="S1617" s="1"/>
    </row>
    <row r="1618" spans="1:19" ht="33.75" customHeight="1">
      <c r="A1618" s="1" t="s">
        <v>4517</v>
      </c>
      <c r="B1618" s="1" t="s">
        <v>4460</v>
      </c>
      <c r="C1618" s="1">
        <v>23</v>
      </c>
      <c r="D1618" s="4">
        <v>39904.011111111111</v>
      </c>
      <c r="E1618" s="1" t="s">
        <v>314</v>
      </c>
      <c r="F1618" s="1"/>
      <c r="G1618" s="1"/>
      <c r="H1618" s="1"/>
      <c r="I1618" s="1"/>
      <c r="J1618" s="1"/>
      <c r="K1618" s="1"/>
      <c r="L1618" s="1"/>
      <c r="M1618" s="1"/>
      <c r="N1618" s="1"/>
      <c r="O1618" s="1"/>
      <c r="P1618" s="1"/>
      <c r="Q1618" s="1"/>
      <c r="R1618" s="1"/>
      <c r="S1618" s="1"/>
    </row>
    <row r="1619" spans="1:19" ht="33.75" customHeight="1">
      <c r="A1619" s="1" t="s">
        <v>4520</v>
      </c>
      <c r="B1619" s="1" t="s">
        <v>4460</v>
      </c>
      <c r="C1619" s="1">
        <v>23</v>
      </c>
      <c r="D1619" s="4">
        <v>39904.374305555553</v>
      </c>
      <c r="E1619" s="1" t="s">
        <v>196</v>
      </c>
      <c r="F1619" s="1"/>
      <c r="G1619" s="1"/>
      <c r="H1619" s="1"/>
      <c r="I1619" s="1"/>
      <c r="J1619" s="1"/>
      <c r="K1619" s="1"/>
      <c r="L1619" s="1"/>
      <c r="M1619" s="1"/>
      <c r="N1619" s="1"/>
      <c r="O1619" s="1"/>
      <c r="P1619" s="1"/>
      <c r="Q1619" s="1"/>
      <c r="R1619" s="1"/>
      <c r="S1619" s="1"/>
    </row>
    <row r="1620" spans="1:19" ht="33.75" customHeight="1">
      <c r="A1620" s="1" t="s">
        <v>4522</v>
      </c>
      <c r="B1620" s="1" t="s">
        <v>4460</v>
      </c>
      <c r="C1620" s="1">
        <v>23</v>
      </c>
      <c r="D1620" s="4">
        <v>39904.384027777778</v>
      </c>
      <c r="E1620" s="1" t="s">
        <v>196</v>
      </c>
      <c r="F1620" s="1"/>
      <c r="G1620" s="1"/>
      <c r="H1620" s="1"/>
      <c r="I1620" s="1"/>
      <c r="J1620" s="1"/>
      <c r="K1620" s="1"/>
      <c r="L1620" s="1"/>
      <c r="M1620" s="1"/>
      <c r="N1620" s="1"/>
      <c r="O1620" s="1"/>
      <c r="P1620" s="1"/>
      <c r="Q1620" s="1"/>
      <c r="R1620" s="1"/>
      <c r="S1620" s="1"/>
    </row>
    <row r="1621" spans="1:19" ht="33.75" customHeight="1">
      <c r="A1621" s="1" t="s">
        <v>4524</v>
      </c>
      <c r="B1621" s="1" t="s">
        <v>4460</v>
      </c>
      <c r="C1621" s="1">
        <v>23</v>
      </c>
      <c r="D1621" s="4">
        <v>39904.411111111112</v>
      </c>
      <c r="E1621" s="1" t="s">
        <v>1089</v>
      </c>
      <c r="F1621" s="1"/>
      <c r="G1621" s="1"/>
      <c r="H1621" s="1"/>
      <c r="I1621" s="1"/>
      <c r="J1621" s="1"/>
      <c r="K1621" s="1"/>
      <c r="L1621" s="1"/>
      <c r="M1621" s="1"/>
      <c r="N1621" s="1"/>
      <c r="O1621" s="1"/>
      <c r="P1621" s="1"/>
      <c r="Q1621" s="1"/>
      <c r="R1621" s="1"/>
      <c r="S1621" s="1"/>
    </row>
    <row r="1622" spans="1:19" ht="33.75" customHeight="1">
      <c r="A1622" s="1" t="s">
        <v>4527</v>
      </c>
      <c r="B1622" s="1" t="s">
        <v>4460</v>
      </c>
      <c r="C1622" s="1">
        <v>23</v>
      </c>
      <c r="D1622" s="4">
        <v>39904.442361111112</v>
      </c>
      <c r="E1622" s="1" t="s">
        <v>255</v>
      </c>
      <c r="F1622" s="1"/>
      <c r="G1622" s="1"/>
      <c r="H1622" s="1"/>
      <c r="I1622" s="1"/>
      <c r="J1622" s="1"/>
      <c r="K1622" s="1"/>
      <c r="L1622" s="1"/>
      <c r="M1622" s="1"/>
      <c r="N1622" s="1"/>
      <c r="O1622" s="1"/>
      <c r="P1622" s="1"/>
      <c r="Q1622" s="1"/>
      <c r="R1622" s="1"/>
      <c r="S1622" s="1"/>
    </row>
    <row r="1623" spans="1:19" ht="33.75" customHeight="1">
      <c r="A1623" s="1" t="s">
        <v>4529</v>
      </c>
      <c r="B1623" s="1" t="s">
        <v>4460</v>
      </c>
      <c r="C1623" s="1">
        <v>23</v>
      </c>
      <c r="D1623" s="4">
        <v>39904.447222222225</v>
      </c>
      <c r="E1623" s="1" t="s">
        <v>54</v>
      </c>
      <c r="F1623" s="1"/>
      <c r="G1623" s="1"/>
      <c r="H1623" s="1"/>
      <c r="I1623" s="1"/>
      <c r="J1623" s="1"/>
      <c r="K1623" s="1"/>
      <c r="L1623" s="1"/>
      <c r="M1623" s="1"/>
      <c r="N1623" s="1"/>
      <c r="O1623" s="1"/>
      <c r="P1623" s="1"/>
      <c r="Q1623" s="1"/>
      <c r="R1623" s="1"/>
      <c r="S1623" s="1"/>
    </row>
    <row r="1624" spans="1:19" ht="33.75" customHeight="1">
      <c r="A1624" s="1" t="s">
        <v>4531</v>
      </c>
      <c r="B1624" s="1" t="s">
        <v>4460</v>
      </c>
      <c r="C1624" s="1">
        <v>23</v>
      </c>
      <c r="D1624" s="4">
        <v>39904.458333333336</v>
      </c>
      <c r="E1624" s="1" t="s">
        <v>32</v>
      </c>
      <c r="F1624" s="1"/>
      <c r="G1624" s="1"/>
      <c r="H1624" s="1"/>
      <c r="I1624" s="1"/>
      <c r="J1624" s="1"/>
      <c r="K1624" s="1"/>
      <c r="L1624" s="1"/>
      <c r="M1624" s="1"/>
      <c r="N1624" s="1"/>
      <c r="O1624" s="1"/>
      <c r="P1624" s="1"/>
      <c r="Q1624" s="1"/>
      <c r="R1624" s="1"/>
      <c r="S1624" s="1"/>
    </row>
    <row r="1625" spans="1:19" ht="33.75" customHeight="1">
      <c r="A1625" s="1" t="s">
        <v>4534</v>
      </c>
      <c r="B1625" s="1" t="s">
        <v>4460</v>
      </c>
      <c r="C1625" s="1">
        <v>23</v>
      </c>
      <c r="D1625" s="4">
        <v>39904.490277777775</v>
      </c>
      <c r="E1625" s="1" t="s">
        <v>196</v>
      </c>
      <c r="F1625" s="1"/>
      <c r="G1625" s="1"/>
      <c r="H1625" s="1"/>
      <c r="I1625" s="1"/>
      <c r="J1625" s="1"/>
      <c r="K1625" s="1"/>
      <c r="L1625" s="1"/>
      <c r="M1625" s="1"/>
      <c r="N1625" s="1"/>
      <c r="O1625" s="1"/>
      <c r="P1625" s="1"/>
      <c r="Q1625" s="1"/>
      <c r="R1625" s="1"/>
      <c r="S1625" s="1"/>
    </row>
    <row r="1626" spans="1:19" ht="33.75" customHeight="1">
      <c r="A1626" s="1" t="s">
        <v>4537</v>
      </c>
      <c r="B1626" s="1" t="s">
        <v>4460</v>
      </c>
      <c r="C1626" s="1">
        <v>23</v>
      </c>
      <c r="D1626" s="4">
        <v>39904.531944444447</v>
      </c>
      <c r="E1626" s="1" t="s">
        <v>84</v>
      </c>
      <c r="F1626" s="1"/>
      <c r="G1626" s="1"/>
      <c r="H1626" s="1"/>
      <c r="I1626" s="1"/>
      <c r="J1626" s="1"/>
      <c r="K1626" s="1"/>
      <c r="L1626" s="1"/>
      <c r="M1626" s="1"/>
      <c r="N1626" s="1"/>
      <c r="O1626" s="1"/>
      <c r="P1626" s="1"/>
      <c r="Q1626" s="1"/>
      <c r="R1626" s="1"/>
      <c r="S1626" s="1"/>
    </row>
    <row r="1627" spans="1:19" ht="33.75" customHeight="1">
      <c r="A1627" s="1" t="s">
        <v>4539</v>
      </c>
      <c r="B1627" s="1" t="s">
        <v>4460</v>
      </c>
      <c r="C1627" s="1">
        <v>23</v>
      </c>
      <c r="D1627" s="4">
        <v>39904.584027777775</v>
      </c>
      <c r="E1627" s="1" t="s">
        <v>32</v>
      </c>
      <c r="F1627" s="1"/>
      <c r="G1627" s="1"/>
      <c r="H1627" s="1"/>
      <c r="I1627" s="1"/>
      <c r="J1627" s="1"/>
      <c r="K1627" s="1"/>
      <c r="L1627" s="1"/>
      <c r="M1627" s="1"/>
      <c r="N1627" s="1"/>
      <c r="O1627" s="1"/>
      <c r="P1627" s="1"/>
      <c r="Q1627" s="1"/>
      <c r="R1627" s="1"/>
      <c r="S1627" s="1"/>
    </row>
    <row r="1628" spans="1:19" ht="33.75" customHeight="1">
      <c r="A1628" s="1" t="s">
        <v>4541</v>
      </c>
      <c r="B1628" s="1" t="s">
        <v>4460</v>
      </c>
      <c r="C1628" s="1">
        <v>23</v>
      </c>
      <c r="D1628" s="4">
        <v>39904.619444444441</v>
      </c>
      <c r="E1628" s="1" t="s">
        <v>84</v>
      </c>
      <c r="F1628" s="1"/>
      <c r="G1628" s="1"/>
      <c r="H1628" s="1"/>
      <c r="I1628" s="1"/>
      <c r="J1628" s="1"/>
      <c r="K1628" s="1"/>
      <c r="L1628" s="1"/>
      <c r="M1628" s="1"/>
      <c r="N1628" s="1"/>
      <c r="O1628" s="1"/>
      <c r="P1628" s="1"/>
      <c r="Q1628" s="1"/>
      <c r="R1628" s="1"/>
      <c r="S1628" s="1"/>
    </row>
    <row r="1629" spans="1:19" ht="33.75" customHeight="1">
      <c r="A1629" s="1" t="s">
        <v>4543</v>
      </c>
      <c r="B1629" s="1" t="s">
        <v>4460</v>
      </c>
      <c r="C1629" s="1">
        <v>23</v>
      </c>
      <c r="D1629" s="4">
        <v>39904.65347222222</v>
      </c>
      <c r="E1629" s="1" t="s">
        <v>32</v>
      </c>
      <c r="F1629" s="1"/>
      <c r="G1629" s="1"/>
      <c r="H1629" s="1"/>
      <c r="I1629" s="1"/>
      <c r="J1629" s="1"/>
      <c r="K1629" s="1"/>
      <c r="L1629" s="1"/>
      <c r="M1629" s="1"/>
      <c r="N1629" s="1"/>
      <c r="O1629" s="1"/>
      <c r="P1629" s="1"/>
      <c r="Q1629" s="1"/>
      <c r="R1629" s="1"/>
      <c r="S1629" s="1"/>
    </row>
    <row r="1630" spans="1:19" ht="33.75" customHeight="1">
      <c r="A1630" s="1" t="s">
        <v>4545</v>
      </c>
      <c r="B1630" s="1" t="s">
        <v>4460</v>
      </c>
      <c r="C1630" s="1">
        <v>23</v>
      </c>
      <c r="D1630" s="4">
        <v>39904.722916666666</v>
      </c>
      <c r="E1630" s="1" t="s">
        <v>32</v>
      </c>
      <c r="F1630" s="1"/>
      <c r="G1630" s="1"/>
      <c r="H1630" s="1"/>
      <c r="I1630" s="1"/>
      <c r="J1630" s="1"/>
      <c r="K1630" s="1"/>
      <c r="L1630" s="1"/>
      <c r="M1630" s="1"/>
      <c r="N1630" s="1"/>
      <c r="O1630" s="1"/>
      <c r="P1630" s="1"/>
      <c r="Q1630" s="1"/>
      <c r="R1630" s="1"/>
      <c r="S1630" s="1"/>
    </row>
    <row r="1631" spans="1:19" ht="33.75" customHeight="1">
      <c r="A1631" s="1" t="s">
        <v>4547</v>
      </c>
      <c r="B1631" s="1" t="s">
        <v>4460</v>
      </c>
      <c r="C1631" s="1">
        <v>23</v>
      </c>
      <c r="D1631" s="4">
        <v>39905.288194444445</v>
      </c>
      <c r="E1631" s="1" t="s">
        <v>84</v>
      </c>
      <c r="F1631" s="1"/>
      <c r="G1631" s="1"/>
      <c r="H1631" s="1"/>
      <c r="I1631" s="1"/>
      <c r="J1631" s="1"/>
      <c r="K1631" s="1"/>
      <c r="L1631" s="1"/>
      <c r="M1631" s="1"/>
      <c r="N1631" s="1"/>
      <c r="O1631" s="1"/>
      <c r="P1631" s="1"/>
      <c r="Q1631" s="1"/>
      <c r="R1631" s="1"/>
      <c r="S1631" s="1"/>
    </row>
    <row r="1632" spans="1:19" ht="33.75" customHeight="1">
      <c r="A1632" s="1" t="s">
        <v>4550</v>
      </c>
      <c r="B1632" s="1" t="s">
        <v>4460</v>
      </c>
      <c r="C1632" s="1">
        <v>23</v>
      </c>
      <c r="D1632" s="4">
        <v>39905.347222222219</v>
      </c>
      <c r="E1632" s="1" t="s">
        <v>84</v>
      </c>
      <c r="F1632" s="1"/>
      <c r="G1632" s="1"/>
      <c r="H1632" s="1"/>
      <c r="I1632" s="1"/>
      <c r="J1632" s="1"/>
      <c r="K1632" s="1"/>
      <c r="L1632" s="1"/>
      <c r="M1632" s="1"/>
      <c r="N1632" s="1"/>
      <c r="O1632" s="1"/>
      <c r="P1632" s="1"/>
      <c r="Q1632" s="1"/>
      <c r="R1632" s="1"/>
      <c r="S1632" s="1"/>
    </row>
    <row r="1633" spans="1:19" ht="33.75" customHeight="1">
      <c r="A1633" s="1" t="s">
        <v>4552</v>
      </c>
      <c r="B1633" s="1" t="s">
        <v>4460</v>
      </c>
      <c r="C1633" s="1">
        <v>23</v>
      </c>
      <c r="D1633" s="4">
        <v>39905.376388888886</v>
      </c>
      <c r="E1633" s="1" t="s">
        <v>314</v>
      </c>
      <c r="F1633" s="1"/>
      <c r="G1633" s="1"/>
      <c r="H1633" s="1"/>
      <c r="I1633" s="1"/>
      <c r="J1633" s="1"/>
      <c r="K1633" s="1"/>
      <c r="L1633" s="1"/>
      <c r="M1633" s="1"/>
      <c r="N1633" s="1"/>
      <c r="O1633" s="1"/>
      <c r="P1633" s="1"/>
      <c r="Q1633" s="1"/>
      <c r="R1633" s="1"/>
      <c r="S1633" s="1"/>
    </row>
    <row r="1634" spans="1:19" ht="33.75" customHeight="1">
      <c r="A1634" s="1" t="s">
        <v>4554</v>
      </c>
      <c r="B1634" s="1" t="s">
        <v>4460</v>
      </c>
      <c r="C1634" s="1">
        <v>23</v>
      </c>
      <c r="D1634" s="4">
        <v>39905.396527777775</v>
      </c>
      <c r="E1634" s="1" t="s">
        <v>84</v>
      </c>
      <c r="F1634" s="1"/>
      <c r="G1634" s="1"/>
      <c r="H1634" s="1"/>
      <c r="I1634" s="1"/>
      <c r="J1634" s="1"/>
      <c r="K1634" s="1"/>
      <c r="L1634" s="1"/>
      <c r="M1634" s="1"/>
      <c r="N1634" s="1"/>
      <c r="O1634" s="1"/>
      <c r="P1634" s="1"/>
      <c r="Q1634" s="1"/>
      <c r="R1634" s="1"/>
      <c r="S1634" s="1"/>
    </row>
    <row r="1635" spans="1:19" ht="33.75" customHeight="1">
      <c r="A1635" s="1" t="s">
        <v>4556</v>
      </c>
      <c r="B1635" s="1" t="s">
        <v>4460</v>
      </c>
      <c r="C1635" s="1">
        <v>23</v>
      </c>
      <c r="D1635" s="4">
        <v>39905.450694444444</v>
      </c>
      <c r="E1635" s="1" t="s">
        <v>314</v>
      </c>
      <c r="F1635" s="1"/>
      <c r="G1635" s="1"/>
      <c r="H1635" s="1"/>
      <c r="I1635" s="1"/>
      <c r="J1635" s="1"/>
      <c r="K1635" s="1"/>
      <c r="L1635" s="1"/>
      <c r="M1635" s="1"/>
      <c r="N1635" s="1"/>
      <c r="O1635" s="1"/>
      <c r="P1635" s="1"/>
      <c r="Q1635" s="1"/>
      <c r="R1635" s="1"/>
      <c r="S1635" s="1"/>
    </row>
    <row r="1636" spans="1:19" ht="33.75" customHeight="1">
      <c r="A1636" s="1" t="s">
        <v>4558</v>
      </c>
      <c r="B1636" s="1" t="s">
        <v>4460</v>
      </c>
      <c r="C1636" s="1">
        <v>23</v>
      </c>
      <c r="D1636" s="4">
        <v>39905.542361111111</v>
      </c>
      <c r="E1636" s="1" t="s">
        <v>84</v>
      </c>
      <c r="F1636" s="1"/>
      <c r="G1636" s="1"/>
      <c r="H1636" s="1"/>
      <c r="I1636" s="1"/>
      <c r="J1636" s="1"/>
      <c r="K1636" s="1"/>
      <c r="L1636" s="1"/>
      <c r="M1636" s="1"/>
      <c r="N1636" s="1"/>
      <c r="O1636" s="1"/>
      <c r="P1636" s="1"/>
      <c r="Q1636" s="1"/>
      <c r="R1636" s="1"/>
      <c r="S1636" s="1"/>
    </row>
    <row r="1637" spans="1:19" ht="33.75" customHeight="1">
      <c r="A1637" s="1" t="s">
        <v>4560</v>
      </c>
      <c r="B1637" s="1" t="s">
        <v>4460</v>
      </c>
      <c r="C1637" s="1">
        <v>23</v>
      </c>
      <c r="D1637" s="4">
        <v>39905.586805555555</v>
      </c>
      <c r="E1637" s="1" t="s">
        <v>772</v>
      </c>
      <c r="F1637" s="1"/>
      <c r="G1637" s="1"/>
      <c r="H1637" s="1"/>
      <c r="I1637" s="1"/>
      <c r="J1637" s="1"/>
      <c r="K1637" s="1"/>
      <c r="L1637" s="1"/>
      <c r="M1637" s="1"/>
      <c r="N1637" s="1"/>
      <c r="O1637" s="1"/>
      <c r="P1637" s="1"/>
      <c r="Q1637" s="1"/>
      <c r="R1637" s="1"/>
      <c r="S1637" s="1"/>
    </row>
    <row r="1638" spans="1:19" ht="33.75" customHeight="1">
      <c r="A1638" s="1" t="s">
        <v>4562</v>
      </c>
      <c r="B1638" s="1" t="s">
        <v>4563</v>
      </c>
      <c r="C1638" s="1">
        <v>24</v>
      </c>
      <c r="D1638" s="4">
        <v>39905.736111111109</v>
      </c>
      <c r="E1638" s="1" t="s">
        <v>760</v>
      </c>
      <c r="F1638" s="1"/>
      <c r="G1638" s="1"/>
      <c r="H1638" s="1"/>
      <c r="I1638" s="1"/>
      <c r="J1638" s="1"/>
      <c r="K1638" s="1"/>
      <c r="L1638" s="1"/>
      <c r="M1638" s="1"/>
      <c r="N1638" s="1"/>
      <c r="O1638" s="1"/>
      <c r="P1638" s="1"/>
      <c r="Q1638" s="1"/>
      <c r="R1638" s="1"/>
      <c r="S1638" s="1"/>
    </row>
    <row r="1639" spans="1:19" ht="33.75" customHeight="1">
      <c r="A1639" s="1" t="s">
        <v>4565</v>
      </c>
      <c r="B1639" s="1" t="s">
        <v>4460</v>
      </c>
      <c r="C1639" s="1">
        <v>23</v>
      </c>
      <c r="D1639" s="4">
        <v>39906.026388888888</v>
      </c>
      <c r="E1639" s="1" t="s">
        <v>1887</v>
      </c>
      <c r="F1639" s="1"/>
      <c r="G1639" s="1"/>
      <c r="H1639" s="1"/>
      <c r="I1639" s="1"/>
      <c r="J1639" s="1"/>
      <c r="K1639" s="1"/>
      <c r="L1639" s="1"/>
      <c r="M1639" s="1"/>
      <c r="N1639" s="1"/>
      <c r="O1639" s="1"/>
      <c r="P1639" s="1"/>
      <c r="Q1639" s="1"/>
      <c r="R1639" s="1"/>
      <c r="S1639" s="1"/>
    </row>
    <row r="1640" spans="1:19" ht="33.75" customHeight="1">
      <c r="A1640" s="1" t="s">
        <v>12</v>
      </c>
      <c r="B1640" s="1" t="s">
        <v>4563</v>
      </c>
      <c r="C1640" s="1">
        <v>24</v>
      </c>
      <c r="D1640" s="4">
        <v>39906.042037037034</v>
      </c>
      <c r="E1640" s="1" t="s">
        <v>175</v>
      </c>
      <c r="F1640" s="1"/>
      <c r="G1640" s="1"/>
      <c r="H1640" s="1"/>
      <c r="I1640" s="1"/>
      <c r="J1640" s="1"/>
      <c r="K1640" s="1"/>
      <c r="L1640" s="1"/>
      <c r="M1640" s="1"/>
      <c r="N1640" s="1"/>
      <c r="O1640" s="1"/>
      <c r="P1640" s="1"/>
      <c r="Q1640" s="1"/>
      <c r="R1640" s="1"/>
      <c r="S1640" s="1"/>
    </row>
    <row r="1641" spans="1:19" ht="33.75" customHeight="1">
      <c r="A1641" s="1" t="s">
        <v>4569</v>
      </c>
      <c r="B1641" s="1" t="s">
        <v>3929</v>
      </c>
      <c r="C1641" s="1">
        <v>21</v>
      </c>
      <c r="D1641" s="4">
        <v>39906.084722222222</v>
      </c>
      <c r="E1641" s="1" t="s">
        <v>54</v>
      </c>
      <c r="F1641" s="1"/>
      <c r="G1641" s="1"/>
      <c r="H1641" s="1"/>
      <c r="I1641" s="1"/>
      <c r="J1641" s="1"/>
      <c r="K1641" s="1"/>
      <c r="L1641" s="1"/>
      <c r="M1641" s="1"/>
      <c r="N1641" s="1"/>
      <c r="O1641" s="1"/>
      <c r="P1641" s="1"/>
      <c r="Q1641" s="1"/>
      <c r="R1641" s="1"/>
      <c r="S1641" s="1"/>
    </row>
    <row r="1642" spans="1:19" ht="33.75" customHeight="1">
      <c r="A1642" s="1" t="s">
        <v>4572</v>
      </c>
      <c r="B1642" s="1" t="s">
        <v>3929</v>
      </c>
      <c r="C1642" s="1">
        <v>21</v>
      </c>
      <c r="D1642" s="4">
        <v>39906.088194444441</v>
      </c>
      <c r="E1642" s="1" t="s">
        <v>54</v>
      </c>
      <c r="F1642" s="1"/>
      <c r="G1642" s="1"/>
      <c r="H1642" s="1"/>
      <c r="I1642" s="1"/>
      <c r="J1642" s="1"/>
      <c r="K1642" s="1"/>
      <c r="L1642" s="1"/>
      <c r="M1642" s="1"/>
      <c r="N1642" s="1"/>
      <c r="O1642" s="1"/>
      <c r="P1642" s="1"/>
      <c r="Q1642" s="1"/>
      <c r="R1642" s="1"/>
      <c r="S1642" s="1"/>
    </row>
    <row r="1643" spans="1:19" ht="33.75" customHeight="1">
      <c r="A1643" s="1" t="s">
        <v>4576</v>
      </c>
      <c r="B1643" s="1" t="s">
        <v>4563</v>
      </c>
      <c r="C1643" s="1">
        <v>24</v>
      </c>
      <c r="D1643" s="4">
        <v>39906.164583333331</v>
      </c>
      <c r="E1643" s="1" t="s">
        <v>474</v>
      </c>
      <c r="F1643" s="1"/>
      <c r="G1643" s="1"/>
      <c r="H1643" s="1"/>
      <c r="I1643" s="1"/>
      <c r="J1643" s="1"/>
      <c r="K1643" s="1"/>
      <c r="L1643" s="1"/>
      <c r="M1643" s="1"/>
      <c r="N1643" s="1"/>
      <c r="O1643" s="1"/>
      <c r="P1643" s="1"/>
      <c r="Q1643" s="1"/>
      <c r="R1643" s="1"/>
      <c r="S1643" s="1"/>
    </row>
    <row r="1644" spans="1:19" ht="33.75" customHeight="1">
      <c r="A1644" s="1" t="s">
        <v>4578</v>
      </c>
      <c r="B1644" s="1" t="s">
        <v>4460</v>
      </c>
      <c r="C1644" s="1">
        <v>23</v>
      </c>
      <c r="D1644" s="4">
        <v>39906.241666666669</v>
      </c>
      <c r="E1644" s="1" t="s">
        <v>84</v>
      </c>
      <c r="F1644" s="1"/>
      <c r="G1644" s="1"/>
      <c r="H1644" s="1"/>
      <c r="I1644" s="1"/>
      <c r="J1644" s="1"/>
      <c r="K1644" s="1"/>
      <c r="L1644" s="1"/>
      <c r="M1644" s="1"/>
      <c r="N1644" s="1"/>
      <c r="O1644" s="1"/>
      <c r="P1644" s="1"/>
      <c r="Q1644" s="1"/>
      <c r="R1644" s="1"/>
      <c r="S1644" s="1"/>
    </row>
    <row r="1645" spans="1:19" ht="33.75" customHeight="1">
      <c r="A1645" s="1" t="s">
        <v>4581</v>
      </c>
      <c r="B1645" s="1" t="s">
        <v>4563</v>
      </c>
      <c r="C1645" s="1">
        <v>24</v>
      </c>
      <c r="D1645" s="4">
        <v>39906.291666666664</v>
      </c>
      <c r="E1645" s="1" t="s">
        <v>54</v>
      </c>
      <c r="F1645" s="1"/>
      <c r="G1645" s="1"/>
      <c r="H1645" s="1"/>
      <c r="I1645" s="1"/>
      <c r="J1645" s="1"/>
      <c r="K1645" s="1"/>
      <c r="L1645" s="1"/>
      <c r="M1645" s="1"/>
      <c r="N1645" s="1"/>
      <c r="O1645" s="1"/>
      <c r="P1645" s="1"/>
      <c r="Q1645" s="1"/>
      <c r="R1645" s="1"/>
      <c r="S1645" s="1"/>
    </row>
    <row r="1646" spans="1:19" ht="33.75" customHeight="1">
      <c r="A1646" s="1" t="s">
        <v>4584</v>
      </c>
      <c r="B1646" s="1" t="s">
        <v>4563</v>
      </c>
      <c r="C1646" s="1">
        <v>24</v>
      </c>
      <c r="D1646" s="4">
        <v>39906.404166666667</v>
      </c>
      <c r="E1646" s="1" t="s">
        <v>2242</v>
      </c>
      <c r="F1646" s="1"/>
      <c r="G1646" s="1"/>
      <c r="H1646" s="1"/>
      <c r="I1646" s="1"/>
      <c r="J1646" s="1"/>
      <c r="K1646" s="1"/>
      <c r="L1646" s="1"/>
      <c r="M1646" s="1"/>
      <c r="N1646" s="1"/>
      <c r="O1646" s="1"/>
      <c r="P1646" s="1"/>
      <c r="Q1646" s="1"/>
      <c r="R1646" s="1"/>
      <c r="S1646" s="1"/>
    </row>
    <row r="1647" spans="1:19" ht="33.75" customHeight="1">
      <c r="A1647" s="1" t="s">
        <v>4586</v>
      </c>
      <c r="B1647" s="1" t="s">
        <v>4460</v>
      </c>
      <c r="C1647" s="1">
        <v>23</v>
      </c>
      <c r="D1647" s="4">
        <v>39906.441666666666</v>
      </c>
      <c r="E1647" s="1" t="s">
        <v>84</v>
      </c>
      <c r="F1647" s="1"/>
      <c r="G1647" s="1"/>
      <c r="H1647" s="1"/>
      <c r="I1647" s="1"/>
      <c r="J1647" s="1"/>
      <c r="K1647" s="1"/>
      <c r="L1647" s="1"/>
      <c r="M1647" s="1"/>
      <c r="N1647" s="1"/>
      <c r="O1647" s="1"/>
      <c r="P1647" s="1"/>
      <c r="Q1647" s="1"/>
      <c r="R1647" s="1"/>
      <c r="S1647" s="1"/>
    </row>
    <row r="1648" spans="1:19" ht="33.75" customHeight="1">
      <c r="A1648" s="1" t="s">
        <v>4588</v>
      </c>
      <c r="B1648" s="1" t="s">
        <v>4563</v>
      </c>
      <c r="C1648" s="1">
        <v>24</v>
      </c>
      <c r="D1648" s="4">
        <v>39906.482638888891</v>
      </c>
      <c r="E1648" s="1" t="s">
        <v>4589</v>
      </c>
      <c r="F1648" s="1"/>
      <c r="G1648" s="1"/>
      <c r="H1648" s="1"/>
      <c r="I1648" s="1"/>
      <c r="J1648" s="1"/>
      <c r="K1648" s="1"/>
      <c r="L1648" s="1"/>
      <c r="M1648" s="1"/>
      <c r="N1648" s="1"/>
      <c r="O1648" s="1"/>
      <c r="P1648" s="1"/>
      <c r="Q1648" s="1"/>
      <c r="R1648" s="1"/>
      <c r="S1648" s="1"/>
    </row>
    <row r="1649" spans="1:19" ht="33.75" customHeight="1">
      <c r="A1649" s="1" t="s">
        <v>4592</v>
      </c>
      <c r="B1649" s="1" t="s">
        <v>4563</v>
      </c>
      <c r="C1649" s="1">
        <v>24</v>
      </c>
      <c r="D1649" s="4">
        <v>39906.556944444441</v>
      </c>
      <c r="E1649" s="1" t="s">
        <v>4176</v>
      </c>
      <c r="F1649" s="1"/>
      <c r="G1649" s="1"/>
      <c r="H1649" s="1"/>
      <c r="I1649" s="1"/>
      <c r="J1649" s="1"/>
      <c r="K1649" s="1"/>
      <c r="L1649" s="1"/>
      <c r="M1649" s="1"/>
      <c r="N1649" s="1"/>
      <c r="O1649" s="1"/>
      <c r="P1649" s="1"/>
      <c r="Q1649" s="1"/>
      <c r="R1649" s="1"/>
      <c r="S1649" s="1"/>
    </row>
    <row r="1650" spans="1:19" ht="33.75" customHeight="1">
      <c r="A1650" s="1" t="s">
        <v>4594</v>
      </c>
      <c r="B1650" s="1" t="s">
        <v>4460</v>
      </c>
      <c r="C1650" s="1">
        <v>23</v>
      </c>
      <c r="D1650" s="4">
        <v>39906.813194444447</v>
      </c>
      <c r="E1650" s="1" t="s">
        <v>2893</v>
      </c>
      <c r="F1650" s="1"/>
      <c r="G1650" s="1"/>
      <c r="H1650" s="1"/>
      <c r="I1650" s="1"/>
      <c r="J1650" s="1"/>
      <c r="K1650" s="1"/>
      <c r="L1650" s="1"/>
      <c r="M1650" s="1"/>
      <c r="N1650" s="1"/>
      <c r="O1650" s="1"/>
      <c r="P1650" s="1"/>
      <c r="Q1650" s="1"/>
      <c r="R1650" s="1"/>
      <c r="S1650" s="1"/>
    </row>
    <row r="1651" spans="1:19" ht="33.75" customHeight="1">
      <c r="A1651" s="1" t="s">
        <v>4597</v>
      </c>
      <c r="B1651" s="1" t="s">
        <v>4460</v>
      </c>
      <c r="C1651" s="1">
        <v>23</v>
      </c>
      <c r="D1651" s="4">
        <v>39906.826388888891</v>
      </c>
      <c r="E1651" s="1" t="s">
        <v>772</v>
      </c>
      <c r="F1651" s="1"/>
      <c r="G1651" s="1"/>
      <c r="H1651" s="1"/>
      <c r="I1651" s="1"/>
      <c r="J1651" s="1"/>
      <c r="K1651" s="1"/>
      <c r="L1651" s="1"/>
      <c r="M1651" s="1"/>
      <c r="N1651" s="1"/>
      <c r="O1651" s="1"/>
      <c r="P1651" s="1"/>
      <c r="Q1651" s="1"/>
      <c r="R1651" s="1"/>
      <c r="S1651" s="1"/>
    </row>
    <row r="1652" spans="1:19" ht="33.75" customHeight="1">
      <c r="A1652" s="1" t="s">
        <v>4599</v>
      </c>
      <c r="B1652" s="1" t="s">
        <v>4460</v>
      </c>
      <c r="C1652" s="1">
        <v>23</v>
      </c>
      <c r="D1652" s="4">
        <v>39907.335416666669</v>
      </c>
      <c r="E1652" s="1" t="s">
        <v>4600</v>
      </c>
      <c r="F1652" s="1"/>
      <c r="G1652" s="1"/>
      <c r="H1652" s="1"/>
      <c r="I1652" s="1"/>
      <c r="J1652" s="1"/>
      <c r="K1652" s="1"/>
      <c r="L1652" s="1"/>
      <c r="M1652" s="1"/>
      <c r="N1652" s="1"/>
      <c r="O1652" s="1"/>
      <c r="P1652" s="1"/>
      <c r="Q1652" s="1"/>
      <c r="R1652" s="1"/>
      <c r="S1652" s="1"/>
    </row>
    <row r="1653" spans="1:19" ht="33.75" customHeight="1">
      <c r="A1653" s="1" t="s">
        <v>4602</v>
      </c>
      <c r="B1653" s="1" t="s">
        <v>4460</v>
      </c>
      <c r="C1653" s="1">
        <v>23</v>
      </c>
      <c r="D1653" s="4">
        <v>39907.369444444441</v>
      </c>
      <c r="E1653" s="1" t="s">
        <v>2893</v>
      </c>
      <c r="F1653" s="1"/>
      <c r="G1653" s="1"/>
      <c r="H1653" s="1"/>
      <c r="I1653" s="1"/>
      <c r="J1653" s="1"/>
      <c r="K1653" s="1"/>
      <c r="L1653" s="1"/>
      <c r="M1653" s="1"/>
      <c r="N1653" s="1"/>
      <c r="O1653" s="1"/>
      <c r="P1653" s="1"/>
      <c r="Q1653" s="1"/>
      <c r="R1653" s="1"/>
      <c r="S1653" s="1"/>
    </row>
    <row r="1654" spans="1:19" ht="33.75" customHeight="1">
      <c r="A1654" s="1" t="s">
        <v>4604</v>
      </c>
      <c r="B1654" s="1" t="s">
        <v>4460</v>
      </c>
      <c r="C1654" s="1">
        <v>23</v>
      </c>
      <c r="D1654" s="4">
        <v>39907.386805555558</v>
      </c>
      <c r="E1654" s="1" t="s">
        <v>84</v>
      </c>
      <c r="F1654" s="1"/>
      <c r="G1654" s="1"/>
      <c r="H1654" s="1"/>
      <c r="I1654" s="1"/>
      <c r="J1654" s="1"/>
      <c r="K1654" s="1"/>
      <c r="L1654" s="1"/>
      <c r="M1654" s="1"/>
      <c r="N1654" s="1"/>
      <c r="O1654" s="1"/>
      <c r="P1654" s="1"/>
      <c r="Q1654" s="1"/>
      <c r="R1654" s="1"/>
      <c r="S1654" s="1"/>
    </row>
    <row r="1655" spans="1:19" ht="33.75" customHeight="1">
      <c r="A1655" s="1" t="s">
        <v>4606</v>
      </c>
      <c r="B1655" s="1" t="s">
        <v>4460</v>
      </c>
      <c r="C1655" s="1">
        <v>23</v>
      </c>
      <c r="D1655" s="4">
        <v>39907.390972222223</v>
      </c>
      <c r="E1655" s="1" t="s">
        <v>84</v>
      </c>
      <c r="F1655" s="1"/>
      <c r="G1655" s="1"/>
      <c r="H1655" s="1"/>
      <c r="I1655" s="1"/>
      <c r="J1655" s="1"/>
      <c r="K1655" s="1"/>
      <c r="L1655" s="1"/>
      <c r="M1655" s="1"/>
      <c r="N1655" s="1"/>
      <c r="O1655" s="1"/>
      <c r="P1655" s="1"/>
      <c r="Q1655" s="1"/>
      <c r="R1655" s="1"/>
      <c r="S1655" s="1"/>
    </row>
    <row r="1656" spans="1:19" ht="33.75" customHeight="1">
      <c r="A1656" s="1" t="s">
        <v>4608</v>
      </c>
      <c r="B1656" s="1" t="s">
        <v>4460</v>
      </c>
      <c r="C1656" s="1">
        <v>23</v>
      </c>
      <c r="D1656" s="4">
        <v>39907.536111111112</v>
      </c>
      <c r="E1656" s="1" t="s">
        <v>772</v>
      </c>
      <c r="F1656" s="1"/>
      <c r="G1656" s="1"/>
      <c r="H1656" s="1"/>
      <c r="I1656" s="1"/>
      <c r="J1656" s="1"/>
      <c r="K1656" s="1"/>
      <c r="L1656" s="1"/>
      <c r="M1656" s="1"/>
      <c r="N1656" s="1"/>
      <c r="O1656" s="1"/>
      <c r="P1656" s="1"/>
      <c r="Q1656" s="1"/>
      <c r="R1656" s="1"/>
      <c r="S1656" s="1"/>
    </row>
    <row r="1657" spans="1:19" ht="33.75" customHeight="1">
      <c r="A1657" s="1" t="s">
        <v>4610</v>
      </c>
      <c r="B1657" s="1" t="s">
        <v>3929</v>
      </c>
      <c r="C1657" s="1">
        <v>21</v>
      </c>
      <c r="D1657" s="4">
        <v>39907.728472222225</v>
      </c>
      <c r="E1657" s="1" t="s">
        <v>14</v>
      </c>
      <c r="F1657" s="1"/>
      <c r="G1657" s="1"/>
      <c r="H1657" s="1"/>
      <c r="I1657" s="1"/>
      <c r="J1657" s="1"/>
      <c r="K1657" s="1"/>
      <c r="L1657" s="1"/>
      <c r="M1657" s="1"/>
      <c r="N1657" s="1"/>
      <c r="O1657" s="1"/>
      <c r="P1657" s="1"/>
      <c r="Q1657" s="1"/>
      <c r="R1657" s="1"/>
      <c r="S1657" s="1"/>
    </row>
    <row r="1658" spans="1:19" ht="33.75" customHeight="1">
      <c r="A1658" s="1" t="s">
        <v>4613</v>
      </c>
      <c r="B1658" s="1" t="s">
        <v>4460</v>
      </c>
      <c r="C1658" s="1">
        <v>23</v>
      </c>
      <c r="D1658" s="4">
        <v>39907.919444444444</v>
      </c>
      <c r="E1658" s="1" t="s">
        <v>4600</v>
      </c>
      <c r="F1658" s="1"/>
      <c r="G1658" s="1"/>
      <c r="H1658" s="1"/>
      <c r="I1658" s="1"/>
      <c r="J1658" s="1"/>
      <c r="K1658" s="1"/>
      <c r="L1658" s="1"/>
      <c r="M1658" s="1"/>
      <c r="N1658" s="1"/>
      <c r="O1658" s="1"/>
      <c r="P1658" s="1"/>
      <c r="Q1658" s="1"/>
      <c r="R1658" s="1"/>
      <c r="S1658" s="1"/>
    </row>
    <row r="1659" spans="1:19" ht="33.75" customHeight="1">
      <c r="A1659" s="1" t="s">
        <v>4615</v>
      </c>
      <c r="B1659" s="1" t="s">
        <v>4460</v>
      </c>
      <c r="C1659" s="1">
        <v>23</v>
      </c>
      <c r="D1659" s="4">
        <v>39907.977777777778</v>
      </c>
      <c r="E1659" s="1" t="s">
        <v>314</v>
      </c>
      <c r="F1659" s="1"/>
      <c r="G1659" s="1"/>
      <c r="H1659" s="1"/>
      <c r="I1659" s="1"/>
      <c r="J1659" s="1"/>
      <c r="K1659" s="1"/>
      <c r="L1659" s="1"/>
      <c r="M1659" s="1"/>
      <c r="N1659" s="1"/>
      <c r="O1659" s="1"/>
      <c r="P1659" s="1"/>
      <c r="Q1659" s="1"/>
      <c r="R1659" s="1"/>
      <c r="S1659" s="1"/>
    </row>
    <row r="1660" spans="1:19" ht="33.75" customHeight="1">
      <c r="A1660" s="1" t="s">
        <v>4617</v>
      </c>
      <c r="B1660" s="1" t="s">
        <v>4563</v>
      </c>
      <c r="C1660" s="1">
        <v>24</v>
      </c>
      <c r="D1660" s="4">
        <v>39908.238194444442</v>
      </c>
      <c r="E1660" s="1" t="s">
        <v>3610</v>
      </c>
      <c r="F1660" s="1"/>
      <c r="G1660" s="1"/>
      <c r="H1660" s="1"/>
      <c r="I1660" s="1"/>
      <c r="J1660" s="1"/>
      <c r="K1660" s="1"/>
      <c r="L1660" s="1"/>
      <c r="M1660" s="1"/>
      <c r="N1660" s="1"/>
      <c r="O1660" s="1"/>
      <c r="P1660" s="1"/>
      <c r="Q1660" s="1"/>
      <c r="R1660" s="1"/>
      <c r="S1660" s="1"/>
    </row>
    <row r="1661" spans="1:19" ht="33.75" customHeight="1">
      <c r="A1661" s="1" t="s">
        <v>4619</v>
      </c>
      <c r="B1661" s="1" t="s">
        <v>3929</v>
      </c>
      <c r="C1661" s="1">
        <v>21</v>
      </c>
      <c r="D1661" s="4">
        <v>39908.288194444445</v>
      </c>
      <c r="E1661" s="1" t="s">
        <v>196</v>
      </c>
      <c r="F1661" s="1"/>
      <c r="G1661" s="1"/>
      <c r="H1661" s="1"/>
      <c r="I1661" s="1"/>
      <c r="J1661" s="1"/>
      <c r="K1661" s="1"/>
      <c r="L1661" s="1"/>
      <c r="M1661" s="1"/>
      <c r="N1661" s="1"/>
      <c r="O1661" s="1"/>
      <c r="P1661" s="1"/>
      <c r="Q1661" s="1"/>
      <c r="R1661" s="1"/>
      <c r="S1661" s="1"/>
    </row>
    <row r="1662" spans="1:19" ht="33.75" customHeight="1">
      <c r="A1662" s="1" t="s">
        <v>4622</v>
      </c>
      <c r="B1662" s="1" t="s">
        <v>4563</v>
      </c>
      <c r="C1662" s="1">
        <v>24</v>
      </c>
      <c r="D1662" s="4">
        <v>39908.336805555555</v>
      </c>
      <c r="E1662" s="1" t="s">
        <v>54</v>
      </c>
      <c r="F1662" s="1"/>
      <c r="G1662" s="1"/>
      <c r="H1662" s="1"/>
      <c r="I1662" s="1"/>
      <c r="J1662" s="1"/>
      <c r="K1662" s="1"/>
      <c r="L1662" s="1"/>
      <c r="M1662" s="1"/>
      <c r="N1662" s="1"/>
      <c r="O1662" s="1"/>
      <c r="P1662" s="1"/>
      <c r="Q1662" s="1"/>
      <c r="R1662" s="1"/>
      <c r="S1662" s="1"/>
    </row>
    <row r="1663" spans="1:19" ht="33.75" customHeight="1">
      <c r="A1663" s="1" t="s">
        <v>4624</v>
      </c>
      <c r="B1663" s="1" t="s">
        <v>4460</v>
      </c>
      <c r="C1663" s="1">
        <v>23</v>
      </c>
      <c r="D1663" s="4">
        <v>39908.510416666664</v>
      </c>
      <c r="E1663" s="1" t="s">
        <v>772</v>
      </c>
      <c r="F1663" s="1"/>
      <c r="G1663" s="1"/>
      <c r="H1663" s="1"/>
      <c r="I1663" s="1"/>
      <c r="J1663" s="1"/>
      <c r="K1663" s="1"/>
      <c r="L1663" s="1"/>
      <c r="M1663" s="1"/>
      <c r="N1663" s="1"/>
      <c r="O1663" s="1"/>
      <c r="P1663" s="1"/>
      <c r="Q1663" s="1"/>
      <c r="R1663" s="1"/>
      <c r="S1663" s="1"/>
    </row>
    <row r="1664" spans="1:19" ht="33.75" customHeight="1">
      <c r="A1664" s="1" t="s">
        <v>4626</v>
      </c>
      <c r="B1664" s="1" t="s">
        <v>4460</v>
      </c>
      <c r="C1664" s="1">
        <v>23</v>
      </c>
      <c r="D1664" s="4">
        <v>39908.581250000003</v>
      </c>
      <c r="E1664" s="1" t="s">
        <v>32</v>
      </c>
      <c r="F1664" s="1"/>
      <c r="G1664" s="1"/>
      <c r="H1664" s="1"/>
      <c r="I1664" s="1"/>
      <c r="J1664" s="1"/>
      <c r="K1664" s="1"/>
      <c r="L1664" s="1"/>
      <c r="M1664" s="1"/>
      <c r="N1664" s="1"/>
      <c r="O1664" s="1"/>
      <c r="P1664" s="1"/>
      <c r="Q1664" s="1"/>
      <c r="R1664" s="1"/>
      <c r="S1664" s="1"/>
    </row>
    <row r="1665" spans="1:19" ht="33.75" customHeight="1">
      <c r="A1665" s="1" t="s">
        <v>4629</v>
      </c>
      <c r="B1665" s="1" t="s">
        <v>4460</v>
      </c>
      <c r="C1665" s="1">
        <v>23</v>
      </c>
      <c r="D1665" s="4">
        <v>39908.688888888886</v>
      </c>
      <c r="E1665" s="1" t="s">
        <v>32</v>
      </c>
      <c r="F1665" s="1"/>
      <c r="G1665" s="1"/>
      <c r="H1665" s="1"/>
      <c r="I1665" s="1"/>
      <c r="J1665" s="1"/>
      <c r="K1665" s="1"/>
      <c r="L1665" s="1"/>
      <c r="M1665" s="1"/>
      <c r="N1665" s="1"/>
      <c r="O1665" s="1"/>
      <c r="P1665" s="1"/>
      <c r="Q1665" s="1"/>
      <c r="R1665" s="1"/>
      <c r="S1665" s="1"/>
    </row>
    <row r="1666" spans="1:19" ht="33.75" customHeight="1">
      <c r="A1666" s="1" t="s">
        <v>4631</v>
      </c>
      <c r="B1666" s="1" t="s">
        <v>4460</v>
      </c>
      <c r="C1666" s="1">
        <v>23</v>
      </c>
      <c r="D1666" s="4">
        <v>39908.701388888891</v>
      </c>
      <c r="E1666" s="1" t="s">
        <v>32</v>
      </c>
      <c r="F1666" s="1"/>
      <c r="G1666" s="1"/>
      <c r="H1666" s="1"/>
      <c r="I1666" s="1"/>
      <c r="J1666" s="1"/>
      <c r="K1666" s="1"/>
      <c r="L1666" s="1"/>
      <c r="M1666" s="1"/>
      <c r="N1666" s="1"/>
      <c r="O1666" s="1"/>
      <c r="P1666" s="1"/>
      <c r="Q1666" s="1"/>
      <c r="R1666" s="1"/>
      <c r="S1666" s="1"/>
    </row>
    <row r="1667" spans="1:19" ht="33.75" customHeight="1">
      <c r="A1667" s="1" t="s">
        <v>4634</v>
      </c>
      <c r="B1667" s="1" t="s">
        <v>3929</v>
      </c>
      <c r="C1667" s="1">
        <v>21</v>
      </c>
      <c r="D1667" s="4">
        <v>39908.708333333336</v>
      </c>
      <c r="E1667" s="1" t="s">
        <v>196</v>
      </c>
      <c r="F1667" s="1"/>
      <c r="G1667" s="1"/>
      <c r="H1667" s="1"/>
      <c r="I1667" s="1"/>
      <c r="J1667" s="1"/>
      <c r="K1667" s="1"/>
      <c r="L1667" s="1"/>
      <c r="M1667" s="1"/>
      <c r="N1667" s="1"/>
      <c r="O1667" s="1"/>
      <c r="P1667" s="1"/>
      <c r="Q1667" s="1"/>
      <c r="R1667" s="1"/>
      <c r="S1667" s="1"/>
    </row>
    <row r="1668" spans="1:19" ht="33.75" customHeight="1">
      <c r="A1668" s="1" t="s">
        <v>4636</v>
      </c>
      <c r="B1668" s="1" t="s">
        <v>3929</v>
      </c>
      <c r="C1668" s="1">
        <v>21</v>
      </c>
      <c r="D1668" s="4">
        <v>39908.747916666667</v>
      </c>
      <c r="E1668" s="1" t="s">
        <v>14</v>
      </c>
      <c r="F1668" s="1"/>
      <c r="G1668" s="1"/>
      <c r="H1668" s="1"/>
      <c r="I1668" s="1"/>
      <c r="J1668" s="1"/>
      <c r="K1668" s="1"/>
      <c r="L1668" s="1"/>
      <c r="M1668" s="1"/>
      <c r="N1668" s="1"/>
      <c r="O1668" s="1"/>
      <c r="P1668" s="1"/>
      <c r="Q1668" s="1"/>
      <c r="R1668" s="1"/>
      <c r="S1668" s="1"/>
    </row>
    <row r="1669" spans="1:19" ht="33.75" customHeight="1">
      <c r="A1669" s="1" t="s">
        <v>4639</v>
      </c>
      <c r="B1669" s="1" t="s">
        <v>3929</v>
      </c>
      <c r="C1669" s="1">
        <v>21</v>
      </c>
      <c r="D1669" s="4">
        <v>39908.751388888886</v>
      </c>
      <c r="E1669" s="1" t="s">
        <v>14</v>
      </c>
      <c r="F1669" s="1"/>
      <c r="G1669" s="1"/>
      <c r="H1669" s="1"/>
      <c r="I1669" s="1"/>
      <c r="J1669" s="1"/>
      <c r="K1669" s="1"/>
      <c r="L1669" s="1"/>
      <c r="M1669" s="1"/>
      <c r="N1669" s="1"/>
      <c r="O1669" s="1"/>
      <c r="P1669" s="1"/>
      <c r="Q1669" s="1"/>
      <c r="R1669" s="1"/>
      <c r="S1669" s="1"/>
    </row>
    <row r="1670" spans="1:19" ht="33.75" customHeight="1">
      <c r="A1670" s="1" t="s">
        <v>4642</v>
      </c>
      <c r="B1670" s="1" t="s">
        <v>3929</v>
      </c>
      <c r="C1670" s="1">
        <v>21</v>
      </c>
      <c r="D1670" s="4">
        <v>39908.769444444442</v>
      </c>
      <c r="E1670" s="1" t="s">
        <v>196</v>
      </c>
      <c r="F1670" s="1"/>
      <c r="G1670" s="1"/>
      <c r="H1670" s="1"/>
      <c r="I1670" s="1"/>
      <c r="J1670" s="1"/>
      <c r="K1670" s="1"/>
      <c r="L1670" s="1"/>
      <c r="M1670" s="1"/>
      <c r="N1670" s="1"/>
      <c r="O1670" s="1"/>
      <c r="P1670" s="1"/>
      <c r="Q1670" s="1"/>
      <c r="R1670" s="1"/>
      <c r="S1670" s="1"/>
    </row>
    <row r="1671" spans="1:19" ht="33.75" customHeight="1">
      <c r="A1671" s="1" t="s">
        <v>4644</v>
      </c>
      <c r="B1671" s="1" t="s">
        <v>3929</v>
      </c>
      <c r="C1671" s="1">
        <v>21</v>
      </c>
      <c r="D1671" s="4">
        <v>39908.779166666667</v>
      </c>
      <c r="E1671" s="1" t="s">
        <v>196</v>
      </c>
      <c r="F1671" s="1"/>
      <c r="G1671" s="1"/>
      <c r="H1671" s="1"/>
      <c r="I1671" s="1"/>
      <c r="J1671" s="1"/>
      <c r="K1671" s="1"/>
      <c r="L1671" s="1"/>
      <c r="M1671" s="1"/>
      <c r="N1671" s="1"/>
      <c r="O1671" s="1"/>
      <c r="P1671" s="1"/>
      <c r="Q1671" s="1"/>
      <c r="R1671" s="1"/>
      <c r="S1671" s="1"/>
    </row>
    <row r="1672" spans="1:19" ht="33.75" customHeight="1">
      <c r="A1672" s="1" t="s">
        <v>4646</v>
      </c>
      <c r="B1672" s="1" t="s">
        <v>3929</v>
      </c>
      <c r="C1672" s="1">
        <v>21</v>
      </c>
      <c r="D1672" s="4">
        <v>39908.783333333333</v>
      </c>
      <c r="E1672" s="1" t="s">
        <v>14</v>
      </c>
      <c r="F1672" s="1"/>
      <c r="G1672" s="1"/>
      <c r="H1672" s="1"/>
      <c r="I1672" s="1"/>
      <c r="J1672" s="1"/>
      <c r="K1672" s="1"/>
      <c r="L1672" s="1"/>
      <c r="M1672" s="1"/>
      <c r="N1672" s="1"/>
      <c r="O1672" s="1"/>
      <c r="P1672" s="1"/>
      <c r="Q1672" s="1"/>
      <c r="R1672" s="1"/>
      <c r="S1672" s="1"/>
    </row>
    <row r="1673" spans="1:19" ht="33.75" customHeight="1">
      <c r="A1673" s="1" t="s">
        <v>4650</v>
      </c>
      <c r="B1673" s="1" t="s">
        <v>3929</v>
      </c>
      <c r="C1673" s="1">
        <v>21</v>
      </c>
      <c r="D1673" s="4">
        <v>39908.794444444444</v>
      </c>
      <c r="E1673" s="1" t="s">
        <v>196</v>
      </c>
      <c r="F1673" s="1"/>
      <c r="G1673" s="1"/>
      <c r="H1673" s="1"/>
      <c r="I1673" s="1"/>
      <c r="J1673" s="1"/>
      <c r="K1673" s="1"/>
      <c r="L1673" s="1"/>
      <c r="M1673" s="1"/>
      <c r="N1673" s="1"/>
      <c r="O1673" s="1"/>
      <c r="P1673" s="1"/>
      <c r="Q1673" s="1"/>
      <c r="R1673" s="1"/>
      <c r="S1673" s="1"/>
    </row>
    <row r="1674" spans="1:19" ht="33.75" customHeight="1">
      <c r="A1674" s="1" t="s">
        <v>4652</v>
      </c>
      <c r="B1674" s="1" t="s">
        <v>3929</v>
      </c>
      <c r="C1674" s="1">
        <v>21</v>
      </c>
      <c r="D1674" s="4">
        <v>39908.815972222219</v>
      </c>
      <c r="E1674" s="1" t="s">
        <v>196</v>
      </c>
      <c r="F1674" s="1"/>
      <c r="G1674" s="1"/>
      <c r="H1674" s="1"/>
      <c r="I1674" s="1"/>
      <c r="J1674" s="1"/>
      <c r="K1674" s="1"/>
      <c r="L1674" s="1"/>
      <c r="M1674" s="1"/>
      <c r="N1674" s="1"/>
      <c r="O1674" s="1"/>
      <c r="P1674" s="1"/>
      <c r="Q1674" s="1"/>
      <c r="R1674" s="1"/>
      <c r="S1674" s="1"/>
    </row>
    <row r="1675" spans="1:19" ht="33.75" customHeight="1">
      <c r="A1675" s="1" t="s">
        <v>4654</v>
      </c>
      <c r="B1675" s="1" t="s">
        <v>4460</v>
      </c>
      <c r="C1675" s="1">
        <v>23</v>
      </c>
      <c r="D1675" s="4">
        <v>39909.078472222223</v>
      </c>
      <c r="E1675" s="1" t="s">
        <v>1887</v>
      </c>
      <c r="F1675" s="1"/>
      <c r="G1675" s="1"/>
      <c r="H1675" s="1"/>
      <c r="I1675" s="1"/>
      <c r="J1675" s="1"/>
      <c r="K1675" s="1"/>
      <c r="L1675" s="1"/>
      <c r="M1675" s="1"/>
      <c r="N1675" s="1"/>
      <c r="O1675" s="1"/>
      <c r="P1675" s="1"/>
      <c r="Q1675" s="1"/>
      <c r="R1675" s="1"/>
      <c r="S1675" s="1"/>
    </row>
    <row r="1676" spans="1:19" ht="33.75" customHeight="1">
      <c r="A1676" s="1" t="s">
        <v>4656</v>
      </c>
      <c r="B1676" s="1" t="s">
        <v>4151</v>
      </c>
      <c r="C1676" s="1">
        <v>22</v>
      </c>
      <c r="D1676" s="4">
        <v>39909.289583333331</v>
      </c>
      <c r="E1676" s="1" t="s">
        <v>4657</v>
      </c>
      <c r="F1676" s="1"/>
      <c r="G1676" s="1"/>
      <c r="H1676" s="1"/>
      <c r="I1676" s="1"/>
      <c r="J1676" s="1"/>
      <c r="K1676" s="1"/>
      <c r="L1676" s="1"/>
      <c r="M1676" s="1"/>
      <c r="N1676" s="1"/>
      <c r="O1676" s="1"/>
      <c r="P1676" s="1"/>
      <c r="Q1676" s="1"/>
      <c r="R1676" s="1"/>
      <c r="S1676" s="1"/>
    </row>
    <row r="1677" spans="1:19" ht="33.75" customHeight="1">
      <c r="A1677" s="1" t="s">
        <v>4660</v>
      </c>
      <c r="B1677" s="1" t="s">
        <v>4460</v>
      </c>
      <c r="C1677" s="1">
        <v>23</v>
      </c>
      <c r="D1677" s="4">
        <v>39909.326388888891</v>
      </c>
      <c r="E1677" s="1" t="s">
        <v>84</v>
      </c>
      <c r="F1677" s="1"/>
      <c r="G1677" s="1"/>
      <c r="H1677" s="1"/>
      <c r="I1677" s="1"/>
      <c r="J1677" s="1"/>
      <c r="K1677" s="1"/>
      <c r="L1677" s="1"/>
      <c r="M1677" s="1"/>
      <c r="N1677" s="1"/>
      <c r="O1677" s="1"/>
      <c r="P1677" s="1"/>
      <c r="Q1677" s="1"/>
      <c r="R1677" s="1"/>
      <c r="S1677" s="1"/>
    </row>
    <row r="1678" spans="1:19" ht="33.75" customHeight="1">
      <c r="A1678" s="1" t="s">
        <v>4664</v>
      </c>
      <c r="B1678" s="1" t="s">
        <v>4460</v>
      </c>
      <c r="C1678" s="1">
        <v>23</v>
      </c>
      <c r="D1678" s="4">
        <v>39909.463194444441</v>
      </c>
      <c r="E1678" s="1" t="s">
        <v>4665</v>
      </c>
      <c r="F1678" s="1"/>
      <c r="G1678" s="1"/>
      <c r="H1678" s="1"/>
      <c r="I1678" s="1"/>
      <c r="J1678" s="1"/>
      <c r="K1678" s="1"/>
      <c r="L1678" s="1"/>
      <c r="M1678" s="1"/>
      <c r="N1678" s="1"/>
      <c r="O1678" s="1"/>
      <c r="P1678" s="1"/>
      <c r="Q1678" s="1"/>
      <c r="R1678" s="1"/>
      <c r="S1678" s="1"/>
    </row>
    <row r="1679" spans="1:19" ht="33.75" customHeight="1">
      <c r="A1679" s="1" t="s">
        <v>4668</v>
      </c>
      <c r="B1679" s="1" t="s">
        <v>4460</v>
      </c>
      <c r="C1679" s="1">
        <v>23</v>
      </c>
      <c r="D1679" s="4">
        <v>39909.477083333331</v>
      </c>
      <c r="E1679" s="1" t="s">
        <v>32</v>
      </c>
      <c r="F1679" s="1"/>
      <c r="G1679" s="1"/>
      <c r="H1679" s="1"/>
      <c r="I1679" s="1"/>
      <c r="J1679" s="1"/>
      <c r="K1679" s="1"/>
      <c r="L1679" s="1"/>
      <c r="M1679" s="1"/>
      <c r="N1679" s="1"/>
      <c r="O1679" s="1"/>
      <c r="P1679" s="1"/>
      <c r="Q1679" s="1"/>
      <c r="R1679" s="1"/>
      <c r="S1679" s="1"/>
    </row>
    <row r="1680" spans="1:19" ht="33.75" customHeight="1">
      <c r="A1680" s="1" t="s">
        <v>4670</v>
      </c>
      <c r="B1680" s="1" t="s">
        <v>4460</v>
      </c>
      <c r="C1680" s="1">
        <v>23</v>
      </c>
      <c r="D1680" s="4">
        <v>39909.482638888891</v>
      </c>
      <c r="E1680" s="1" t="s">
        <v>32</v>
      </c>
      <c r="F1680" s="1"/>
      <c r="G1680" s="1"/>
      <c r="H1680" s="1"/>
      <c r="I1680" s="1"/>
      <c r="J1680" s="1"/>
      <c r="K1680" s="1"/>
      <c r="L1680" s="1"/>
      <c r="M1680" s="1"/>
      <c r="N1680" s="1"/>
      <c r="O1680" s="1"/>
      <c r="P1680" s="1"/>
      <c r="Q1680" s="1"/>
      <c r="R1680" s="1"/>
      <c r="S1680" s="1"/>
    </row>
    <row r="1681" spans="1:19" ht="33.75" customHeight="1">
      <c r="A1681" s="1" t="s">
        <v>4673</v>
      </c>
      <c r="B1681" s="1" t="s">
        <v>3929</v>
      </c>
      <c r="C1681" s="1">
        <v>21</v>
      </c>
      <c r="D1681" s="4">
        <v>39909.932638888888</v>
      </c>
      <c r="E1681" s="1" t="s">
        <v>320</v>
      </c>
      <c r="F1681" s="1"/>
      <c r="G1681" s="1"/>
      <c r="H1681" s="1"/>
      <c r="I1681" s="1"/>
      <c r="J1681" s="1"/>
      <c r="K1681" s="1"/>
      <c r="L1681" s="1"/>
      <c r="M1681" s="1"/>
      <c r="N1681" s="1"/>
      <c r="O1681" s="1"/>
      <c r="P1681" s="1"/>
      <c r="Q1681" s="1"/>
      <c r="R1681" s="1"/>
      <c r="S1681" s="1"/>
    </row>
    <row r="1682" spans="1:19" ht="33.75" customHeight="1">
      <c r="A1682" s="1" t="s">
        <v>4676</v>
      </c>
      <c r="B1682" s="1" t="s">
        <v>3929</v>
      </c>
      <c r="C1682" s="1">
        <v>21</v>
      </c>
      <c r="D1682" s="4">
        <v>39909.94027777778</v>
      </c>
      <c r="E1682" s="1" t="s">
        <v>320</v>
      </c>
      <c r="F1682" s="1"/>
      <c r="G1682" s="1"/>
      <c r="H1682" s="1"/>
      <c r="I1682" s="1"/>
      <c r="J1682" s="1"/>
      <c r="K1682" s="1"/>
      <c r="L1682" s="1"/>
      <c r="M1682" s="1"/>
      <c r="N1682" s="1"/>
      <c r="O1682" s="1"/>
      <c r="P1682" s="1"/>
      <c r="Q1682" s="1"/>
      <c r="R1682" s="1"/>
      <c r="S1682" s="1"/>
    </row>
    <row r="1683" spans="1:19" ht="33.75" customHeight="1">
      <c r="A1683" s="1" t="s">
        <v>4679</v>
      </c>
      <c r="B1683" s="1" t="s">
        <v>4460</v>
      </c>
      <c r="C1683" s="1">
        <v>23</v>
      </c>
      <c r="D1683" s="4">
        <v>39909.941666666666</v>
      </c>
      <c r="E1683" s="1" t="s">
        <v>1089</v>
      </c>
      <c r="F1683" s="1"/>
      <c r="G1683" s="1"/>
      <c r="H1683" s="1"/>
      <c r="I1683" s="1"/>
      <c r="J1683" s="1"/>
      <c r="K1683" s="1"/>
      <c r="L1683" s="1"/>
      <c r="M1683" s="1"/>
      <c r="N1683" s="1"/>
      <c r="O1683" s="1"/>
      <c r="P1683" s="1"/>
      <c r="Q1683" s="1"/>
      <c r="R1683" s="1"/>
      <c r="S1683" s="1"/>
    </row>
    <row r="1684" spans="1:19" ht="33.75" customHeight="1">
      <c r="A1684" s="1" t="s">
        <v>4681</v>
      </c>
      <c r="B1684" s="1" t="s">
        <v>4460</v>
      </c>
      <c r="C1684" s="1">
        <v>23</v>
      </c>
      <c r="D1684" s="4">
        <v>39910.330555555556</v>
      </c>
      <c r="E1684" s="1" t="s">
        <v>4600</v>
      </c>
      <c r="F1684" s="1"/>
      <c r="G1684" s="1"/>
      <c r="H1684" s="1"/>
      <c r="I1684" s="1"/>
      <c r="J1684" s="1"/>
      <c r="K1684" s="1"/>
      <c r="L1684" s="1"/>
      <c r="M1684" s="1"/>
      <c r="N1684" s="1"/>
      <c r="O1684" s="1"/>
      <c r="P1684" s="1"/>
      <c r="Q1684" s="1"/>
      <c r="R1684" s="1"/>
      <c r="S1684" s="1"/>
    </row>
    <row r="1685" spans="1:19" ht="33.75" customHeight="1">
      <c r="A1685" s="1" t="s">
        <v>4684</v>
      </c>
      <c r="B1685" s="1" t="s">
        <v>4460</v>
      </c>
      <c r="C1685" s="1">
        <v>23</v>
      </c>
      <c r="D1685" s="4">
        <v>39910.331944444442</v>
      </c>
      <c r="E1685" s="1" t="s">
        <v>4600</v>
      </c>
      <c r="F1685" s="1"/>
      <c r="G1685" s="1"/>
      <c r="H1685" s="1"/>
      <c r="I1685" s="1"/>
      <c r="J1685" s="1"/>
      <c r="K1685" s="1"/>
      <c r="L1685" s="1"/>
      <c r="M1685" s="1"/>
      <c r="N1685" s="1"/>
      <c r="O1685" s="1"/>
      <c r="P1685" s="1"/>
      <c r="Q1685" s="1"/>
      <c r="R1685" s="1"/>
      <c r="S1685" s="1"/>
    </row>
    <row r="1686" spans="1:19" ht="33.75" customHeight="1">
      <c r="A1686" s="1" t="s">
        <v>4686</v>
      </c>
      <c r="B1686" s="1" t="s">
        <v>4460</v>
      </c>
      <c r="C1686" s="1">
        <v>23</v>
      </c>
      <c r="D1686" s="4">
        <v>39910.511111111111</v>
      </c>
      <c r="E1686" s="1" t="s">
        <v>772</v>
      </c>
      <c r="F1686" s="1"/>
      <c r="G1686" s="1"/>
      <c r="H1686" s="1"/>
      <c r="I1686" s="1"/>
      <c r="J1686" s="1"/>
      <c r="K1686" s="1"/>
      <c r="L1686" s="1"/>
      <c r="M1686" s="1"/>
      <c r="N1686" s="1"/>
      <c r="O1686" s="1"/>
      <c r="P1686" s="1"/>
      <c r="Q1686" s="1"/>
      <c r="R1686" s="1"/>
      <c r="S1686" s="1"/>
    </row>
    <row r="1687" spans="1:19" ht="33.75" customHeight="1">
      <c r="A1687" s="1" t="s">
        <v>4688</v>
      </c>
      <c r="B1687" s="1" t="s">
        <v>4460</v>
      </c>
      <c r="C1687" s="1">
        <v>23</v>
      </c>
      <c r="D1687" s="4">
        <v>39911.227083333331</v>
      </c>
      <c r="E1687" s="1" t="s">
        <v>1089</v>
      </c>
      <c r="F1687" s="1"/>
      <c r="G1687" s="1"/>
      <c r="H1687" s="1"/>
      <c r="I1687" s="1"/>
      <c r="J1687" s="1"/>
      <c r="K1687" s="1"/>
      <c r="L1687" s="1"/>
      <c r="M1687" s="1"/>
      <c r="N1687" s="1"/>
      <c r="O1687" s="1"/>
      <c r="P1687" s="1"/>
      <c r="Q1687" s="1"/>
      <c r="R1687" s="1"/>
      <c r="S1687" s="1"/>
    </row>
    <row r="1688" spans="1:19" ht="33.75" customHeight="1">
      <c r="A1688" s="1" t="s">
        <v>4690</v>
      </c>
      <c r="B1688" s="1" t="s">
        <v>4460</v>
      </c>
      <c r="C1688" s="1">
        <v>23</v>
      </c>
      <c r="D1688" s="4">
        <v>39911.350694444445</v>
      </c>
      <c r="E1688" s="1" t="s">
        <v>1089</v>
      </c>
      <c r="F1688" s="1"/>
      <c r="G1688" s="1"/>
      <c r="H1688" s="1"/>
      <c r="I1688" s="1"/>
      <c r="J1688" s="1"/>
      <c r="K1688" s="1"/>
      <c r="L1688" s="1"/>
      <c r="M1688" s="1"/>
      <c r="N1688" s="1"/>
      <c r="O1688" s="1"/>
      <c r="P1688" s="1"/>
      <c r="Q1688" s="1"/>
      <c r="R1688" s="1"/>
      <c r="S1688" s="1"/>
    </row>
    <row r="1689" spans="1:19" ht="33.75" customHeight="1">
      <c r="A1689" s="1" t="s">
        <v>4692</v>
      </c>
      <c r="B1689" s="1" t="s">
        <v>4460</v>
      </c>
      <c r="C1689" s="1">
        <v>23</v>
      </c>
      <c r="D1689" s="4">
        <v>39911.394444444442</v>
      </c>
      <c r="E1689" s="1" t="s">
        <v>1887</v>
      </c>
      <c r="F1689" s="1"/>
      <c r="G1689" s="1"/>
      <c r="H1689" s="1"/>
      <c r="I1689" s="1"/>
      <c r="J1689" s="1"/>
      <c r="K1689" s="1"/>
      <c r="L1689" s="1"/>
      <c r="M1689" s="1"/>
      <c r="N1689" s="1"/>
      <c r="O1689" s="1"/>
      <c r="P1689" s="1"/>
      <c r="Q1689" s="1"/>
      <c r="R1689" s="1"/>
      <c r="S1689" s="1"/>
    </row>
    <row r="1690" spans="1:19" ht="33.75" customHeight="1">
      <c r="A1690" s="1" t="s">
        <v>4694</v>
      </c>
      <c r="B1690" s="1" t="s">
        <v>4460</v>
      </c>
      <c r="C1690" s="1">
        <v>23</v>
      </c>
      <c r="D1690" s="4">
        <v>39911.550000000003</v>
      </c>
      <c r="E1690" s="1" t="s">
        <v>772</v>
      </c>
      <c r="F1690" s="1"/>
      <c r="G1690" s="1"/>
      <c r="H1690" s="1"/>
      <c r="I1690" s="1"/>
      <c r="J1690" s="1"/>
      <c r="K1690" s="1"/>
      <c r="L1690" s="1"/>
      <c r="M1690" s="1"/>
      <c r="N1690" s="1"/>
      <c r="O1690" s="1"/>
      <c r="P1690" s="1"/>
      <c r="Q1690" s="1"/>
      <c r="R1690" s="1"/>
      <c r="S1690" s="1"/>
    </row>
    <row r="1691" spans="1:19" ht="33.75" customHeight="1">
      <c r="A1691" s="1" t="s">
        <v>4696</v>
      </c>
      <c r="B1691" s="1" t="s">
        <v>4563</v>
      </c>
      <c r="C1691" s="1">
        <v>24</v>
      </c>
      <c r="D1691" s="4">
        <v>39912.209027777775</v>
      </c>
      <c r="E1691" s="1" t="s">
        <v>3610</v>
      </c>
      <c r="F1691" s="1"/>
      <c r="G1691" s="1"/>
      <c r="H1691" s="1"/>
      <c r="I1691" s="1"/>
      <c r="J1691" s="1"/>
      <c r="K1691" s="1"/>
      <c r="L1691" s="1"/>
      <c r="M1691" s="1"/>
      <c r="N1691" s="1"/>
      <c r="O1691" s="1"/>
      <c r="P1691" s="1"/>
      <c r="Q1691" s="1"/>
      <c r="R1691" s="1"/>
      <c r="S1691" s="1"/>
    </row>
    <row r="1692" spans="1:19" ht="33.75" customHeight="1">
      <c r="A1692" s="1" t="s">
        <v>4698</v>
      </c>
      <c r="B1692" s="1" t="s">
        <v>4563</v>
      </c>
      <c r="C1692" s="1">
        <v>24</v>
      </c>
      <c r="D1692" s="4">
        <v>39912.313888888886</v>
      </c>
      <c r="E1692" s="1" t="s">
        <v>54</v>
      </c>
      <c r="F1692" s="1"/>
      <c r="G1692" s="1"/>
      <c r="H1692" s="1"/>
      <c r="I1692" s="1"/>
      <c r="J1692" s="1"/>
      <c r="K1692" s="1"/>
      <c r="L1692" s="1"/>
      <c r="M1692" s="1"/>
      <c r="N1692" s="1"/>
      <c r="O1692" s="1"/>
      <c r="P1692" s="1"/>
      <c r="Q1692" s="1"/>
      <c r="R1692" s="1"/>
      <c r="S1692" s="1"/>
    </row>
    <row r="1693" spans="1:19" ht="33.75" customHeight="1">
      <c r="A1693" s="1" t="s">
        <v>4700</v>
      </c>
      <c r="B1693" s="1" t="s">
        <v>4460</v>
      </c>
      <c r="C1693" s="1">
        <v>23</v>
      </c>
      <c r="D1693" s="4">
        <v>39912.497916666667</v>
      </c>
      <c r="E1693" s="1" t="s">
        <v>772</v>
      </c>
      <c r="F1693" s="1"/>
      <c r="G1693" s="1"/>
      <c r="H1693" s="1"/>
      <c r="I1693" s="1"/>
      <c r="J1693" s="1"/>
      <c r="K1693" s="1"/>
      <c r="L1693" s="1"/>
      <c r="M1693" s="1"/>
      <c r="N1693" s="1"/>
      <c r="O1693" s="1"/>
      <c r="P1693" s="1"/>
      <c r="Q1693" s="1"/>
      <c r="R1693" s="1"/>
      <c r="S1693" s="1"/>
    </row>
    <row r="1694" spans="1:19" ht="33.75" customHeight="1">
      <c r="A1694" s="1" t="s">
        <v>4702</v>
      </c>
      <c r="B1694" s="1" t="s">
        <v>3929</v>
      </c>
      <c r="C1694" s="1">
        <v>21</v>
      </c>
      <c r="D1694" s="4">
        <v>39912.881249999999</v>
      </c>
      <c r="E1694" s="1" t="s">
        <v>54</v>
      </c>
      <c r="F1694" s="1"/>
      <c r="G1694" s="1"/>
      <c r="H1694" s="1"/>
      <c r="I1694" s="1"/>
      <c r="J1694" s="1"/>
      <c r="K1694" s="1"/>
      <c r="L1694" s="1"/>
      <c r="M1694" s="1"/>
      <c r="N1694" s="1"/>
      <c r="O1694" s="1"/>
      <c r="P1694" s="1"/>
      <c r="Q1694" s="1"/>
      <c r="R1694" s="1"/>
      <c r="S1694" s="1"/>
    </row>
    <row r="1695" spans="1:19" ht="33.75" customHeight="1">
      <c r="A1695" s="1" t="s">
        <v>4705</v>
      </c>
      <c r="B1695" s="1" t="s">
        <v>4460</v>
      </c>
      <c r="C1695" s="1">
        <v>23</v>
      </c>
      <c r="D1695" s="4">
        <v>39912.884027777778</v>
      </c>
      <c r="E1695" s="1" t="s">
        <v>772</v>
      </c>
      <c r="F1695" s="1"/>
      <c r="G1695" s="1"/>
      <c r="H1695" s="1"/>
      <c r="I1695" s="1"/>
      <c r="J1695" s="1"/>
      <c r="K1695" s="1"/>
      <c r="L1695" s="1"/>
      <c r="M1695" s="1"/>
      <c r="N1695" s="1"/>
      <c r="O1695" s="1"/>
      <c r="P1695" s="1"/>
      <c r="Q1695" s="1"/>
      <c r="R1695" s="1"/>
      <c r="S1695" s="1"/>
    </row>
    <row r="1696" spans="1:19" ht="33.75" customHeight="1">
      <c r="A1696" s="1" t="s">
        <v>4707</v>
      </c>
      <c r="B1696" s="1" t="s">
        <v>846</v>
      </c>
      <c r="C1696" s="1">
        <v>8</v>
      </c>
      <c r="D1696" s="4">
        <v>39914.470138888886</v>
      </c>
      <c r="E1696" s="1" t="s">
        <v>2242</v>
      </c>
      <c r="F1696" s="1"/>
      <c r="G1696" s="1"/>
      <c r="H1696" s="1"/>
      <c r="I1696" s="1"/>
      <c r="J1696" s="1"/>
      <c r="K1696" s="1"/>
      <c r="L1696" s="1"/>
      <c r="M1696" s="1"/>
      <c r="N1696" s="1"/>
      <c r="O1696" s="1"/>
      <c r="P1696" s="1"/>
      <c r="Q1696" s="1"/>
      <c r="R1696" s="1"/>
      <c r="S1696" s="1"/>
    </row>
    <row r="1697" spans="1:19" ht="33.75" customHeight="1">
      <c r="A1697" s="1" t="s">
        <v>4709</v>
      </c>
      <c r="B1697" s="1" t="s">
        <v>4460</v>
      </c>
      <c r="C1697" s="1">
        <v>23</v>
      </c>
      <c r="D1697" s="4">
        <v>39915.15902777778</v>
      </c>
      <c r="E1697" s="1" t="s">
        <v>1089</v>
      </c>
      <c r="F1697" s="1"/>
      <c r="G1697" s="1"/>
      <c r="H1697" s="1"/>
      <c r="I1697" s="1"/>
      <c r="J1697" s="1"/>
      <c r="K1697" s="1"/>
      <c r="L1697" s="1"/>
      <c r="M1697" s="1"/>
      <c r="N1697" s="1"/>
      <c r="O1697" s="1"/>
      <c r="P1697" s="1"/>
      <c r="Q1697" s="1"/>
      <c r="R1697" s="1"/>
      <c r="S1697" s="1"/>
    </row>
    <row r="1698" spans="1:19" ht="33.75" customHeight="1">
      <c r="A1698" s="1" t="s">
        <v>4712</v>
      </c>
      <c r="B1698" s="1" t="s">
        <v>4460</v>
      </c>
      <c r="C1698" s="1">
        <v>23</v>
      </c>
      <c r="D1698" s="4">
        <v>39915.177083333336</v>
      </c>
      <c r="E1698" s="1" t="s">
        <v>1089</v>
      </c>
      <c r="F1698" s="1"/>
      <c r="G1698" s="1"/>
      <c r="H1698" s="1"/>
      <c r="I1698" s="1"/>
      <c r="J1698" s="1"/>
      <c r="K1698" s="1"/>
      <c r="L1698" s="1"/>
      <c r="M1698" s="1"/>
      <c r="N1698" s="1"/>
      <c r="O1698" s="1"/>
      <c r="P1698" s="1"/>
      <c r="Q1698" s="1"/>
      <c r="R1698" s="1"/>
      <c r="S1698" s="1"/>
    </row>
    <row r="1699" spans="1:19" ht="33.75" customHeight="1">
      <c r="A1699" s="1" t="s">
        <v>4714</v>
      </c>
      <c r="B1699" s="1" t="s">
        <v>4460</v>
      </c>
      <c r="C1699" s="1">
        <v>23</v>
      </c>
      <c r="D1699" s="4">
        <v>39917.461805555555</v>
      </c>
      <c r="E1699" s="1" t="s">
        <v>772</v>
      </c>
      <c r="F1699" s="1"/>
      <c r="G1699" s="1"/>
      <c r="H1699" s="1"/>
      <c r="I1699" s="1"/>
      <c r="J1699" s="1"/>
      <c r="K1699" s="1"/>
      <c r="L1699" s="1"/>
      <c r="M1699" s="1"/>
      <c r="N1699" s="1"/>
      <c r="O1699" s="1"/>
      <c r="P1699" s="1"/>
      <c r="Q1699" s="1"/>
      <c r="R1699" s="1"/>
      <c r="S1699" s="1"/>
    </row>
    <row r="1700" spans="1:19" ht="33.75" customHeight="1">
      <c r="A1700" s="1" t="s">
        <v>4716</v>
      </c>
      <c r="B1700" s="1" t="s">
        <v>4460</v>
      </c>
      <c r="C1700" s="1">
        <v>23</v>
      </c>
      <c r="D1700" s="4">
        <v>39917.502083333333</v>
      </c>
      <c r="E1700" s="1" t="s">
        <v>772</v>
      </c>
      <c r="F1700" s="1"/>
      <c r="G1700" s="1"/>
      <c r="H1700" s="1"/>
      <c r="I1700" s="1"/>
      <c r="J1700" s="1"/>
      <c r="K1700" s="1"/>
      <c r="L1700" s="1"/>
      <c r="M1700" s="1"/>
      <c r="N1700" s="1"/>
      <c r="O1700" s="1"/>
      <c r="P1700" s="1"/>
      <c r="Q1700" s="1"/>
      <c r="R1700" s="1"/>
      <c r="S1700" s="1"/>
    </row>
    <row r="1701" spans="1:19" ht="33.75" customHeight="1">
      <c r="A1701" s="1" t="s">
        <v>4719</v>
      </c>
      <c r="B1701" s="1" t="s">
        <v>3929</v>
      </c>
      <c r="C1701" s="1">
        <v>21</v>
      </c>
      <c r="D1701" s="4">
        <v>39917.601388888892</v>
      </c>
      <c r="E1701" s="1" t="s">
        <v>320</v>
      </c>
      <c r="F1701" s="1"/>
      <c r="G1701" s="1"/>
      <c r="H1701" s="1"/>
      <c r="I1701" s="1"/>
      <c r="J1701" s="1"/>
      <c r="K1701" s="1"/>
      <c r="L1701" s="1"/>
      <c r="M1701" s="1"/>
      <c r="N1701" s="1"/>
      <c r="O1701" s="1"/>
      <c r="P1701" s="1"/>
      <c r="Q1701" s="1"/>
      <c r="R1701" s="1"/>
      <c r="S1701" s="1"/>
    </row>
    <row r="1702" spans="1:19" ht="33.75" customHeight="1">
      <c r="A1702" s="1" t="s">
        <v>4722</v>
      </c>
      <c r="B1702" s="1" t="s">
        <v>3929</v>
      </c>
      <c r="C1702" s="1">
        <v>21</v>
      </c>
      <c r="D1702" s="4">
        <v>39917.615277777775</v>
      </c>
      <c r="E1702" s="1" t="s">
        <v>14</v>
      </c>
      <c r="F1702" s="1"/>
      <c r="G1702" s="1"/>
      <c r="H1702" s="1"/>
      <c r="I1702" s="1"/>
      <c r="J1702" s="1"/>
      <c r="K1702" s="1"/>
      <c r="L1702" s="1"/>
      <c r="M1702" s="1"/>
      <c r="N1702" s="1"/>
      <c r="O1702" s="1"/>
      <c r="P1702" s="1"/>
      <c r="Q1702" s="1"/>
      <c r="R1702" s="1"/>
      <c r="S1702" s="1"/>
    </row>
    <row r="1703" spans="1:19" ht="33.75" customHeight="1">
      <c r="A1703" s="1" t="s">
        <v>4726</v>
      </c>
      <c r="B1703" s="1" t="s">
        <v>3929</v>
      </c>
      <c r="C1703" s="1">
        <v>21</v>
      </c>
      <c r="D1703" s="4">
        <v>39917.781944444447</v>
      </c>
      <c r="E1703" s="1" t="s">
        <v>54</v>
      </c>
      <c r="F1703" s="1"/>
      <c r="G1703" s="1"/>
      <c r="H1703" s="1"/>
      <c r="I1703" s="1"/>
      <c r="J1703" s="1"/>
      <c r="K1703" s="1"/>
      <c r="L1703" s="1"/>
      <c r="M1703" s="1"/>
      <c r="N1703" s="1"/>
      <c r="O1703" s="1"/>
      <c r="P1703" s="1"/>
      <c r="Q1703" s="1"/>
      <c r="R1703" s="1"/>
      <c r="S1703" s="1"/>
    </row>
    <row r="1704" spans="1:19" ht="33.75" customHeight="1">
      <c r="A1704" s="1" t="s">
        <v>4729</v>
      </c>
      <c r="B1704" s="1" t="s">
        <v>3929</v>
      </c>
      <c r="C1704" s="1">
        <v>21</v>
      </c>
      <c r="D1704" s="4">
        <v>39917.90902777778</v>
      </c>
      <c r="E1704" s="1" t="s">
        <v>320</v>
      </c>
      <c r="F1704" s="1"/>
      <c r="G1704" s="1"/>
      <c r="H1704" s="1"/>
      <c r="I1704" s="1"/>
      <c r="J1704" s="1"/>
      <c r="K1704" s="1"/>
      <c r="L1704" s="1"/>
      <c r="M1704" s="1"/>
      <c r="N1704" s="1"/>
      <c r="O1704" s="1"/>
      <c r="P1704" s="1"/>
      <c r="Q1704" s="1"/>
      <c r="R1704" s="1"/>
      <c r="S1704" s="1"/>
    </row>
    <row r="1705" spans="1:19" ht="33.75" customHeight="1">
      <c r="A1705" s="1" t="s">
        <v>4731</v>
      </c>
      <c r="B1705" s="1" t="s">
        <v>3929</v>
      </c>
      <c r="C1705" s="1">
        <v>21</v>
      </c>
      <c r="D1705" s="4">
        <v>39917.915277777778</v>
      </c>
      <c r="E1705" s="1" t="s">
        <v>320</v>
      </c>
      <c r="F1705" s="1"/>
      <c r="G1705" s="1"/>
      <c r="H1705" s="1"/>
      <c r="I1705" s="1"/>
      <c r="J1705" s="1"/>
      <c r="K1705" s="1"/>
      <c r="L1705" s="1"/>
      <c r="M1705" s="1"/>
      <c r="N1705" s="1"/>
      <c r="O1705" s="1"/>
      <c r="P1705" s="1"/>
      <c r="Q1705" s="1"/>
      <c r="R1705" s="1"/>
      <c r="S1705" s="1"/>
    </row>
    <row r="1706" spans="1:19" ht="33.75" customHeight="1">
      <c r="A1706" s="1" t="s">
        <v>4733</v>
      </c>
      <c r="B1706" s="1" t="s">
        <v>3929</v>
      </c>
      <c r="C1706" s="1">
        <v>21</v>
      </c>
      <c r="D1706" s="4">
        <v>39918.068749999999</v>
      </c>
      <c r="E1706" s="1" t="s">
        <v>320</v>
      </c>
      <c r="F1706" s="1"/>
      <c r="G1706" s="1"/>
      <c r="H1706" s="1"/>
      <c r="I1706" s="1"/>
      <c r="J1706" s="1"/>
      <c r="K1706" s="1"/>
      <c r="L1706" s="1"/>
      <c r="M1706" s="1"/>
      <c r="N1706" s="1"/>
      <c r="O1706" s="1"/>
      <c r="P1706" s="1"/>
      <c r="Q1706" s="1"/>
      <c r="R1706" s="1"/>
      <c r="S1706" s="1"/>
    </row>
    <row r="1707" spans="1:19" ht="33.75" customHeight="1">
      <c r="A1707" s="1" t="s">
        <v>4736</v>
      </c>
      <c r="B1707" s="1" t="s">
        <v>3929</v>
      </c>
      <c r="C1707" s="1">
        <v>21</v>
      </c>
      <c r="D1707" s="4">
        <v>39918.069444444445</v>
      </c>
      <c r="E1707" s="1" t="s">
        <v>320</v>
      </c>
      <c r="F1707" s="1"/>
      <c r="G1707" s="1"/>
      <c r="H1707" s="1"/>
      <c r="I1707" s="1"/>
      <c r="J1707" s="1"/>
      <c r="K1707" s="1"/>
      <c r="L1707" s="1"/>
      <c r="M1707" s="1"/>
      <c r="N1707" s="1"/>
      <c r="O1707" s="1"/>
      <c r="P1707" s="1"/>
      <c r="Q1707" s="1"/>
      <c r="R1707" s="1"/>
      <c r="S1707" s="1"/>
    </row>
    <row r="1708" spans="1:19" ht="33.75" customHeight="1">
      <c r="A1708" s="1" t="s">
        <v>4738</v>
      </c>
      <c r="B1708" s="1" t="s">
        <v>3929</v>
      </c>
      <c r="C1708" s="1">
        <v>21</v>
      </c>
      <c r="D1708" s="4">
        <v>39918.071527777778</v>
      </c>
      <c r="E1708" s="1" t="s">
        <v>14</v>
      </c>
      <c r="F1708" s="1"/>
      <c r="G1708" s="1"/>
      <c r="H1708" s="1"/>
      <c r="I1708" s="1"/>
      <c r="J1708" s="1"/>
      <c r="K1708" s="1"/>
      <c r="L1708" s="1"/>
      <c r="M1708" s="1"/>
      <c r="N1708" s="1"/>
      <c r="O1708" s="1"/>
      <c r="P1708" s="1"/>
      <c r="Q1708" s="1"/>
      <c r="R1708" s="1"/>
      <c r="S1708" s="1"/>
    </row>
    <row r="1709" spans="1:19" ht="33.75" customHeight="1">
      <c r="A1709" s="1" t="s">
        <v>4740</v>
      </c>
      <c r="B1709" s="1" t="s">
        <v>4460</v>
      </c>
      <c r="C1709" s="1">
        <v>23</v>
      </c>
      <c r="D1709" s="4">
        <v>39918.488194444442</v>
      </c>
      <c r="E1709" s="1" t="s">
        <v>772</v>
      </c>
      <c r="F1709" s="1"/>
      <c r="G1709" s="1"/>
      <c r="H1709" s="1"/>
      <c r="I1709" s="1"/>
      <c r="J1709" s="1"/>
      <c r="K1709" s="1"/>
      <c r="L1709" s="1"/>
      <c r="M1709" s="1"/>
      <c r="N1709" s="1"/>
      <c r="O1709" s="1"/>
      <c r="P1709" s="1"/>
      <c r="Q1709" s="1"/>
      <c r="R1709" s="1"/>
      <c r="S1709" s="1"/>
    </row>
    <row r="1710" spans="1:19" ht="33.75" customHeight="1">
      <c r="A1710" s="1" t="s">
        <v>4742</v>
      </c>
      <c r="B1710" s="1" t="s">
        <v>3929</v>
      </c>
      <c r="C1710" s="1">
        <v>21</v>
      </c>
      <c r="D1710" s="4">
        <v>39918.670138888891</v>
      </c>
      <c r="E1710" s="1" t="s">
        <v>320</v>
      </c>
      <c r="F1710" s="1"/>
      <c r="G1710" s="1"/>
      <c r="H1710" s="1"/>
      <c r="I1710" s="1"/>
      <c r="J1710" s="1"/>
      <c r="K1710" s="1"/>
      <c r="L1710" s="1"/>
      <c r="M1710" s="1"/>
      <c r="N1710" s="1"/>
      <c r="O1710" s="1"/>
      <c r="P1710" s="1"/>
      <c r="Q1710" s="1"/>
      <c r="R1710" s="1"/>
      <c r="S1710" s="1"/>
    </row>
    <row r="1711" spans="1:19" ht="33.75" customHeight="1">
      <c r="A1711" s="1" t="s">
        <v>4745</v>
      </c>
      <c r="B1711" s="1" t="s">
        <v>3929</v>
      </c>
      <c r="C1711" s="1">
        <v>21</v>
      </c>
      <c r="D1711" s="4">
        <v>39918.67083333333</v>
      </c>
      <c r="E1711" s="1" t="s">
        <v>320</v>
      </c>
      <c r="F1711" s="1"/>
      <c r="G1711" s="1"/>
      <c r="H1711" s="1"/>
      <c r="I1711" s="1"/>
      <c r="J1711" s="1"/>
      <c r="K1711" s="1"/>
      <c r="L1711" s="1"/>
      <c r="M1711" s="1"/>
      <c r="N1711" s="1"/>
      <c r="O1711" s="1"/>
      <c r="P1711" s="1"/>
      <c r="Q1711" s="1"/>
      <c r="R1711" s="1"/>
      <c r="S1711" s="1"/>
    </row>
    <row r="1712" spans="1:19" ht="33.75" customHeight="1">
      <c r="A1712" s="1" t="s">
        <v>4747</v>
      </c>
      <c r="B1712" s="1" t="s">
        <v>3929</v>
      </c>
      <c r="C1712" s="1">
        <v>21</v>
      </c>
      <c r="D1712" s="4">
        <v>39918.849305555559</v>
      </c>
      <c r="E1712" s="1" t="s">
        <v>320</v>
      </c>
      <c r="F1712" s="1"/>
      <c r="G1712" s="1"/>
      <c r="H1712" s="1"/>
      <c r="I1712" s="1"/>
      <c r="J1712" s="1"/>
      <c r="K1712" s="1"/>
      <c r="L1712" s="1"/>
      <c r="M1712" s="1"/>
      <c r="N1712" s="1"/>
      <c r="O1712" s="1"/>
      <c r="P1712" s="1"/>
      <c r="Q1712" s="1"/>
      <c r="R1712" s="1"/>
      <c r="S1712" s="1"/>
    </row>
    <row r="1713" spans="1:19" ht="33.75" customHeight="1">
      <c r="A1713" s="1" t="s">
        <v>4750</v>
      </c>
      <c r="B1713" s="1" t="s">
        <v>3929</v>
      </c>
      <c r="C1713" s="1">
        <v>21</v>
      </c>
      <c r="D1713" s="4">
        <v>39919.623611111114</v>
      </c>
      <c r="E1713" s="1" t="s">
        <v>320</v>
      </c>
      <c r="F1713" s="1"/>
      <c r="G1713" s="1"/>
      <c r="H1713" s="1"/>
      <c r="I1713" s="1"/>
      <c r="J1713" s="1"/>
      <c r="K1713" s="1"/>
      <c r="L1713" s="1"/>
      <c r="M1713" s="1"/>
      <c r="N1713" s="1"/>
      <c r="O1713" s="1"/>
      <c r="P1713" s="1"/>
      <c r="Q1713" s="1"/>
      <c r="R1713" s="1"/>
      <c r="S1713" s="1"/>
    </row>
    <row r="1714" spans="1:19" ht="33.75" customHeight="1">
      <c r="A1714" s="1" t="s">
        <v>4753</v>
      </c>
      <c r="B1714" s="1" t="s">
        <v>3929</v>
      </c>
      <c r="C1714" s="1">
        <v>21</v>
      </c>
      <c r="D1714" s="4">
        <v>39919.677083333336</v>
      </c>
      <c r="E1714" s="1" t="s">
        <v>196</v>
      </c>
      <c r="F1714" s="1"/>
      <c r="G1714" s="1"/>
      <c r="H1714" s="1"/>
      <c r="I1714" s="1"/>
      <c r="J1714" s="1"/>
      <c r="K1714" s="1"/>
      <c r="L1714" s="1"/>
      <c r="M1714" s="1"/>
      <c r="N1714" s="1"/>
      <c r="O1714" s="1"/>
      <c r="P1714" s="1"/>
      <c r="Q1714" s="1"/>
      <c r="R1714" s="1"/>
      <c r="S1714" s="1"/>
    </row>
    <row r="1715" spans="1:19" ht="33.75" customHeight="1">
      <c r="A1715" s="1" t="s">
        <v>4755</v>
      </c>
      <c r="B1715" s="1" t="s">
        <v>3929</v>
      </c>
      <c r="C1715" s="1">
        <v>21</v>
      </c>
      <c r="D1715" s="4">
        <v>39920.941666666666</v>
      </c>
      <c r="E1715" s="1" t="s">
        <v>772</v>
      </c>
      <c r="F1715" s="1"/>
      <c r="G1715" s="1"/>
      <c r="H1715" s="1"/>
      <c r="I1715" s="1"/>
      <c r="J1715" s="1"/>
      <c r="K1715" s="1"/>
      <c r="L1715" s="1"/>
      <c r="M1715" s="1"/>
      <c r="N1715" s="1"/>
      <c r="O1715" s="1"/>
      <c r="P1715" s="1"/>
      <c r="Q1715" s="1"/>
      <c r="R1715" s="1"/>
      <c r="S1715" s="1"/>
    </row>
    <row r="1716" spans="1:19" ht="33.75" customHeight="1">
      <c r="A1716" s="1" t="s">
        <v>4759</v>
      </c>
      <c r="B1716" s="1" t="s">
        <v>3929</v>
      </c>
      <c r="C1716" s="1">
        <v>21</v>
      </c>
      <c r="D1716" s="4">
        <v>39920.943749999999</v>
      </c>
      <c r="E1716" s="1" t="s">
        <v>772</v>
      </c>
      <c r="F1716" s="1"/>
      <c r="G1716" s="1"/>
      <c r="H1716" s="1"/>
      <c r="I1716" s="1"/>
      <c r="J1716" s="1"/>
      <c r="K1716" s="1"/>
      <c r="L1716" s="1"/>
      <c r="M1716" s="1"/>
      <c r="N1716" s="1"/>
      <c r="O1716" s="1"/>
      <c r="P1716" s="1"/>
      <c r="Q1716" s="1"/>
      <c r="R1716" s="1"/>
      <c r="S1716" s="1"/>
    </row>
    <row r="1717" spans="1:19" ht="33.75" customHeight="1">
      <c r="A1717" s="1" t="s">
        <v>4761</v>
      </c>
      <c r="B1717" s="1" t="s">
        <v>3929</v>
      </c>
      <c r="C1717" s="1">
        <v>21</v>
      </c>
      <c r="D1717" s="4">
        <v>39920.979861111111</v>
      </c>
      <c r="E1717" s="1" t="s">
        <v>14</v>
      </c>
      <c r="F1717" s="1"/>
      <c r="G1717" s="1"/>
      <c r="H1717" s="1"/>
      <c r="I1717" s="1"/>
      <c r="J1717" s="1"/>
      <c r="K1717" s="1"/>
      <c r="L1717" s="1"/>
      <c r="M1717" s="1"/>
      <c r="N1717" s="1"/>
      <c r="O1717" s="1"/>
      <c r="P1717" s="1"/>
      <c r="Q1717" s="1"/>
      <c r="R1717" s="1"/>
      <c r="S1717" s="1"/>
    </row>
    <row r="1718" spans="1:19" ht="33.75" customHeight="1">
      <c r="A1718" s="1" t="s">
        <v>4763</v>
      </c>
      <c r="B1718" s="1" t="s">
        <v>3929</v>
      </c>
      <c r="C1718" s="1">
        <v>21</v>
      </c>
      <c r="D1718" s="4">
        <v>39922.089583333334</v>
      </c>
      <c r="E1718" s="1" t="s">
        <v>772</v>
      </c>
      <c r="F1718" s="1"/>
      <c r="G1718" s="1"/>
      <c r="H1718" s="1"/>
      <c r="I1718" s="1"/>
      <c r="J1718" s="1"/>
      <c r="K1718" s="1"/>
      <c r="L1718" s="1"/>
      <c r="M1718" s="1"/>
      <c r="N1718" s="1"/>
      <c r="O1718" s="1"/>
      <c r="P1718" s="1"/>
      <c r="Q1718" s="1"/>
      <c r="R1718" s="1"/>
      <c r="S1718" s="1"/>
    </row>
    <row r="1719" spans="1:19" ht="33.75" customHeight="1">
      <c r="A1719" s="1" t="s">
        <v>4766</v>
      </c>
      <c r="B1719" s="1" t="s">
        <v>3929</v>
      </c>
      <c r="C1719" s="1">
        <v>21</v>
      </c>
      <c r="D1719" s="4">
        <v>39922.159722222219</v>
      </c>
      <c r="E1719" s="1" t="s">
        <v>320</v>
      </c>
      <c r="F1719" s="1"/>
      <c r="G1719" s="1"/>
      <c r="H1719" s="1"/>
      <c r="I1719" s="1"/>
      <c r="J1719" s="1"/>
      <c r="K1719" s="1"/>
      <c r="L1719" s="1"/>
      <c r="M1719" s="1"/>
      <c r="N1719" s="1"/>
      <c r="O1719" s="1"/>
      <c r="P1719" s="1"/>
      <c r="Q1719" s="1"/>
      <c r="R1719" s="1"/>
      <c r="S1719" s="1"/>
    </row>
    <row r="1720" spans="1:19" ht="33.75" customHeight="1">
      <c r="A1720" s="1" t="s">
        <v>4768</v>
      </c>
      <c r="B1720" s="1" t="s">
        <v>4460</v>
      </c>
      <c r="C1720" s="1">
        <v>23</v>
      </c>
      <c r="D1720" s="4">
        <v>39923.493055555555</v>
      </c>
      <c r="E1720" s="1" t="s">
        <v>772</v>
      </c>
      <c r="F1720" s="1"/>
      <c r="G1720" s="1"/>
      <c r="H1720" s="1"/>
      <c r="I1720" s="1"/>
      <c r="J1720" s="1"/>
      <c r="K1720" s="1"/>
      <c r="L1720" s="1"/>
      <c r="M1720" s="1"/>
      <c r="N1720" s="1"/>
      <c r="O1720" s="1"/>
      <c r="P1720" s="1"/>
      <c r="Q1720" s="1"/>
      <c r="R1720" s="1"/>
      <c r="S1720" s="1"/>
    </row>
    <row r="1721" spans="1:19" ht="33.75" customHeight="1">
      <c r="A1721" s="1" t="s">
        <v>4770</v>
      </c>
      <c r="B1721" s="1" t="s">
        <v>4460</v>
      </c>
      <c r="C1721" s="1">
        <v>23</v>
      </c>
      <c r="D1721" s="4">
        <v>39923.505555555559</v>
      </c>
      <c r="E1721" s="1" t="s">
        <v>772</v>
      </c>
      <c r="F1721" s="1"/>
      <c r="G1721" s="1"/>
      <c r="H1721" s="1"/>
      <c r="I1721" s="1"/>
      <c r="J1721" s="1"/>
      <c r="K1721" s="1"/>
      <c r="L1721" s="1"/>
      <c r="M1721" s="1"/>
      <c r="N1721" s="1"/>
      <c r="O1721" s="1"/>
      <c r="P1721" s="1"/>
      <c r="Q1721" s="1"/>
      <c r="R1721" s="1"/>
      <c r="S1721" s="1"/>
    </row>
    <row r="1722" spans="1:19" ht="33.75" customHeight="1">
      <c r="A1722" s="1" t="s">
        <v>4772</v>
      </c>
      <c r="B1722" s="1" t="s">
        <v>4460</v>
      </c>
      <c r="C1722" s="1">
        <v>23</v>
      </c>
      <c r="D1722" s="4">
        <v>39923.508333333331</v>
      </c>
      <c r="E1722" s="1" t="s">
        <v>772</v>
      </c>
      <c r="F1722" s="1"/>
      <c r="G1722" s="1"/>
      <c r="H1722" s="1"/>
      <c r="I1722" s="1"/>
      <c r="J1722" s="1"/>
      <c r="K1722" s="1"/>
      <c r="L1722" s="1"/>
      <c r="M1722" s="1"/>
      <c r="N1722" s="1"/>
      <c r="O1722" s="1"/>
      <c r="P1722" s="1"/>
      <c r="Q1722" s="1"/>
      <c r="R1722" s="1"/>
      <c r="S1722" s="1"/>
    </row>
    <row r="1723" spans="1:19" ht="33.75" customHeight="1">
      <c r="A1723" s="1" t="s">
        <v>4774</v>
      </c>
      <c r="B1723" s="1" t="s">
        <v>4460</v>
      </c>
      <c r="C1723" s="1">
        <v>23</v>
      </c>
      <c r="D1723" s="4">
        <v>39923.598611111112</v>
      </c>
      <c r="E1723" s="1" t="s">
        <v>54</v>
      </c>
      <c r="F1723" s="1"/>
      <c r="G1723" s="1"/>
      <c r="H1723" s="1"/>
      <c r="I1723" s="1"/>
      <c r="J1723" s="1"/>
      <c r="K1723" s="1"/>
      <c r="L1723" s="1"/>
      <c r="M1723" s="1"/>
      <c r="N1723" s="1"/>
      <c r="O1723" s="1"/>
      <c r="P1723" s="1"/>
      <c r="Q1723" s="1"/>
      <c r="R1723" s="1"/>
      <c r="S1723" s="1"/>
    </row>
    <row r="1724" spans="1:19" ht="33.75" customHeight="1">
      <c r="A1724" s="1" t="s">
        <v>4777</v>
      </c>
      <c r="B1724" s="1" t="s">
        <v>4460</v>
      </c>
      <c r="C1724" s="1">
        <v>23</v>
      </c>
      <c r="D1724" s="4">
        <v>39923.708333333336</v>
      </c>
      <c r="E1724" s="1" t="s">
        <v>54</v>
      </c>
      <c r="F1724" s="1"/>
      <c r="G1724" s="1"/>
      <c r="H1724" s="1"/>
      <c r="I1724" s="1"/>
      <c r="J1724" s="1"/>
      <c r="K1724" s="1"/>
      <c r="L1724" s="1"/>
      <c r="M1724" s="1"/>
      <c r="N1724" s="1"/>
      <c r="O1724" s="1"/>
      <c r="P1724" s="1"/>
      <c r="Q1724" s="1"/>
      <c r="R1724" s="1"/>
      <c r="S1724" s="1"/>
    </row>
    <row r="1725" spans="1:19" ht="33.75" customHeight="1">
      <c r="A1725" s="1" t="s">
        <v>4779</v>
      </c>
      <c r="B1725" s="1" t="s">
        <v>3929</v>
      </c>
      <c r="C1725" s="1">
        <v>21</v>
      </c>
      <c r="D1725" s="4">
        <v>39925.172222222223</v>
      </c>
      <c r="E1725" s="1" t="s">
        <v>320</v>
      </c>
      <c r="F1725" s="1"/>
      <c r="G1725" s="1"/>
      <c r="H1725" s="1"/>
      <c r="I1725" s="1"/>
      <c r="J1725" s="1"/>
      <c r="K1725" s="1"/>
      <c r="L1725" s="1"/>
      <c r="M1725" s="1"/>
      <c r="N1725" s="1"/>
      <c r="O1725" s="1"/>
      <c r="P1725" s="1"/>
      <c r="Q1725" s="1"/>
      <c r="R1725" s="1"/>
      <c r="S1725" s="1"/>
    </row>
    <row r="1726" spans="1:19" ht="33.75" customHeight="1">
      <c r="A1726" s="1" t="s">
        <v>4782</v>
      </c>
      <c r="B1726" s="1" t="s">
        <v>3929</v>
      </c>
      <c r="C1726" s="1">
        <v>21</v>
      </c>
      <c r="D1726" s="4">
        <v>39925.871527777781</v>
      </c>
      <c r="E1726" s="1" t="s">
        <v>320</v>
      </c>
      <c r="F1726" s="1"/>
      <c r="G1726" s="1"/>
      <c r="H1726" s="1"/>
      <c r="I1726" s="1"/>
      <c r="J1726" s="1"/>
      <c r="K1726" s="1"/>
      <c r="L1726" s="1"/>
      <c r="M1726" s="1"/>
      <c r="N1726" s="1"/>
      <c r="O1726" s="1"/>
      <c r="P1726" s="1"/>
      <c r="Q1726" s="1"/>
      <c r="R1726" s="1"/>
      <c r="S1726" s="1"/>
    </row>
    <row r="1727" spans="1:19" ht="33.75" customHeight="1">
      <c r="A1727" s="1" t="s">
        <v>4784</v>
      </c>
      <c r="B1727" s="1" t="s">
        <v>4460</v>
      </c>
      <c r="C1727" s="1">
        <v>23</v>
      </c>
      <c r="D1727" s="4">
        <v>39926.462500000001</v>
      </c>
      <c r="E1727" s="1" t="s">
        <v>772</v>
      </c>
      <c r="F1727" s="1"/>
      <c r="G1727" s="1"/>
      <c r="H1727" s="1"/>
      <c r="I1727" s="1"/>
      <c r="J1727" s="1"/>
      <c r="K1727" s="1"/>
      <c r="L1727" s="1"/>
      <c r="M1727" s="1"/>
      <c r="N1727" s="1"/>
      <c r="O1727" s="1"/>
      <c r="P1727" s="1"/>
      <c r="Q1727" s="1"/>
      <c r="R1727" s="1"/>
      <c r="S1727" s="1"/>
    </row>
    <row r="1728" spans="1:19" ht="33.75" customHeight="1">
      <c r="A1728" s="1" t="s">
        <v>4786</v>
      </c>
      <c r="B1728" s="1" t="s">
        <v>3929</v>
      </c>
      <c r="C1728" s="1">
        <v>21</v>
      </c>
      <c r="D1728" s="4">
        <v>39927.677777777775</v>
      </c>
      <c r="E1728" s="1" t="s">
        <v>320</v>
      </c>
      <c r="F1728" s="1"/>
      <c r="G1728" s="1"/>
      <c r="H1728" s="1"/>
      <c r="I1728" s="1"/>
      <c r="J1728" s="1"/>
      <c r="K1728" s="1"/>
      <c r="L1728" s="1"/>
      <c r="M1728" s="1"/>
      <c r="N1728" s="1"/>
      <c r="O1728" s="1"/>
      <c r="P1728" s="1"/>
      <c r="Q1728" s="1"/>
      <c r="R1728" s="1"/>
      <c r="S1728" s="1"/>
    </row>
    <row r="1729" spans="1:19" ht="33.75" customHeight="1">
      <c r="A1729" s="1" t="s">
        <v>4788</v>
      </c>
      <c r="B1729" s="1" t="s">
        <v>3929</v>
      </c>
      <c r="C1729" s="1">
        <v>21</v>
      </c>
      <c r="D1729" s="4">
        <v>39927.679166666669</v>
      </c>
      <c r="E1729" s="1" t="s">
        <v>320</v>
      </c>
      <c r="F1729" s="1"/>
      <c r="G1729" s="1"/>
      <c r="H1729" s="1"/>
      <c r="I1729" s="1"/>
      <c r="J1729" s="1"/>
      <c r="K1729" s="1"/>
      <c r="L1729" s="1"/>
      <c r="M1729" s="1"/>
      <c r="N1729" s="1"/>
      <c r="O1729" s="1"/>
      <c r="P1729" s="1"/>
      <c r="Q1729" s="1"/>
      <c r="R1729" s="1"/>
      <c r="S1729" s="1"/>
    </row>
    <row r="1730" spans="1:19" ht="33.75" customHeight="1">
      <c r="A1730" s="1" t="s">
        <v>4790</v>
      </c>
      <c r="B1730" s="1" t="s">
        <v>3929</v>
      </c>
      <c r="C1730" s="1">
        <v>21</v>
      </c>
      <c r="D1730" s="4">
        <v>39927.679861111108</v>
      </c>
      <c r="E1730" s="1" t="s">
        <v>320</v>
      </c>
      <c r="F1730" s="1"/>
      <c r="G1730" s="1"/>
      <c r="H1730" s="1"/>
      <c r="I1730" s="1"/>
      <c r="J1730" s="1"/>
      <c r="K1730" s="1"/>
      <c r="L1730" s="1"/>
      <c r="M1730" s="1"/>
      <c r="N1730" s="1"/>
      <c r="O1730" s="1"/>
      <c r="P1730" s="1"/>
      <c r="Q1730" s="1"/>
      <c r="R1730" s="1"/>
      <c r="S1730" s="1"/>
    </row>
    <row r="1731" spans="1:19" ht="33.75" customHeight="1">
      <c r="A1731" s="1" t="s">
        <v>4792</v>
      </c>
      <c r="B1731" s="1" t="s">
        <v>3929</v>
      </c>
      <c r="C1731" s="1">
        <v>21</v>
      </c>
      <c r="D1731" s="4">
        <v>39927.838888888888</v>
      </c>
      <c r="E1731" s="1" t="s">
        <v>320</v>
      </c>
      <c r="F1731" s="1"/>
      <c r="G1731" s="1"/>
      <c r="H1731" s="1"/>
      <c r="I1731" s="1"/>
      <c r="J1731" s="1"/>
      <c r="K1731" s="1"/>
      <c r="L1731" s="1"/>
      <c r="M1731" s="1"/>
      <c r="N1731" s="1"/>
      <c r="O1731" s="1"/>
      <c r="P1731" s="1"/>
      <c r="Q1731" s="1"/>
      <c r="R1731" s="1"/>
      <c r="S1731" s="1"/>
    </row>
    <row r="1732" spans="1:19" ht="33.75" customHeight="1">
      <c r="A1732" s="1" t="s">
        <v>4795</v>
      </c>
      <c r="B1732" s="1" t="s">
        <v>4460</v>
      </c>
      <c r="C1732" s="1">
        <v>23</v>
      </c>
      <c r="D1732" s="4">
        <v>39927.868055555555</v>
      </c>
      <c r="E1732" s="1" t="s">
        <v>84</v>
      </c>
      <c r="F1732" s="1"/>
      <c r="G1732" s="1"/>
      <c r="H1732" s="1"/>
      <c r="I1732" s="1"/>
      <c r="J1732" s="1"/>
      <c r="K1732" s="1"/>
      <c r="L1732" s="1"/>
      <c r="M1732" s="1"/>
      <c r="N1732" s="1"/>
      <c r="O1732" s="1"/>
      <c r="P1732" s="1"/>
      <c r="Q1732" s="1"/>
      <c r="R1732" s="1"/>
      <c r="S1732" s="1"/>
    </row>
    <row r="1733" spans="1:19" ht="33.75" customHeight="1">
      <c r="A1733" s="1" t="s">
        <v>4797</v>
      </c>
      <c r="B1733" s="1" t="s">
        <v>3929</v>
      </c>
      <c r="C1733" s="1">
        <v>21</v>
      </c>
      <c r="D1733" s="4">
        <v>39928.34375</v>
      </c>
      <c r="E1733" s="1" t="s">
        <v>1887</v>
      </c>
      <c r="F1733" s="1"/>
      <c r="G1733" s="1"/>
      <c r="H1733" s="1"/>
      <c r="I1733" s="1"/>
      <c r="J1733" s="1"/>
      <c r="K1733" s="1"/>
      <c r="L1733" s="1"/>
      <c r="M1733" s="1"/>
      <c r="N1733" s="1"/>
      <c r="O1733" s="1"/>
      <c r="P1733" s="1"/>
      <c r="Q1733" s="1"/>
      <c r="R1733" s="1"/>
      <c r="S1733" s="1"/>
    </row>
    <row r="1734" spans="1:19" ht="33.75" customHeight="1">
      <c r="A1734" s="1" t="s">
        <v>4799</v>
      </c>
      <c r="B1734" s="1" t="s">
        <v>4460</v>
      </c>
      <c r="C1734" s="1">
        <v>23</v>
      </c>
      <c r="D1734" s="4">
        <v>39928.387499999997</v>
      </c>
      <c r="E1734" s="1" t="s">
        <v>772</v>
      </c>
      <c r="F1734" s="1"/>
      <c r="G1734" s="1"/>
      <c r="H1734" s="1"/>
      <c r="I1734" s="1"/>
      <c r="J1734" s="1"/>
      <c r="K1734" s="1"/>
      <c r="L1734" s="1"/>
      <c r="M1734" s="1"/>
      <c r="N1734" s="1"/>
      <c r="O1734" s="1"/>
      <c r="P1734" s="1"/>
      <c r="Q1734" s="1"/>
      <c r="R1734" s="1"/>
      <c r="S1734" s="1"/>
    </row>
    <row r="1735" spans="1:19" ht="33.75" customHeight="1">
      <c r="A1735" s="1" t="s">
        <v>4801</v>
      </c>
      <c r="B1735" s="1" t="s">
        <v>4460</v>
      </c>
      <c r="C1735" s="1">
        <v>23</v>
      </c>
      <c r="D1735" s="4">
        <v>39931.723611111112</v>
      </c>
      <c r="E1735" s="1" t="s">
        <v>1089</v>
      </c>
      <c r="F1735" s="1"/>
      <c r="G1735" s="1"/>
      <c r="H1735" s="1"/>
      <c r="I1735" s="1"/>
      <c r="J1735" s="1"/>
      <c r="K1735" s="1"/>
      <c r="L1735" s="1"/>
      <c r="M1735" s="1"/>
      <c r="N1735" s="1"/>
      <c r="O1735" s="1"/>
      <c r="P1735" s="1"/>
      <c r="Q1735" s="1"/>
      <c r="R1735" s="1"/>
      <c r="S1735" s="1"/>
    </row>
    <row r="1736" spans="1:19" ht="33.75" customHeight="1">
      <c r="A1736" s="1" t="s">
        <v>4805</v>
      </c>
      <c r="B1736" s="1" t="s">
        <v>4460</v>
      </c>
      <c r="C1736" s="1">
        <v>23</v>
      </c>
      <c r="D1736" s="4">
        <v>39932.425000000003</v>
      </c>
      <c r="E1736" s="1" t="s">
        <v>772</v>
      </c>
      <c r="F1736" s="1"/>
      <c r="G1736" s="1"/>
      <c r="H1736" s="1"/>
      <c r="I1736" s="1"/>
      <c r="J1736" s="1"/>
      <c r="K1736" s="1"/>
      <c r="L1736" s="1"/>
      <c r="M1736" s="1"/>
      <c r="N1736" s="1"/>
      <c r="O1736" s="1"/>
      <c r="P1736" s="1"/>
      <c r="Q1736" s="1"/>
      <c r="R1736" s="1"/>
      <c r="S1736" s="1"/>
    </row>
    <row r="1737" spans="1:19" ht="33.75" customHeight="1">
      <c r="A1737" s="1" t="s">
        <v>4808</v>
      </c>
      <c r="B1737" s="1" t="s">
        <v>4460</v>
      </c>
      <c r="C1737" s="1">
        <v>23</v>
      </c>
      <c r="D1737" s="4">
        <v>39934.56527777778</v>
      </c>
      <c r="E1737" s="1" t="s">
        <v>772</v>
      </c>
      <c r="F1737" s="1"/>
      <c r="G1737" s="1"/>
      <c r="H1737" s="1"/>
      <c r="I1737" s="1"/>
      <c r="J1737" s="1"/>
      <c r="K1737" s="1"/>
      <c r="L1737" s="1"/>
      <c r="M1737" s="1"/>
      <c r="N1737" s="1"/>
      <c r="O1737" s="1"/>
      <c r="P1737" s="1"/>
      <c r="Q1737" s="1"/>
      <c r="R1737" s="1"/>
      <c r="S1737" s="1"/>
    </row>
    <row r="1738" spans="1:19" ht="33.75" customHeight="1">
      <c r="A1738" s="1" t="s">
        <v>4811</v>
      </c>
      <c r="B1738" s="1" t="s">
        <v>3929</v>
      </c>
      <c r="C1738" s="1">
        <v>21</v>
      </c>
      <c r="D1738" s="4">
        <v>39935.091666666667</v>
      </c>
      <c r="E1738" s="1" t="s">
        <v>320</v>
      </c>
      <c r="F1738" s="1"/>
      <c r="G1738" s="1"/>
      <c r="H1738" s="1"/>
      <c r="I1738" s="1"/>
      <c r="J1738" s="1"/>
      <c r="K1738" s="1"/>
      <c r="L1738" s="1"/>
      <c r="M1738" s="1"/>
      <c r="N1738" s="1"/>
      <c r="O1738" s="1"/>
      <c r="P1738" s="1"/>
      <c r="Q1738" s="1"/>
      <c r="R1738" s="1"/>
      <c r="S1738" s="1"/>
    </row>
    <row r="1739" spans="1:19" ht="33.75" customHeight="1">
      <c r="A1739" s="1" t="s">
        <v>4814</v>
      </c>
      <c r="B1739" s="1" t="s">
        <v>3929</v>
      </c>
      <c r="C1739" s="1">
        <v>21</v>
      </c>
      <c r="D1739" s="4">
        <v>39936.886805555558</v>
      </c>
      <c r="E1739" s="1" t="s">
        <v>320</v>
      </c>
      <c r="F1739" s="1"/>
      <c r="G1739" s="1"/>
      <c r="H1739" s="1"/>
      <c r="I1739" s="1"/>
      <c r="J1739" s="1"/>
      <c r="K1739" s="1"/>
      <c r="L1739" s="1"/>
      <c r="M1739" s="1"/>
      <c r="N1739" s="1"/>
      <c r="O1739" s="1"/>
      <c r="P1739" s="1"/>
      <c r="Q1739" s="1"/>
      <c r="R1739" s="1"/>
      <c r="S1739" s="1"/>
    </row>
    <row r="1740" spans="1:19" ht="33.75" customHeight="1">
      <c r="A1740" s="1" t="s">
        <v>4818</v>
      </c>
      <c r="B1740" s="1" t="s">
        <v>3929</v>
      </c>
      <c r="C1740" s="1">
        <v>21</v>
      </c>
      <c r="D1740" s="4">
        <v>39941.638888888891</v>
      </c>
      <c r="E1740" s="1" t="s">
        <v>320</v>
      </c>
      <c r="F1740" s="1"/>
      <c r="G1740" s="1"/>
      <c r="H1740" s="1"/>
      <c r="I1740" s="1"/>
      <c r="J1740" s="1"/>
      <c r="K1740" s="1"/>
      <c r="L1740" s="1"/>
      <c r="M1740" s="1"/>
      <c r="N1740" s="1"/>
      <c r="O1740" s="1"/>
      <c r="P1740" s="1"/>
      <c r="Q1740" s="1"/>
      <c r="R1740" s="1"/>
      <c r="S1740" s="1"/>
    </row>
    <row r="1741" spans="1:19" ht="33.75" customHeight="1">
      <c r="A1741" s="1" t="s">
        <v>4821</v>
      </c>
      <c r="B1741" s="1" t="s">
        <v>3929</v>
      </c>
      <c r="C1741" s="1">
        <v>21</v>
      </c>
      <c r="D1741" s="4">
        <v>39941.693055555559</v>
      </c>
      <c r="E1741" s="1" t="s">
        <v>14</v>
      </c>
      <c r="F1741" s="1"/>
      <c r="G1741" s="1"/>
      <c r="H1741" s="1"/>
      <c r="I1741" s="1"/>
      <c r="J1741" s="1"/>
      <c r="K1741" s="1"/>
      <c r="L1741" s="1"/>
      <c r="M1741" s="1"/>
      <c r="N1741" s="1"/>
      <c r="O1741" s="1"/>
      <c r="P1741" s="1"/>
      <c r="Q1741" s="1"/>
      <c r="R1741" s="1"/>
      <c r="S1741" s="1"/>
    </row>
    <row r="1742" spans="1:19" ht="33.75" customHeight="1">
      <c r="A1742" s="1" t="s">
        <v>4823</v>
      </c>
      <c r="B1742" s="1" t="s">
        <v>3929</v>
      </c>
      <c r="C1742" s="1">
        <v>21</v>
      </c>
      <c r="D1742" s="4">
        <v>39942.752083333333</v>
      </c>
      <c r="E1742" s="1" t="s">
        <v>320</v>
      </c>
      <c r="F1742" s="1"/>
      <c r="G1742" s="1"/>
      <c r="H1742" s="1"/>
      <c r="I1742" s="1"/>
      <c r="J1742" s="1"/>
      <c r="K1742" s="1"/>
      <c r="L1742" s="1"/>
      <c r="M1742" s="1"/>
      <c r="N1742" s="1"/>
      <c r="O1742" s="1"/>
      <c r="P1742" s="1"/>
      <c r="Q1742" s="1"/>
      <c r="R1742" s="1"/>
      <c r="S1742" s="1"/>
    </row>
    <row r="1743" spans="1:19" ht="33.75" customHeight="1">
      <c r="A1743" s="1" t="s">
        <v>4825</v>
      </c>
      <c r="B1743" s="1" t="s">
        <v>3929</v>
      </c>
      <c r="C1743" s="1">
        <v>21</v>
      </c>
      <c r="D1743" s="4">
        <v>39942.75277777778</v>
      </c>
      <c r="E1743" s="1" t="s">
        <v>320</v>
      </c>
      <c r="F1743" s="1"/>
      <c r="G1743" s="1"/>
      <c r="H1743" s="1"/>
      <c r="I1743" s="1"/>
      <c r="J1743" s="1"/>
      <c r="K1743" s="1"/>
      <c r="L1743" s="1"/>
      <c r="M1743" s="1"/>
      <c r="N1743" s="1"/>
      <c r="O1743" s="1"/>
      <c r="P1743" s="1"/>
      <c r="Q1743" s="1"/>
      <c r="R1743" s="1"/>
      <c r="S1743" s="1"/>
    </row>
    <row r="1744" spans="1:19" ht="33.75" customHeight="1">
      <c r="A1744" s="1" t="s">
        <v>4828</v>
      </c>
      <c r="B1744" s="1" t="s">
        <v>3929</v>
      </c>
      <c r="C1744" s="1">
        <v>21</v>
      </c>
      <c r="D1744" s="4">
        <v>39942.755555555559</v>
      </c>
      <c r="E1744" s="1" t="s">
        <v>4829</v>
      </c>
      <c r="F1744" s="1"/>
      <c r="G1744" s="1"/>
      <c r="H1744" s="1"/>
      <c r="I1744" s="1"/>
      <c r="J1744" s="1"/>
      <c r="K1744" s="1"/>
      <c r="L1744" s="1"/>
      <c r="M1744" s="1"/>
      <c r="N1744" s="1"/>
      <c r="O1744" s="1"/>
      <c r="P1744" s="1"/>
      <c r="Q1744" s="1"/>
      <c r="R1744" s="1"/>
      <c r="S1744" s="1"/>
    </row>
    <row r="1745" spans="1:19" ht="33.75" customHeight="1">
      <c r="A1745" s="1" t="s">
        <v>4831</v>
      </c>
      <c r="B1745" s="1" t="s">
        <v>3929</v>
      </c>
      <c r="C1745" s="1">
        <v>21</v>
      </c>
      <c r="D1745" s="4">
        <v>39942.756249999999</v>
      </c>
      <c r="E1745" s="1" t="s">
        <v>320</v>
      </c>
      <c r="F1745" s="1"/>
      <c r="G1745" s="1"/>
      <c r="H1745" s="1"/>
      <c r="I1745" s="1"/>
      <c r="J1745" s="1"/>
      <c r="K1745" s="1"/>
      <c r="L1745" s="1"/>
      <c r="M1745" s="1"/>
      <c r="N1745" s="1"/>
      <c r="O1745" s="1"/>
      <c r="P1745" s="1"/>
      <c r="Q1745" s="1"/>
      <c r="R1745" s="1"/>
      <c r="S1745" s="1"/>
    </row>
    <row r="1746" spans="1:19" ht="33.75" customHeight="1">
      <c r="A1746" s="1" t="s">
        <v>4835</v>
      </c>
      <c r="B1746" s="1" t="s">
        <v>3929</v>
      </c>
      <c r="C1746" s="1">
        <v>21</v>
      </c>
      <c r="D1746" s="4">
        <v>39942.757638888892</v>
      </c>
      <c r="E1746" s="1" t="s">
        <v>4829</v>
      </c>
      <c r="F1746" s="1"/>
      <c r="G1746" s="1"/>
      <c r="H1746" s="1"/>
      <c r="I1746" s="1"/>
      <c r="J1746" s="1"/>
      <c r="K1746" s="1"/>
      <c r="L1746" s="1"/>
      <c r="M1746" s="1"/>
      <c r="N1746" s="1"/>
      <c r="O1746" s="1"/>
      <c r="P1746" s="1"/>
      <c r="Q1746" s="1"/>
      <c r="R1746" s="1"/>
      <c r="S1746" s="1"/>
    </row>
    <row r="1747" spans="1:19" ht="33.75" customHeight="1">
      <c r="A1747" s="1" t="s">
        <v>4837</v>
      </c>
      <c r="B1747" s="1" t="s">
        <v>3929</v>
      </c>
      <c r="C1747" s="1">
        <v>21</v>
      </c>
      <c r="D1747" s="4">
        <v>39942.757638888892</v>
      </c>
      <c r="E1747" s="1" t="s">
        <v>320</v>
      </c>
      <c r="F1747" s="1"/>
      <c r="G1747" s="1"/>
      <c r="H1747" s="1"/>
      <c r="I1747" s="1"/>
      <c r="J1747" s="1"/>
      <c r="K1747" s="1"/>
      <c r="L1747" s="1"/>
      <c r="M1747" s="1"/>
      <c r="N1747" s="1"/>
      <c r="O1747" s="1"/>
      <c r="P1747" s="1"/>
      <c r="Q1747" s="1"/>
      <c r="R1747" s="1"/>
      <c r="S1747" s="1"/>
    </row>
    <row r="1748" spans="1:19" ht="33.75" customHeight="1">
      <c r="A1748" s="1" t="s">
        <v>4839</v>
      </c>
      <c r="B1748" s="1" t="s">
        <v>3929</v>
      </c>
      <c r="C1748" s="1">
        <v>21</v>
      </c>
      <c r="D1748" s="4">
        <v>39942.759027777778</v>
      </c>
      <c r="E1748" s="1" t="s">
        <v>4829</v>
      </c>
      <c r="F1748" s="1"/>
      <c r="G1748" s="1"/>
      <c r="H1748" s="1"/>
      <c r="I1748" s="1"/>
      <c r="J1748" s="1"/>
      <c r="K1748" s="1"/>
      <c r="L1748" s="1"/>
      <c r="M1748" s="1"/>
      <c r="N1748" s="1"/>
      <c r="O1748" s="1"/>
      <c r="P1748" s="1"/>
      <c r="Q1748" s="1"/>
      <c r="R1748" s="1"/>
      <c r="S1748" s="1"/>
    </row>
    <row r="1749" spans="1:19" ht="33.75" customHeight="1">
      <c r="A1749" s="1" t="s">
        <v>4841</v>
      </c>
      <c r="B1749" s="1" t="s">
        <v>3929</v>
      </c>
      <c r="C1749" s="1">
        <v>21</v>
      </c>
      <c r="D1749" s="4">
        <v>39942.769444444442</v>
      </c>
      <c r="E1749" s="1" t="s">
        <v>320</v>
      </c>
      <c r="F1749" s="1"/>
      <c r="G1749" s="1"/>
      <c r="H1749" s="1"/>
      <c r="I1749" s="1"/>
      <c r="J1749" s="1"/>
      <c r="K1749" s="1"/>
      <c r="L1749" s="1"/>
      <c r="M1749" s="1"/>
      <c r="N1749" s="1"/>
      <c r="O1749" s="1"/>
      <c r="P1749" s="1"/>
      <c r="Q1749" s="1"/>
      <c r="R1749" s="1"/>
      <c r="S1749" s="1"/>
    </row>
    <row r="1750" spans="1:19" ht="33.75" customHeight="1">
      <c r="A1750" s="1" t="s">
        <v>4844</v>
      </c>
      <c r="B1750" s="1" t="s">
        <v>3929</v>
      </c>
      <c r="C1750" s="1">
        <v>21</v>
      </c>
      <c r="D1750" s="4">
        <v>39942.925694444442</v>
      </c>
      <c r="E1750" s="1" t="s">
        <v>320</v>
      </c>
      <c r="F1750" s="1"/>
      <c r="G1750" s="1"/>
      <c r="H1750" s="1"/>
      <c r="I1750" s="1"/>
      <c r="J1750" s="1"/>
      <c r="K1750" s="1"/>
      <c r="L1750" s="1"/>
      <c r="M1750" s="1"/>
      <c r="N1750" s="1"/>
      <c r="O1750" s="1"/>
      <c r="P1750" s="1"/>
      <c r="Q1750" s="1"/>
      <c r="R1750" s="1"/>
      <c r="S1750" s="1"/>
    </row>
    <row r="1751" spans="1:19" ht="33.75" customHeight="1">
      <c r="A1751" s="1" t="s">
        <v>4846</v>
      </c>
      <c r="B1751" s="1" t="s">
        <v>3929</v>
      </c>
      <c r="C1751" s="1">
        <v>21</v>
      </c>
      <c r="D1751" s="4">
        <v>39943.755555555559</v>
      </c>
      <c r="E1751" s="1" t="s">
        <v>14</v>
      </c>
      <c r="F1751" s="1"/>
      <c r="G1751" s="1"/>
      <c r="H1751" s="1"/>
      <c r="I1751" s="1"/>
      <c r="J1751" s="1"/>
      <c r="K1751" s="1"/>
      <c r="L1751" s="1"/>
      <c r="M1751" s="1"/>
      <c r="N1751" s="1"/>
      <c r="O1751" s="1"/>
      <c r="P1751" s="1"/>
      <c r="Q1751" s="1"/>
      <c r="R1751" s="1"/>
      <c r="S1751" s="1"/>
    </row>
    <row r="1752" spans="1:19" ht="33.75" customHeight="1">
      <c r="A1752" s="1" t="s">
        <v>4849</v>
      </c>
      <c r="B1752" s="1" t="s">
        <v>3929</v>
      </c>
      <c r="C1752" s="1">
        <v>21</v>
      </c>
      <c r="D1752" s="4">
        <v>39944.050000000003</v>
      </c>
      <c r="E1752" s="1" t="s">
        <v>320</v>
      </c>
      <c r="F1752" s="1"/>
      <c r="G1752" s="1"/>
      <c r="H1752" s="1"/>
      <c r="I1752" s="1"/>
      <c r="J1752" s="1"/>
      <c r="K1752" s="1"/>
      <c r="L1752" s="1"/>
      <c r="M1752" s="1"/>
      <c r="N1752" s="1"/>
      <c r="O1752" s="1"/>
      <c r="P1752" s="1"/>
      <c r="Q1752" s="1"/>
      <c r="R1752" s="1"/>
      <c r="S1752" s="1"/>
    </row>
    <row r="1753" spans="1:19" ht="33.75" customHeight="1">
      <c r="A1753" s="1" t="s">
        <v>4852</v>
      </c>
      <c r="B1753" s="1" t="s">
        <v>3929</v>
      </c>
      <c r="C1753" s="1">
        <v>21</v>
      </c>
      <c r="D1753" s="4">
        <v>39947.938194444447</v>
      </c>
      <c r="E1753" s="1" t="s">
        <v>320</v>
      </c>
      <c r="F1753" s="1"/>
      <c r="G1753" s="1"/>
      <c r="H1753" s="1"/>
      <c r="I1753" s="1"/>
      <c r="J1753" s="1"/>
      <c r="K1753" s="1"/>
      <c r="L1753" s="1"/>
      <c r="M1753" s="1"/>
      <c r="N1753" s="1"/>
      <c r="O1753" s="1"/>
      <c r="P1753" s="1"/>
      <c r="Q1753" s="1"/>
      <c r="R1753" s="1"/>
      <c r="S1753" s="1"/>
    </row>
    <row r="1754" spans="1:19" ht="33.75" customHeight="1">
      <c r="A1754" s="1" t="s">
        <v>4854</v>
      </c>
      <c r="B1754" s="1" t="s">
        <v>4460</v>
      </c>
      <c r="C1754" s="1">
        <v>23</v>
      </c>
      <c r="D1754" s="4">
        <v>39948.254166666666</v>
      </c>
      <c r="E1754" s="1" t="s">
        <v>1887</v>
      </c>
      <c r="F1754" s="1"/>
      <c r="G1754" s="1"/>
      <c r="H1754" s="1"/>
      <c r="I1754" s="1"/>
      <c r="J1754" s="1"/>
      <c r="K1754" s="1"/>
      <c r="L1754" s="1"/>
      <c r="M1754" s="1"/>
      <c r="N1754" s="1"/>
      <c r="O1754" s="1"/>
      <c r="P1754" s="1"/>
      <c r="Q1754" s="1"/>
      <c r="R1754" s="1"/>
      <c r="S1754" s="1"/>
    </row>
    <row r="1755" spans="1:19" ht="33.75" customHeight="1">
      <c r="A1755" s="1" t="s">
        <v>4857</v>
      </c>
      <c r="B1755" s="1" t="s">
        <v>4460</v>
      </c>
      <c r="C1755" s="1">
        <v>23</v>
      </c>
      <c r="D1755" s="4">
        <v>39948.362500000003</v>
      </c>
      <c r="E1755" s="1" t="s">
        <v>54</v>
      </c>
      <c r="F1755" s="1"/>
      <c r="G1755" s="1"/>
      <c r="H1755" s="1"/>
      <c r="I1755" s="1"/>
      <c r="J1755" s="1"/>
      <c r="K1755" s="1"/>
      <c r="L1755" s="1"/>
      <c r="M1755" s="1"/>
      <c r="N1755" s="1"/>
      <c r="O1755" s="1"/>
      <c r="P1755" s="1"/>
      <c r="Q1755" s="1"/>
      <c r="R1755" s="1"/>
      <c r="S1755" s="1"/>
    </row>
    <row r="1756" spans="1:19" ht="33.75" customHeight="1">
      <c r="A1756" s="1" t="s">
        <v>4860</v>
      </c>
      <c r="B1756" s="1" t="s">
        <v>4460</v>
      </c>
      <c r="C1756" s="1">
        <v>23</v>
      </c>
      <c r="D1756" s="4">
        <v>39948.724305555559</v>
      </c>
      <c r="E1756" s="1" t="s">
        <v>1887</v>
      </c>
      <c r="F1756" s="1"/>
      <c r="G1756" s="1"/>
      <c r="H1756" s="1"/>
      <c r="I1756" s="1"/>
      <c r="J1756" s="1"/>
      <c r="K1756" s="1"/>
      <c r="L1756" s="1"/>
      <c r="M1756" s="1"/>
      <c r="N1756" s="1"/>
      <c r="O1756" s="1"/>
      <c r="P1756" s="1"/>
      <c r="Q1756" s="1"/>
      <c r="R1756" s="1"/>
      <c r="S1756" s="1"/>
    </row>
    <row r="1757" spans="1:19" ht="33.75" customHeight="1">
      <c r="A1757" s="1" t="s">
        <v>4863</v>
      </c>
      <c r="B1757" s="1" t="s">
        <v>3929</v>
      </c>
      <c r="C1757" s="1">
        <v>21</v>
      </c>
      <c r="D1757" s="4">
        <v>39948.95208333333</v>
      </c>
      <c r="E1757" s="1" t="s">
        <v>320</v>
      </c>
      <c r="F1757" s="1"/>
      <c r="G1757" s="1"/>
      <c r="H1757" s="1"/>
      <c r="I1757" s="1"/>
      <c r="J1757" s="1"/>
      <c r="K1757" s="1"/>
      <c r="L1757" s="1"/>
      <c r="M1757" s="1"/>
      <c r="N1757" s="1"/>
      <c r="O1757" s="1"/>
      <c r="P1757" s="1"/>
      <c r="Q1757" s="1"/>
      <c r="R1757" s="1"/>
      <c r="S1757" s="1"/>
    </row>
    <row r="1758" spans="1:19" ht="33.75" customHeight="1">
      <c r="A1758" s="1" t="s">
        <v>4865</v>
      </c>
      <c r="B1758" s="1" t="s">
        <v>3929</v>
      </c>
      <c r="C1758" s="1">
        <v>21</v>
      </c>
      <c r="D1758" s="4">
        <v>39949.13958333333</v>
      </c>
      <c r="E1758" s="1" t="s">
        <v>196</v>
      </c>
      <c r="F1758" s="1"/>
      <c r="G1758" s="1"/>
      <c r="H1758" s="1"/>
      <c r="I1758" s="1"/>
      <c r="J1758" s="1"/>
      <c r="K1758" s="1"/>
      <c r="L1758" s="1"/>
      <c r="M1758" s="1"/>
      <c r="N1758" s="1"/>
      <c r="O1758" s="1"/>
      <c r="P1758" s="1"/>
      <c r="Q1758" s="1"/>
      <c r="R1758" s="1"/>
      <c r="S1758" s="1"/>
    </row>
    <row r="1759" spans="1:19" ht="33.75" customHeight="1">
      <c r="A1759" s="1" t="s">
        <v>4867</v>
      </c>
      <c r="B1759" s="1" t="s">
        <v>3929</v>
      </c>
      <c r="C1759" s="1">
        <v>21</v>
      </c>
      <c r="D1759" s="4">
        <v>39949.813194444447</v>
      </c>
      <c r="E1759" s="1" t="s">
        <v>196</v>
      </c>
      <c r="F1759" s="1"/>
      <c r="G1759" s="1"/>
      <c r="H1759" s="1"/>
      <c r="I1759" s="1"/>
      <c r="J1759" s="1"/>
      <c r="K1759" s="1"/>
      <c r="L1759" s="1"/>
      <c r="M1759" s="1"/>
      <c r="N1759" s="1"/>
      <c r="O1759" s="1"/>
      <c r="P1759" s="1"/>
      <c r="Q1759" s="1"/>
      <c r="R1759" s="1"/>
      <c r="S1759" s="1"/>
    </row>
    <row r="1760" spans="1:19" ht="33.75" customHeight="1">
      <c r="A1760" s="1" t="s">
        <v>4870</v>
      </c>
      <c r="B1760" s="1" t="s">
        <v>4460</v>
      </c>
      <c r="C1760" s="1">
        <v>23</v>
      </c>
      <c r="D1760" s="4">
        <v>39950.456944444442</v>
      </c>
      <c r="E1760" s="1" t="s">
        <v>772</v>
      </c>
      <c r="F1760" s="1"/>
      <c r="G1760" s="1"/>
      <c r="H1760" s="1"/>
      <c r="I1760" s="1"/>
      <c r="J1760" s="1"/>
      <c r="K1760" s="1"/>
      <c r="L1760" s="1"/>
      <c r="M1760" s="1"/>
      <c r="N1760" s="1"/>
      <c r="O1760" s="1"/>
      <c r="P1760" s="1"/>
      <c r="Q1760" s="1"/>
      <c r="R1760" s="1"/>
      <c r="S1760" s="1"/>
    </row>
    <row r="1761" spans="1:19" ht="33.75" customHeight="1">
      <c r="A1761" s="1" t="s">
        <v>4873</v>
      </c>
      <c r="B1761" s="1" t="s">
        <v>4460</v>
      </c>
      <c r="C1761" s="1">
        <v>23</v>
      </c>
      <c r="D1761" s="4">
        <v>39951.279861111114</v>
      </c>
      <c r="E1761" s="1" t="s">
        <v>84</v>
      </c>
      <c r="F1761" s="1"/>
      <c r="G1761" s="1"/>
      <c r="H1761" s="1"/>
      <c r="I1761" s="1"/>
      <c r="J1761" s="1"/>
      <c r="K1761" s="1"/>
      <c r="L1761" s="1"/>
      <c r="M1761" s="1"/>
      <c r="N1761" s="1"/>
      <c r="O1761" s="1"/>
      <c r="P1761" s="1"/>
      <c r="Q1761" s="1"/>
      <c r="R1761" s="1"/>
      <c r="S1761" s="1"/>
    </row>
    <row r="1762" spans="1:19" ht="33.75" customHeight="1">
      <c r="A1762" s="1" t="s">
        <v>4875</v>
      </c>
      <c r="B1762" s="1" t="s">
        <v>4460</v>
      </c>
      <c r="C1762" s="1">
        <v>23</v>
      </c>
      <c r="D1762" s="4">
        <v>39951.284722222219</v>
      </c>
      <c r="E1762" s="1" t="s">
        <v>84</v>
      </c>
      <c r="F1762" s="1"/>
      <c r="G1762" s="1"/>
      <c r="H1762" s="1"/>
      <c r="I1762" s="1"/>
      <c r="J1762" s="1"/>
      <c r="K1762" s="1"/>
      <c r="L1762" s="1"/>
      <c r="M1762" s="1"/>
      <c r="N1762" s="1"/>
      <c r="O1762" s="1"/>
      <c r="P1762" s="1"/>
      <c r="Q1762" s="1"/>
      <c r="R1762" s="1"/>
      <c r="S1762" s="1"/>
    </row>
    <row r="1763" spans="1:19" ht="33.75" customHeight="1">
      <c r="A1763" s="1" t="s">
        <v>4878</v>
      </c>
      <c r="B1763" s="1" t="s">
        <v>4460</v>
      </c>
      <c r="C1763" s="1">
        <v>23</v>
      </c>
      <c r="D1763" s="4">
        <v>39951.463194444441</v>
      </c>
      <c r="E1763" s="1" t="s">
        <v>84</v>
      </c>
      <c r="F1763" s="1"/>
      <c r="G1763" s="1"/>
      <c r="H1763" s="1"/>
      <c r="I1763" s="1"/>
      <c r="J1763" s="1"/>
      <c r="K1763" s="1"/>
      <c r="L1763" s="1"/>
      <c r="M1763" s="1"/>
      <c r="N1763" s="1"/>
      <c r="O1763" s="1"/>
      <c r="P1763" s="1"/>
      <c r="Q1763" s="1"/>
      <c r="R1763" s="1"/>
      <c r="S1763" s="1"/>
    </row>
    <row r="1764" spans="1:19" ht="33.75" customHeight="1">
      <c r="A1764" s="1" t="s">
        <v>4880</v>
      </c>
      <c r="B1764" s="1" t="s">
        <v>4460</v>
      </c>
      <c r="C1764" s="1">
        <v>23</v>
      </c>
      <c r="D1764" s="4">
        <v>39951.46875</v>
      </c>
      <c r="E1764" s="1" t="s">
        <v>84</v>
      </c>
      <c r="F1764" s="1"/>
      <c r="G1764" s="1"/>
      <c r="H1764" s="1"/>
      <c r="I1764" s="1"/>
      <c r="J1764" s="1"/>
      <c r="K1764" s="1"/>
      <c r="L1764" s="1"/>
      <c r="M1764" s="1"/>
      <c r="N1764" s="1"/>
      <c r="O1764" s="1"/>
      <c r="P1764" s="1"/>
      <c r="Q1764" s="1"/>
      <c r="R1764" s="1"/>
      <c r="S1764" s="1"/>
    </row>
    <row r="1765" spans="1:19" ht="33.75" customHeight="1">
      <c r="A1765" s="1" t="s">
        <v>4882</v>
      </c>
      <c r="B1765" s="1" t="s">
        <v>3929</v>
      </c>
      <c r="C1765" s="1">
        <v>21</v>
      </c>
      <c r="D1765" s="4">
        <v>39951.92083333333</v>
      </c>
      <c r="E1765" s="1" t="s">
        <v>320</v>
      </c>
      <c r="F1765" s="1"/>
      <c r="G1765" s="1"/>
      <c r="H1765" s="1"/>
      <c r="I1765" s="1"/>
      <c r="J1765" s="1"/>
      <c r="K1765" s="1"/>
      <c r="L1765" s="1"/>
      <c r="M1765" s="1"/>
      <c r="N1765" s="1"/>
      <c r="O1765" s="1"/>
      <c r="P1765" s="1"/>
      <c r="Q1765" s="1"/>
      <c r="R1765" s="1"/>
      <c r="S1765" s="1"/>
    </row>
    <row r="1766" spans="1:19" ht="33.75" customHeight="1">
      <c r="A1766" s="1" t="s">
        <v>4885</v>
      </c>
      <c r="B1766" s="1" t="s">
        <v>3929</v>
      </c>
      <c r="C1766" s="1">
        <v>21</v>
      </c>
      <c r="D1766" s="4">
        <v>39951.9375</v>
      </c>
      <c r="E1766" s="1" t="s">
        <v>14</v>
      </c>
      <c r="F1766" s="1"/>
      <c r="G1766" s="1"/>
      <c r="H1766" s="1"/>
      <c r="I1766" s="1"/>
      <c r="J1766" s="1"/>
      <c r="K1766" s="1"/>
      <c r="L1766" s="1"/>
      <c r="M1766" s="1"/>
      <c r="N1766" s="1"/>
      <c r="O1766" s="1"/>
      <c r="P1766" s="1"/>
      <c r="Q1766" s="1"/>
      <c r="R1766" s="1"/>
      <c r="S1766" s="1"/>
    </row>
    <row r="1767" spans="1:19" ht="33.75" customHeight="1">
      <c r="A1767" s="1" t="s">
        <v>4887</v>
      </c>
      <c r="B1767" s="1" t="s">
        <v>3929</v>
      </c>
      <c r="C1767" s="1">
        <v>21</v>
      </c>
      <c r="D1767" s="4">
        <v>39952.106249999997</v>
      </c>
      <c r="E1767" s="1" t="s">
        <v>320</v>
      </c>
      <c r="F1767" s="1"/>
      <c r="G1767" s="1"/>
      <c r="H1767" s="1"/>
      <c r="I1767" s="1"/>
      <c r="J1767" s="1"/>
      <c r="K1767" s="1"/>
      <c r="L1767" s="1"/>
      <c r="M1767" s="1"/>
      <c r="N1767" s="1"/>
      <c r="O1767" s="1"/>
      <c r="P1767" s="1"/>
      <c r="Q1767" s="1"/>
      <c r="R1767" s="1"/>
      <c r="S1767" s="1"/>
    </row>
    <row r="1768" spans="1:19" ht="33.75" customHeight="1">
      <c r="A1768" s="1" t="s">
        <v>4889</v>
      </c>
      <c r="B1768" s="1" t="s">
        <v>3929</v>
      </c>
      <c r="C1768" s="1">
        <v>21</v>
      </c>
      <c r="D1768" s="4">
        <v>39952.618750000001</v>
      </c>
      <c r="E1768" s="1" t="s">
        <v>320</v>
      </c>
      <c r="F1768" s="1"/>
      <c r="G1768" s="1"/>
      <c r="H1768" s="1"/>
      <c r="I1768" s="1"/>
      <c r="J1768" s="1"/>
      <c r="K1768" s="1"/>
      <c r="L1768" s="1"/>
      <c r="M1768" s="1"/>
      <c r="N1768" s="1"/>
      <c r="O1768" s="1"/>
      <c r="P1768" s="1"/>
      <c r="Q1768" s="1"/>
      <c r="R1768" s="1"/>
      <c r="S1768" s="1"/>
    </row>
    <row r="1769" spans="1:19" ht="33.75" customHeight="1">
      <c r="A1769" s="1" t="s">
        <v>4892</v>
      </c>
      <c r="B1769" s="1" t="s">
        <v>3929</v>
      </c>
      <c r="C1769" s="1">
        <v>21</v>
      </c>
      <c r="D1769" s="4">
        <v>39953.51458333333</v>
      </c>
      <c r="E1769" s="1" t="s">
        <v>14</v>
      </c>
      <c r="F1769" s="1"/>
      <c r="G1769" s="1"/>
      <c r="H1769" s="1"/>
      <c r="I1769" s="1"/>
      <c r="J1769" s="1"/>
      <c r="K1769" s="1"/>
      <c r="L1769" s="1"/>
      <c r="M1769" s="1"/>
      <c r="N1769" s="1"/>
      <c r="O1769" s="1"/>
      <c r="P1769" s="1"/>
      <c r="Q1769" s="1"/>
      <c r="R1769" s="1"/>
      <c r="S1769" s="1"/>
    </row>
    <row r="1770" spans="1:19" ht="33.75" customHeight="1">
      <c r="A1770" s="1" t="s">
        <v>4895</v>
      </c>
      <c r="B1770" s="1" t="s">
        <v>3929</v>
      </c>
      <c r="C1770" s="1">
        <v>21</v>
      </c>
      <c r="D1770" s="4">
        <v>39954.261111111111</v>
      </c>
      <c r="E1770" s="1" t="s">
        <v>320</v>
      </c>
      <c r="F1770" s="1"/>
      <c r="G1770" s="1"/>
      <c r="H1770" s="1"/>
      <c r="I1770" s="1"/>
      <c r="J1770" s="1"/>
      <c r="K1770" s="1"/>
      <c r="L1770" s="1"/>
      <c r="M1770" s="1"/>
      <c r="N1770" s="1"/>
      <c r="O1770" s="1"/>
      <c r="P1770" s="1"/>
      <c r="Q1770" s="1"/>
      <c r="R1770" s="1"/>
      <c r="S1770" s="1"/>
    </row>
    <row r="1771" spans="1:19" ht="33.75" customHeight="1">
      <c r="A1771" s="1" t="s">
        <v>4897</v>
      </c>
      <c r="B1771" s="1" t="s">
        <v>3929</v>
      </c>
      <c r="C1771" s="1">
        <v>21</v>
      </c>
      <c r="D1771" s="4">
        <v>39954.42083333333</v>
      </c>
      <c r="E1771" s="1" t="s">
        <v>14</v>
      </c>
      <c r="F1771" s="1"/>
      <c r="G1771" s="1"/>
      <c r="H1771" s="1"/>
      <c r="I1771" s="1"/>
      <c r="J1771" s="1"/>
      <c r="K1771" s="1"/>
      <c r="L1771" s="1"/>
      <c r="M1771" s="1"/>
      <c r="N1771" s="1"/>
      <c r="O1771" s="1"/>
      <c r="P1771" s="1"/>
      <c r="Q1771" s="1"/>
      <c r="R1771" s="1"/>
      <c r="S1771" s="1"/>
    </row>
    <row r="1772" spans="1:19" ht="33.75" customHeight="1">
      <c r="A1772" s="1" t="s">
        <v>4899</v>
      </c>
      <c r="B1772" s="1" t="s">
        <v>3929</v>
      </c>
      <c r="C1772" s="1">
        <v>21</v>
      </c>
      <c r="D1772" s="4">
        <v>39954.476388888892</v>
      </c>
      <c r="E1772" s="1" t="s">
        <v>14</v>
      </c>
      <c r="F1772" s="1"/>
      <c r="G1772" s="1"/>
      <c r="H1772" s="1"/>
      <c r="I1772" s="1"/>
      <c r="J1772" s="1"/>
      <c r="K1772" s="1"/>
      <c r="L1772" s="1"/>
      <c r="M1772" s="1"/>
      <c r="N1772" s="1"/>
      <c r="O1772" s="1"/>
      <c r="P1772" s="1"/>
      <c r="Q1772" s="1"/>
      <c r="R1772" s="1"/>
      <c r="S1772" s="1"/>
    </row>
    <row r="1773" spans="1:19" ht="33.75" customHeight="1">
      <c r="A1773" s="1" t="s">
        <v>4901</v>
      </c>
      <c r="B1773" s="1" t="s">
        <v>3929</v>
      </c>
      <c r="C1773" s="1">
        <v>21</v>
      </c>
      <c r="D1773" s="4">
        <v>39954.661805555559</v>
      </c>
      <c r="E1773" s="1" t="s">
        <v>320</v>
      </c>
      <c r="F1773" s="1"/>
      <c r="G1773" s="1"/>
      <c r="H1773" s="1"/>
      <c r="I1773" s="1"/>
      <c r="J1773" s="1"/>
      <c r="K1773" s="1"/>
      <c r="L1773" s="1"/>
      <c r="M1773" s="1"/>
      <c r="N1773" s="1"/>
      <c r="O1773" s="1"/>
      <c r="P1773" s="1"/>
      <c r="Q1773" s="1"/>
      <c r="R1773" s="1"/>
      <c r="S1773" s="1"/>
    </row>
    <row r="1774" spans="1:19" ht="33.75" customHeight="1">
      <c r="A1774" s="1" t="s">
        <v>4903</v>
      </c>
      <c r="B1774" s="1" t="s">
        <v>4904</v>
      </c>
      <c r="C1774" s="1">
        <v>25</v>
      </c>
      <c r="D1774" s="4">
        <v>39955.761805555558</v>
      </c>
      <c r="E1774" s="1" t="s">
        <v>54</v>
      </c>
      <c r="F1774" s="1"/>
      <c r="G1774" s="1"/>
      <c r="H1774" s="1"/>
      <c r="I1774" s="1"/>
      <c r="J1774" s="1"/>
      <c r="K1774" s="1"/>
      <c r="L1774" s="1"/>
      <c r="M1774" s="1"/>
      <c r="N1774" s="1"/>
      <c r="O1774" s="1"/>
      <c r="P1774" s="1"/>
      <c r="Q1774" s="1"/>
      <c r="R1774" s="1"/>
      <c r="S1774" s="1"/>
    </row>
    <row r="1775" spans="1:19" ht="33.75" customHeight="1">
      <c r="A1775" s="1" t="s">
        <v>12</v>
      </c>
      <c r="B1775" s="1" t="s">
        <v>4904</v>
      </c>
      <c r="C1775" s="1">
        <v>25</v>
      </c>
      <c r="D1775" s="4">
        <v>39956.087476851855</v>
      </c>
      <c r="E1775" s="1" t="s">
        <v>175</v>
      </c>
      <c r="F1775" s="1"/>
      <c r="G1775" s="1"/>
      <c r="H1775" s="1"/>
      <c r="I1775" s="1"/>
      <c r="J1775" s="1"/>
      <c r="K1775" s="1"/>
      <c r="L1775" s="1"/>
      <c r="M1775" s="1"/>
      <c r="N1775" s="1"/>
      <c r="O1775" s="1"/>
      <c r="P1775" s="1"/>
      <c r="Q1775" s="1"/>
      <c r="R1775" s="1"/>
      <c r="S1775" s="1"/>
    </row>
    <row r="1776" spans="1:19" ht="33.75" customHeight="1">
      <c r="A1776" s="1" t="s">
        <v>4908</v>
      </c>
      <c r="B1776" s="1" t="s">
        <v>4460</v>
      </c>
      <c r="C1776" s="1">
        <v>23</v>
      </c>
      <c r="D1776" s="4">
        <v>39956.445833333331</v>
      </c>
      <c r="E1776" s="1" t="s">
        <v>760</v>
      </c>
      <c r="F1776" s="1"/>
      <c r="G1776" s="1"/>
      <c r="H1776" s="1"/>
      <c r="I1776" s="1"/>
      <c r="J1776" s="1"/>
      <c r="K1776" s="1"/>
      <c r="L1776" s="1"/>
      <c r="M1776" s="1"/>
      <c r="N1776" s="1"/>
      <c r="O1776" s="1"/>
      <c r="P1776" s="1"/>
      <c r="Q1776" s="1"/>
      <c r="R1776" s="1"/>
      <c r="S1776" s="1"/>
    </row>
    <row r="1777" spans="1:19" ht="33.75" customHeight="1">
      <c r="A1777" s="1" t="s">
        <v>4911</v>
      </c>
      <c r="B1777" s="1" t="s">
        <v>4904</v>
      </c>
      <c r="C1777" s="1">
        <v>25</v>
      </c>
      <c r="D1777" s="4">
        <v>39956.68472222222</v>
      </c>
      <c r="E1777" s="1" t="s">
        <v>772</v>
      </c>
      <c r="F1777" s="1"/>
      <c r="G1777" s="1"/>
      <c r="H1777" s="1"/>
      <c r="I1777" s="1"/>
      <c r="J1777" s="1"/>
      <c r="K1777" s="1"/>
      <c r="L1777" s="1"/>
      <c r="M1777" s="1"/>
      <c r="N1777" s="1"/>
      <c r="O1777" s="1"/>
      <c r="P1777" s="1"/>
      <c r="Q1777" s="1"/>
      <c r="R1777" s="1"/>
      <c r="S1777" s="1"/>
    </row>
    <row r="1778" spans="1:19" ht="33.75" customHeight="1">
      <c r="A1778" s="1" t="s">
        <v>4914</v>
      </c>
      <c r="B1778" s="1" t="s">
        <v>4904</v>
      </c>
      <c r="C1778" s="1">
        <v>25</v>
      </c>
      <c r="D1778" s="4">
        <v>39956.73333333333</v>
      </c>
      <c r="E1778" s="1" t="s">
        <v>54</v>
      </c>
      <c r="F1778" s="1"/>
      <c r="G1778" s="1"/>
      <c r="H1778" s="1"/>
      <c r="I1778" s="1"/>
      <c r="J1778" s="1"/>
      <c r="K1778" s="1"/>
      <c r="L1778" s="1"/>
      <c r="M1778" s="1"/>
      <c r="N1778" s="1"/>
      <c r="O1778" s="1"/>
      <c r="P1778" s="1"/>
      <c r="Q1778" s="1"/>
      <c r="R1778" s="1"/>
      <c r="S1778" s="1"/>
    </row>
    <row r="1779" spans="1:19" ht="33.75" customHeight="1">
      <c r="A1779" s="1" t="s">
        <v>4917</v>
      </c>
      <c r="B1779" s="1" t="s">
        <v>4904</v>
      </c>
      <c r="C1779" s="1">
        <v>25</v>
      </c>
      <c r="D1779" s="4">
        <v>39956.745833333334</v>
      </c>
      <c r="E1779" s="1" t="s">
        <v>54</v>
      </c>
      <c r="F1779" s="1"/>
      <c r="G1779" s="1"/>
      <c r="H1779" s="1"/>
      <c r="I1779" s="1"/>
      <c r="J1779" s="1"/>
      <c r="K1779" s="1"/>
      <c r="L1779" s="1"/>
      <c r="M1779" s="1"/>
      <c r="N1779" s="1"/>
      <c r="O1779" s="1"/>
      <c r="P1779" s="1"/>
      <c r="Q1779" s="1"/>
      <c r="R1779" s="1"/>
      <c r="S1779" s="1"/>
    </row>
    <row r="1780" spans="1:19" ht="33.75" customHeight="1">
      <c r="A1780" s="1" t="s">
        <v>4919</v>
      </c>
      <c r="B1780" s="1" t="s">
        <v>4904</v>
      </c>
      <c r="C1780" s="1">
        <v>25</v>
      </c>
      <c r="D1780" s="4">
        <v>39956.792361111111</v>
      </c>
      <c r="E1780" s="1" t="s">
        <v>54</v>
      </c>
      <c r="F1780" s="1"/>
      <c r="G1780" s="1"/>
      <c r="H1780" s="1"/>
      <c r="I1780" s="1"/>
      <c r="J1780" s="1"/>
      <c r="K1780" s="1"/>
      <c r="L1780" s="1"/>
      <c r="M1780" s="1"/>
      <c r="N1780" s="1"/>
      <c r="O1780" s="1"/>
      <c r="P1780" s="1"/>
      <c r="Q1780" s="1"/>
      <c r="R1780" s="1"/>
      <c r="S1780" s="1"/>
    </row>
    <row r="1781" spans="1:19" ht="33.75" customHeight="1">
      <c r="A1781" s="1" t="s">
        <v>4922</v>
      </c>
      <c r="B1781" s="1" t="s">
        <v>4904</v>
      </c>
      <c r="C1781" s="1">
        <v>25</v>
      </c>
      <c r="D1781" s="4">
        <v>39957.578472222223</v>
      </c>
      <c r="E1781" s="1" t="s">
        <v>54</v>
      </c>
      <c r="F1781" s="1"/>
      <c r="G1781" s="1"/>
      <c r="H1781" s="1"/>
      <c r="I1781" s="1"/>
      <c r="J1781" s="1"/>
      <c r="K1781" s="1"/>
      <c r="L1781" s="1"/>
      <c r="M1781" s="1"/>
      <c r="N1781" s="1"/>
      <c r="O1781" s="1"/>
      <c r="P1781" s="1"/>
      <c r="Q1781" s="1"/>
      <c r="R1781" s="1"/>
      <c r="S1781" s="1"/>
    </row>
    <row r="1782" spans="1:19" ht="33.75" customHeight="1">
      <c r="A1782" s="1" t="s">
        <v>4925</v>
      </c>
      <c r="B1782" s="1" t="s">
        <v>4904</v>
      </c>
      <c r="C1782" s="1">
        <v>25</v>
      </c>
      <c r="D1782" s="4">
        <v>39957.579861111109</v>
      </c>
      <c r="E1782" s="1" t="s">
        <v>772</v>
      </c>
      <c r="F1782" s="1"/>
      <c r="G1782" s="1"/>
      <c r="H1782" s="1"/>
      <c r="I1782" s="1"/>
      <c r="J1782" s="1"/>
      <c r="K1782" s="1"/>
      <c r="L1782" s="1"/>
      <c r="M1782" s="1"/>
      <c r="N1782" s="1"/>
      <c r="O1782" s="1"/>
      <c r="P1782" s="1"/>
      <c r="Q1782" s="1"/>
      <c r="R1782" s="1"/>
      <c r="S1782" s="1"/>
    </row>
    <row r="1783" spans="1:19" ht="33.75" customHeight="1">
      <c r="A1783" s="1" t="s">
        <v>4928</v>
      </c>
      <c r="B1783" s="1" t="s">
        <v>4904</v>
      </c>
      <c r="C1783" s="1">
        <v>25</v>
      </c>
      <c r="D1783" s="4">
        <v>39957.591666666667</v>
      </c>
      <c r="E1783" s="1" t="s">
        <v>772</v>
      </c>
      <c r="F1783" s="1"/>
      <c r="G1783" s="1"/>
      <c r="H1783" s="1"/>
      <c r="I1783" s="1"/>
      <c r="J1783" s="1"/>
      <c r="K1783" s="1"/>
      <c r="L1783" s="1"/>
      <c r="M1783" s="1"/>
      <c r="N1783" s="1"/>
      <c r="O1783" s="1"/>
      <c r="P1783" s="1"/>
      <c r="Q1783" s="1"/>
      <c r="R1783" s="1"/>
      <c r="S1783" s="1"/>
    </row>
    <row r="1784" spans="1:19" ht="33.75" customHeight="1">
      <c r="A1784" s="1" t="s">
        <v>4930</v>
      </c>
      <c r="B1784" s="1" t="s">
        <v>4904</v>
      </c>
      <c r="C1784" s="1">
        <v>25</v>
      </c>
      <c r="D1784" s="4">
        <v>39957.618750000001</v>
      </c>
      <c r="E1784" s="1" t="s">
        <v>2893</v>
      </c>
      <c r="F1784" s="1"/>
      <c r="G1784" s="1"/>
      <c r="H1784" s="1"/>
      <c r="I1784" s="1"/>
      <c r="J1784" s="1"/>
      <c r="K1784" s="1"/>
      <c r="L1784" s="1"/>
      <c r="M1784" s="1"/>
      <c r="N1784" s="1"/>
      <c r="O1784" s="1"/>
      <c r="P1784" s="1"/>
      <c r="Q1784" s="1"/>
      <c r="R1784" s="1"/>
      <c r="S1784" s="1"/>
    </row>
    <row r="1785" spans="1:19" ht="33.75" customHeight="1">
      <c r="A1785" s="1" t="s">
        <v>4933</v>
      </c>
      <c r="B1785" s="1" t="s">
        <v>4904</v>
      </c>
      <c r="C1785" s="1">
        <v>25</v>
      </c>
      <c r="D1785" s="4">
        <v>39957.709027777775</v>
      </c>
      <c r="E1785" s="1" t="s">
        <v>54</v>
      </c>
      <c r="F1785" s="1"/>
      <c r="G1785" s="1"/>
      <c r="H1785" s="1"/>
      <c r="I1785" s="1"/>
      <c r="J1785" s="1"/>
      <c r="K1785" s="1"/>
      <c r="L1785" s="1"/>
      <c r="M1785" s="1"/>
      <c r="N1785" s="1"/>
      <c r="O1785" s="1"/>
      <c r="P1785" s="1"/>
      <c r="Q1785" s="1"/>
      <c r="R1785" s="1"/>
      <c r="S1785" s="1"/>
    </row>
    <row r="1786" spans="1:19" ht="33.75" customHeight="1">
      <c r="A1786" s="1" t="s">
        <v>4935</v>
      </c>
      <c r="B1786" s="1" t="s">
        <v>4904</v>
      </c>
      <c r="C1786" s="1">
        <v>25</v>
      </c>
      <c r="D1786" s="4">
        <v>39958.212500000001</v>
      </c>
      <c r="E1786" s="1" t="s">
        <v>2893</v>
      </c>
      <c r="F1786" s="1"/>
      <c r="G1786" s="1"/>
      <c r="H1786" s="1"/>
      <c r="I1786" s="1"/>
      <c r="J1786" s="1"/>
      <c r="K1786" s="1"/>
      <c r="L1786" s="1"/>
      <c r="M1786" s="1"/>
      <c r="N1786" s="1"/>
      <c r="O1786" s="1"/>
      <c r="P1786" s="1"/>
      <c r="Q1786" s="1"/>
      <c r="R1786" s="1"/>
      <c r="S1786" s="1"/>
    </row>
    <row r="1787" spans="1:19" ht="33.75" customHeight="1">
      <c r="A1787" s="1" t="s">
        <v>4938</v>
      </c>
      <c r="B1787" s="1" t="s">
        <v>3929</v>
      </c>
      <c r="C1787" s="1">
        <v>21</v>
      </c>
      <c r="D1787" s="4">
        <v>39958.243750000001</v>
      </c>
      <c r="E1787" s="1" t="s">
        <v>320</v>
      </c>
      <c r="F1787" s="1"/>
      <c r="G1787" s="1"/>
      <c r="H1787" s="1"/>
      <c r="I1787" s="1"/>
      <c r="J1787" s="1"/>
      <c r="K1787" s="1"/>
      <c r="L1787" s="1"/>
      <c r="M1787" s="1"/>
      <c r="N1787" s="1"/>
      <c r="O1787" s="1"/>
      <c r="P1787" s="1"/>
      <c r="Q1787" s="1"/>
      <c r="R1787" s="1"/>
      <c r="S1787" s="1"/>
    </row>
    <row r="1788" spans="1:19" ht="33.75" customHeight="1">
      <c r="A1788" s="1" t="s">
        <v>4941</v>
      </c>
      <c r="B1788" s="1" t="s">
        <v>4904</v>
      </c>
      <c r="C1788" s="1">
        <v>25</v>
      </c>
      <c r="D1788" s="4">
        <v>39958.256944444445</v>
      </c>
      <c r="E1788" s="1" t="s">
        <v>4942</v>
      </c>
      <c r="F1788" s="1"/>
      <c r="G1788" s="1"/>
      <c r="H1788" s="1"/>
      <c r="I1788" s="1"/>
      <c r="J1788" s="1"/>
      <c r="K1788" s="1"/>
      <c r="L1788" s="1"/>
      <c r="M1788" s="1"/>
      <c r="N1788" s="1"/>
      <c r="O1788" s="1"/>
      <c r="P1788" s="1"/>
      <c r="Q1788" s="1"/>
      <c r="R1788" s="1"/>
      <c r="S1788" s="1"/>
    </row>
    <row r="1789" spans="1:19" ht="33.75" customHeight="1">
      <c r="A1789" s="1" t="s">
        <v>4945</v>
      </c>
      <c r="B1789" s="1" t="s">
        <v>4904</v>
      </c>
      <c r="C1789" s="1">
        <v>25</v>
      </c>
      <c r="D1789" s="4">
        <v>39958.924305555556</v>
      </c>
      <c r="E1789" s="1" t="s">
        <v>54</v>
      </c>
      <c r="F1789" s="1"/>
      <c r="G1789" s="1"/>
      <c r="H1789" s="1"/>
      <c r="I1789" s="1"/>
      <c r="J1789" s="1"/>
      <c r="K1789" s="1"/>
      <c r="L1789" s="1"/>
      <c r="M1789" s="1"/>
      <c r="N1789" s="1"/>
      <c r="O1789" s="1"/>
      <c r="P1789" s="1"/>
      <c r="Q1789" s="1"/>
      <c r="R1789" s="1"/>
      <c r="S1789" s="1"/>
    </row>
    <row r="1790" spans="1:19" ht="33.75" customHeight="1">
      <c r="A1790" s="1" t="s">
        <v>4947</v>
      </c>
      <c r="B1790" s="1" t="s">
        <v>3255</v>
      </c>
      <c r="C1790" s="1">
        <v>19</v>
      </c>
      <c r="D1790" s="4">
        <v>39958.973611111112</v>
      </c>
      <c r="E1790" s="1" t="s">
        <v>4948</v>
      </c>
      <c r="F1790" s="1"/>
      <c r="G1790" s="1"/>
      <c r="H1790" s="1"/>
      <c r="I1790" s="1"/>
      <c r="J1790" s="1"/>
      <c r="K1790" s="1"/>
      <c r="L1790" s="1"/>
      <c r="M1790" s="1"/>
      <c r="N1790" s="1"/>
      <c r="O1790" s="1"/>
      <c r="P1790" s="1"/>
      <c r="Q1790" s="1"/>
      <c r="R1790" s="1"/>
      <c r="S1790" s="1"/>
    </row>
    <row r="1791" spans="1:19" ht="33.75" customHeight="1">
      <c r="A1791" s="1" t="s">
        <v>4952</v>
      </c>
      <c r="B1791" s="1" t="s">
        <v>3929</v>
      </c>
      <c r="C1791" s="1">
        <v>21</v>
      </c>
      <c r="D1791" s="4">
        <v>39959.49722222222</v>
      </c>
      <c r="E1791" s="1" t="s">
        <v>14</v>
      </c>
      <c r="F1791" s="1"/>
      <c r="G1791" s="1"/>
      <c r="H1791" s="1"/>
      <c r="I1791" s="1"/>
      <c r="J1791" s="1"/>
      <c r="K1791" s="1"/>
      <c r="L1791" s="1"/>
      <c r="M1791" s="1"/>
      <c r="N1791" s="1"/>
      <c r="O1791" s="1"/>
      <c r="P1791" s="1"/>
      <c r="Q1791" s="1"/>
      <c r="R1791" s="1"/>
      <c r="S1791" s="1"/>
    </row>
    <row r="1792" spans="1:19" ht="33.75" customHeight="1">
      <c r="A1792" s="1" t="s">
        <v>4954</v>
      </c>
      <c r="B1792" s="1" t="s">
        <v>4904</v>
      </c>
      <c r="C1792" s="1">
        <v>25</v>
      </c>
      <c r="D1792" s="4">
        <v>39959.545138888891</v>
      </c>
      <c r="E1792" s="1" t="s">
        <v>320</v>
      </c>
      <c r="F1792" s="1"/>
      <c r="G1792" s="1"/>
      <c r="H1792" s="1"/>
      <c r="I1792" s="1"/>
      <c r="J1792" s="1"/>
      <c r="K1792" s="1"/>
      <c r="L1792" s="1"/>
      <c r="M1792" s="1"/>
      <c r="N1792" s="1"/>
      <c r="O1792" s="1"/>
      <c r="P1792" s="1"/>
      <c r="Q1792" s="1"/>
      <c r="R1792" s="1"/>
      <c r="S1792" s="1"/>
    </row>
    <row r="1793" spans="1:19" ht="33.75" customHeight="1">
      <c r="A1793" s="1" t="s">
        <v>4957</v>
      </c>
      <c r="B1793" s="1" t="s">
        <v>4904</v>
      </c>
      <c r="C1793" s="1">
        <v>25</v>
      </c>
      <c r="D1793" s="4">
        <v>39960.340277777781</v>
      </c>
      <c r="E1793" s="1" t="s">
        <v>1089</v>
      </c>
      <c r="F1793" s="1"/>
      <c r="G1793" s="1"/>
      <c r="H1793" s="1"/>
      <c r="I1793" s="1"/>
      <c r="J1793" s="1"/>
      <c r="K1793" s="1"/>
      <c r="L1793" s="1"/>
      <c r="M1793" s="1"/>
      <c r="N1793" s="1"/>
      <c r="O1793" s="1"/>
      <c r="P1793" s="1"/>
      <c r="Q1793" s="1"/>
      <c r="R1793" s="1"/>
      <c r="S1793" s="1"/>
    </row>
    <row r="1794" spans="1:19" ht="33.75" customHeight="1">
      <c r="A1794" s="1" t="s">
        <v>4959</v>
      </c>
      <c r="B1794" s="1" t="s">
        <v>4904</v>
      </c>
      <c r="C1794" s="1">
        <v>25</v>
      </c>
      <c r="D1794" s="4">
        <v>39960.490972222222</v>
      </c>
      <c r="E1794" s="1" t="s">
        <v>54</v>
      </c>
      <c r="F1794" s="1"/>
      <c r="G1794" s="1"/>
      <c r="H1794" s="1"/>
      <c r="I1794" s="1"/>
      <c r="J1794" s="1"/>
      <c r="K1794" s="1"/>
      <c r="L1794" s="1"/>
      <c r="M1794" s="1"/>
      <c r="N1794" s="1"/>
      <c r="O1794" s="1"/>
      <c r="P1794" s="1"/>
      <c r="Q1794" s="1"/>
      <c r="R1794" s="1"/>
      <c r="S1794" s="1"/>
    </row>
    <row r="1795" spans="1:19" ht="33.75" customHeight="1">
      <c r="A1795" s="1" t="s">
        <v>4961</v>
      </c>
      <c r="B1795" s="1" t="s">
        <v>4904</v>
      </c>
      <c r="C1795" s="1">
        <v>25</v>
      </c>
      <c r="D1795" s="4">
        <v>39961.40347222222</v>
      </c>
      <c r="E1795" s="1" t="s">
        <v>772</v>
      </c>
      <c r="F1795" s="1"/>
      <c r="G1795" s="1"/>
      <c r="H1795" s="1"/>
      <c r="I1795" s="1"/>
      <c r="J1795" s="1"/>
      <c r="K1795" s="1"/>
      <c r="L1795" s="1"/>
      <c r="M1795" s="1"/>
      <c r="N1795" s="1"/>
      <c r="O1795" s="1"/>
      <c r="P1795" s="1"/>
      <c r="Q1795" s="1"/>
      <c r="R1795" s="1"/>
      <c r="S1795" s="1"/>
    </row>
    <row r="1796" spans="1:19" ht="33.75" customHeight="1">
      <c r="A1796" s="1" t="s">
        <v>4963</v>
      </c>
      <c r="B1796" s="1" t="s">
        <v>4904</v>
      </c>
      <c r="C1796" s="1">
        <v>25</v>
      </c>
      <c r="D1796" s="4">
        <v>39961.404861111114</v>
      </c>
      <c r="E1796" s="1" t="s">
        <v>772</v>
      </c>
      <c r="F1796" s="1"/>
      <c r="G1796" s="1"/>
      <c r="H1796" s="1"/>
      <c r="I1796" s="1"/>
      <c r="J1796" s="1"/>
      <c r="K1796" s="1"/>
      <c r="L1796" s="1"/>
      <c r="M1796" s="1"/>
      <c r="N1796" s="1"/>
      <c r="O1796" s="1"/>
      <c r="P1796" s="1"/>
      <c r="Q1796" s="1"/>
      <c r="R1796" s="1"/>
      <c r="S1796" s="1"/>
    </row>
    <row r="1797" spans="1:19" ht="33.75" customHeight="1">
      <c r="A1797" s="1" t="s">
        <v>4965</v>
      </c>
      <c r="B1797" s="1" t="s">
        <v>4904</v>
      </c>
      <c r="C1797" s="1">
        <v>25</v>
      </c>
      <c r="D1797" s="4">
        <v>39961.40625</v>
      </c>
      <c r="E1797" s="1" t="s">
        <v>772</v>
      </c>
      <c r="F1797" s="1"/>
      <c r="G1797" s="1"/>
      <c r="H1797" s="1"/>
      <c r="I1797" s="1"/>
      <c r="J1797" s="1"/>
      <c r="K1797" s="1"/>
      <c r="L1797" s="1"/>
      <c r="M1797" s="1"/>
      <c r="N1797" s="1"/>
      <c r="O1797" s="1"/>
      <c r="P1797" s="1"/>
      <c r="Q1797" s="1"/>
      <c r="R1797" s="1"/>
      <c r="S1797" s="1"/>
    </row>
    <row r="1798" spans="1:19" ht="33.75" customHeight="1">
      <c r="A1798" s="1" t="s">
        <v>4967</v>
      </c>
      <c r="B1798" s="1" t="s">
        <v>4904</v>
      </c>
      <c r="C1798" s="1">
        <v>25</v>
      </c>
      <c r="D1798" s="4">
        <v>39963.45416666667</v>
      </c>
      <c r="E1798" s="1" t="s">
        <v>772</v>
      </c>
      <c r="F1798" s="1"/>
      <c r="G1798" s="1"/>
      <c r="H1798" s="1"/>
      <c r="I1798" s="1"/>
      <c r="J1798" s="1"/>
      <c r="K1798" s="1"/>
      <c r="L1798" s="1"/>
      <c r="M1798" s="1"/>
      <c r="N1798" s="1"/>
      <c r="O1798" s="1"/>
      <c r="P1798" s="1"/>
      <c r="Q1798" s="1"/>
      <c r="R1798" s="1"/>
      <c r="S1798" s="1"/>
    </row>
    <row r="1799" spans="1:19" ht="33.75" customHeight="1">
      <c r="A1799" s="1" t="s">
        <v>4970</v>
      </c>
      <c r="B1799" s="1" t="s">
        <v>4904</v>
      </c>
      <c r="C1799" s="1">
        <v>25</v>
      </c>
      <c r="D1799" s="4">
        <v>39964.470833333333</v>
      </c>
      <c r="E1799" s="1" t="s">
        <v>772</v>
      </c>
      <c r="F1799" s="1"/>
      <c r="G1799" s="1"/>
      <c r="H1799" s="1"/>
      <c r="I1799" s="1"/>
      <c r="J1799" s="1"/>
      <c r="K1799" s="1"/>
      <c r="L1799" s="1"/>
      <c r="M1799" s="1"/>
      <c r="N1799" s="1"/>
      <c r="O1799" s="1"/>
      <c r="P1799" s="1"/>
      <c r="Q1799" s="1"/>
      <c r="R1799" s="1"/>
      <c r="S1799" s="1"/>
    </row>
    <row r="1800" spans="1:19" ht="33.75" customHeight="1">
      <c r="A1800" s="1" t="s">
        <v>4972</v>
      </c>
      <c r="B1800" s="1" t="s">
        <v>4904</v>
      </c>
      <c r="C1800" s="1">
        <v>25</v>
      </c>
      <c r="D1800" s="4">
        <v>39964.480555555558</v>
      </c>
      <c r="E1800" s="1" t="s">
        <v>54</v>
      </c>
      <c r="F1800" s="1"/>
      <c r="G1800" s="1"/>
      <c r="H1800" s="1"/>
      <c r="I1800" s="1"/>
      <c r="J1800" s="1"/>
      <c r="K1800" s="1"/>
      <c r="L1800" s="1"/>
      <c r="M1800" s="1"/>
      <c r="N1800" s="1"/>
      <c r="O1800" s="1"/>
      <c r="P1800" s="1"/>
      <c r="Q1800" s="1"/>
      <c r="R1800" s="1"/>
      <c r="S1800" s="1"/>
    </row>
    <row r="1801" spans="1:19" ht="33.75" customHeight="1">
      <c r="A1801" s="1" t="s">
        <v>4974</v>
      </c>
      <c r="B1801" s="1" t="s">
        <v>4904</v>
      </c>
      <c r="C1801" s="1">
        <v>25</v>
      </c>
      <c r="D1801" s="4">
        <v>39964.525694444441</v>
      </c>
      <c r="E1801" s="1" t="s">
        <v>1887</v>
      </c>
      <c r="F1801" s="1"/>
      <c r="G1801" s="1"/>
      <c r="H1801" s="1"/>
      <c r="I1801" s="1"/>
      <c r="J1801" s="1"/>
      <c r="K1801" s="1"/>
      <c r="L1801" s="1"/>
      <c r="M1801" s="1"/>
      <c r="N1801" s="1"/>
      <c r="O1801" s="1"/>
      <c r="P1801" s="1"/>
      <c r="Q1801" s="1"/>
      <c r="R1801" s="1"/>
      <c r="S1801" s="1"/>
    </row>
    <row r="1802" spans="1:19" ht="33.75" customHeight="1">
      <c r="A1802" s="1" t="s">
        <v>4976</v>
      </c>
      <c r="B1802" s="1" t="s">
        <v>4904</v>
      </c>
      <c r="C1802" s="1">
        <v>25</v>
      </c>
      <c r="D1802" s="4">
        <v>39964.745833333334</v>
      </c>
      <c r="E1802" s="1" t="s">
        <v>54</v>
      </c>
      <c r="F1802" s="1"/>
      <c r="G1802" s="1"/>
      <c r="H1802" s="1"/>
      <c r="I1802" s="1"/>
      <c r="J1802" s="1"/>
      <c r="K1802" s="1"/>
      <c r="L1802" s="1"/>
      <c r="M1802" s="1"/>
      <c r="N1802" s="1"/>
      <c r="O1802" s="1"/>
      <c r="P1802" s="1"/>
      <c r="Q1802" s="1"/>
      <c r="R1802" s="1"/>
      <c r="S1802" s="1"/>
    </row>
    <row r="1803" spans="1:19" ht="33.75" customHeight="1">
      <c r="A1803" s="1" t="s">
        <v>4979</v>
      </c>
      <c r="B1803" s="1" t="s">
        <v>4904</v>
      </c>
      <c r="C1803" s="1">
        <v>25</v>
      </c>
      <c r="D1803" s="4">
        <v>39964.90347222222</v>
      </c>
      <c r="E1803" s="1" t="s">
        <v>1089</v>
      </c>
      <c r="F1803" s="1"/>
      <c r="G1803" s="1"/>
      <c r="H1803" s="1"/>
      <c r="I1803" s="1"/>
      <c r="J1803" s="1"/>
      <c r="K1803" s="1"/>
      <c r="L1803" s="1"/>
      <c r="M1803" s="1"/>
      <c r="N1803" s="1"/>
      <c r="O1803" s="1"/>
      <c r="P1803" s="1"/>
      <c r="Q1803" s="1"/>
      <c r="R1803" s="1"/>
      <c r="S1803" s="1"/>
    </row>
    <row r="1804" spans="1:19" ht="33.75" customHeight="1">
      <c r="A1804" s="1" t="s">
        <v>4981</v>
      </c>
      <c r="B1804" s="1" t="s">
        <v>3929</v>
      </c>
      <c r="C1804" s="1">
        <v>21</v>
      </c>
      <c r="D1804" s="4">
        <v>39965.427777777775</v>
      </c>
      <c r="E1804" s="1" t="s">
        <v>196</v>
      </c>
      <c r="F1804" s="1"/>
      <c r="G1804" s="1"/>
      <c r="H1804" s="1"/>
      <c r="I1804" s="1"/>
      <c r="J1804" s="1"/>
      <c r="K1804" s="1"/>
      <c r="L1804" s="1"/>
      <c r="M1804" s="1"/>
      <c r="N1804" s="1"/>
      <c r="O1804" s="1"/>
      <c r="P1804" s="1"/>
      <c r="Q1804" s="1"/>
      <c r="R1804" s="1"/>
      <c r="S1804" s="1"/>
    </row>
    <row r="1805" spans="1:19" ht="33.75" customHeight="1">
      <c r="A1805" s="1" t="s">
        <v>4984</v>
      </c>
      <c r="B1805" s="1" t="s">
        <v>4904</v>
      </c>
      <c r="C1805" s="1">
        <v>25</v>
      </c>
      <c r="D1805" s="4">
        <v>39965.498611111114</v>
      </c>
      <c r="E1805" s="1" t="s">
        <v>772</v>
      </c>
      <c r="F1805" s="1"/>
      <c r="G1805" s="1"/>
      <c r="H1805" s="1"/>
      <c r="I1805" s="1"/>
      <c r="J1805" s="1"/>
      <c r="K1805" s="1"/>
      <c r="L1805" s="1"/>
      <c r="M1805" s="1"/>
      <c r="N1805" s="1"/>
      <c r="O1805" s="1"/>
      <c r="P1805" s="1"/>
      <c r="Q1805" s="1"/>
      <c r="R1805" s="1"/>
      <c r="S1805" s="1"/>
    </row>
    <row r="1806" spans="1:19" ht="33.75" customHeight="1">
      <c r="A1806" s="1" t="s">
        <v>4986</v>
      </c>
      <c r="B1806" s="1" t="s">
        <v>4904</v>
      </c>
      <c r="C1806" s="1">
        <v>25</v>
      </c>
      <c r="D1806" s="4">
        <v>39965.525694444441</v>
      </c>
      <c r="E1806" s="1" t="s">
        <v>54</v>
      </c>
      <c r="F1806" s="1"/>
      <c r="G1806" s="1"/>
      <c r="H1806" s="1"/>
      <c r="I1806" s="1"/>
      <c r="J1806" s="1"/>
      <c r="K1806" s="1"/>
      <c r="L1806" s="1"/>
      <c r="M1806" s="1"/>
      <c r="N1806" s="1"/>
      <c r="O1806" s="1"/>
      <c r="P1806" s="1"/>
      <c r="Q1806" s="1"/>
      <c r="R1806" s="1"/>
      <c r="S1806" s="1"/>
    </row>
    <row r="1807" spans="1:19" ht="33.75" customHeight="1">
      <c r="A1807" s="1" t="s">
        <v>4989</v>
      </c>
      <c r="B1807" s="1" t="s">
        <v>4904</v>
      </c>
      <c r="C1807" s="1">
        <v>25</v>
      </c>
      <c r="D1807" s="4">
        <v>39965.538888888892</v>
      </c>
      <c r="E1807" s="1" t="s">
        <v>54</v>
      </c>
      <c r="F1807" s="1"/>
      <c r="G1807" s="1"/>
      <c r="H1807" s="1"/>
      <c r="I1807" s="1"/>
      <c r="J1807" s="1"/>
      <c r="K1807" s="1"/>
      <c r="L1807" s="1"/>
      <c r="M1807" s="1"/>
      <c r="N1807" s="1"/>
      <c r="O1807" s="1"/>
      <c r="P1807" s="1"/>
      <c r="Q1807" s="1"/>
      <c r="R1807" s="1"/>
      <c r="S1807" s="1"/>
    </row>
    <row r="1808" spans="1:19" ht="33.75" customHeight="1">
      <c r="A1808" s="1" t="s">
        <v>4992</v>
      </c>
      <c r="B1808" s="1" t="s">
        <v>4904</v>
      </c>
      <c r="C1808" s="1">
        <v>25</v>
      </c>
      <c r="D1808" s="4">
        <v>39965.67291666667</v>
      </c>
      <c r="E1808" s="1" t="s">
        <v>84</v>
      </c>
      <c r="F1808" s="1"/>
      <c r="G1808" s="1"/>
      <c r="H1808" s="1"/>
      <c r="I1808" s="1"/>
      <c r="J1808" s="1"/>
      <c r="K1808" s="1"/>
      <c r="L1808" s="1"/>
      <c r="M1808" s="1"/>
      <c r="N1808" s="1"/>
      <c r="O1808" s="1"/>
      <c r="P1808" s="1"/>
      <c r="Q1808" s="1"/>
      <c r="R1808" s="1"/>
      <c r="S1808" s="1"/>
    </row>
    <row r="1809" spans="1:19" ht="33.75" customHeight="1">
      <c r="A1809" s="1" t="s">
        <v>4995</v>
      </c>
      <c r="B1809" s="1" t="s">
        <v>4904</v>
      </c>
      <c r="C1809" s="1">
        <v>25</v>
      </c>
      <c r="D1809" s="4">
        <v>39965.681944444441</v>
      </c>
      <c r="E1809" s="1" t="s">
        <v>84</v>
      </c>
      <c r="F1809" s="1"/>
      <c r="G1809" s="1"/>
      <c r="H1809" s="1"/>
      <c r="I1809" s="1"/>
      <c r="J1809" s="1"/>
      <c r="K1809" s="1"/>
      <c r="L1809" s="1"/>
      <c r="M1809" s="1"/>
      <c r="N1809" s="1"/>
      <c r="O1809" s="1"/>
      <c r="P1809" s="1"/>
      <c r="Q1809" s="1"/>
      <c r="R1809" s="1"/>
      <c r="S1809" s="1"/>
    </row>
    <row r="1810" spans="1:19" ht="33.75" customHeight="1">
      <c r="A1810" s="1" t="s">
        <v>4998</v>
      </c>
      <c r="B1810" s="1" t="s">
        <v>4904</v>
      </c>
      <c r="C1810" s="1">
        <v>25</v>
      </c>
      <c r="D1810" s="4">
        <v>39965.724999999999</v>
      </c>
      <c r="E1810" s="1" t="s">
        <v>54</v>
      </c>
      <c r="F1810" s="1"/>
      <c r="G1810" s="1"/>
      <c r="H1810" s="1"/>
      <c r="I1810" s="1"/>
      <c r="J1810" s="1"/>
      <c r="K1810" s="1"/>
      <c r="L1810" s="1"/>
      <c r="M1810" s="1"/>
      <c r="N1810" s="1"/>
      <c r="O1810" s="1"/>
      <c r="P1810" s="1"/>
      <c r="Q1810" s="1"/>
      <c r="R1810" s="1"/>
      <c r="S1810" s="1"/>
    </row>
    <row r="1811" spans="1:19" ht="33.75" customHeight="1">
      <c r="A1811" s="1" t="s">
        <v>5001</v>
      </c>
      <c r="B1811" s="1" t="s">
        <v>4904</v>
      </c>
      <c r="C1811" s="1">
        <v>25</v>
      </c>
      <c r="D1811" s="4">
        <v>39965.745833333334</v>
      </c>
      <c r="E1811" s="1" t="s">
        <v>54</v>
      </c>
      <c r="F1811" s="1"/>
      <c r="G1811" s="1"/>
      <c r="H1811" s="1"/>
      <c r="I1811" s="1"/>
      <c r="J1811" s="1"/>
      <c r="K1811" s="1"/>
      <c r="L1811" s="1"/>
      <c r="M1811" s="1"/>
      <c r="N1811" s="1"/>
      <c r="O1811" s="1"/>
      <c r="P1811" s="1"/>
      <c r="Q1811" s="1"/>
      <c r="R1811" s="1"/>
      <c r="S1811" s="1"/>
    </row>
    <row r="1812" spans="1:19" ht="33.75" customHeight="1">
      <c r="A1812" s="1" t="s">
        <v>5004</v>
      </c>
      <c r="B1812" s="1" t="s">
        <v>4904</v>
      </c>
      <c r="C1812" s="1">
        <v>25</v>
      </c>
      <c r="D1812" s="4">
        <v>39966.367361111108</v>
      </c>
      <c r="E1812" s="1" t="s">
        <v>772</v>
      </c>
      <c r="F1812" s="1"/>
      <c r="G1812" s="1"/>
      <c r="H1812" s="1"/>
      <c r="I1812" s="1"/>
      <c r="J1812" s="1"/>
      <c r="K1812" s="1"/>
      <c r="L1812" s="1"/>
      <c r="M1812" s="1"/>
      <c r="N1812" s="1"/>
      <c r="O1812" s="1"/>
      <c r="P1812" s="1"/>
      <c r="Q1812" s="1"/>
      <c r="R1812" s="1"/>
      <c r="S1812" s="1"/>
    </row>
    <row r="1813" spans="1:19" ht="33.75" customHeight="1">
      <c r="A1813" s="1" t="s">
        <v>5006</v>
      </c>
      <c r="B1813" s="1" t="s">
        <v>4904</v>
      </c>
      <c r="C1813" s="1">
        <v>25</v>
      </c>
      <c r="D1813" s="4">
        <v>39966.709722222222</v>
      </c>
      <c r="E1813" s="1" t="s">
        <v>2893</v>
      </c>
      <c r="F1813" s="1"/>
      <c r="G1813" s="1"/>
      <c r="H1813" s="1"/>
      <c r="I1813" s="1"/>
      <c r="J1813" s="1"/>
      <c r="K1813" s="1"/>
      <c r="L1813" s="1"/>
      <c r="M1813" s="1"/>
      <c r="N1813" s="1"/>
      <c r="O1813" s="1"/>
      <c r="P1813" s="1"/>
      <c r="Q1813" s="1"/>
      <c r="R1813" s="1"/>
      <c r="S1813" s="1"/>
    </row>
    <row r="1814" spans="1:19" ht="33.75" customHeight="1">
      <c r="A1814" s="1" t="s">
        <v>5010</v>
      </c>
      <c r="B1814" s="1" t="s">
        <v>4904</v>
      </c>
      <c r="C1814" s="1">
        <v>25</v>
      </c>
      <c r="D1814" s="4">
        <v>39966.931250000001</v>
      </c>
      <c r="E1814" s="1" t="s">
        <v>1089</v>
      </c>
      <c r="F1814" s="1"/>
      <c r="G1814" s="1"/>
      <c r="H1814" s="1"/>
      <c r="I1814" s="1"/>
      <c r="J1814" s="1"/>
      <c r="K1814" s="1"/>
      <c r="L1814" s="1"/>
      <c r="M1814" s="1"/>
      <c r="N1814" s="1"/>
      <c r="O1814" s="1"/>
      <c r="P1814" s="1"/>
      <c r="Q1814" s="1"/>
      <c r="R1814" s="1"/>
      <c r="S1814" s="1"/>
    </row>
    <row r="1815" spans="1:19" ht="33.75" customHeight="1">
      <c r="A1815" s="1" t="s">
        <v>5012</v>
      </c>
      <c r="B1815" s="1" t="s">
        <v>4904</v>
      </c>
      <c r="C1815" s="1">
        <v>25</v>
      </c>
      <c r="D1815" s="4">
        <v>39967.300000000003</v>
      </c>
      <c r="E1815" s="1" t="s">
        <v>54</v>
      </c>
      <c r="F1815" s="1"/>
      <c r="G1815" s="1"/>
      <c r="H1815" s="1"/>
      <c r="I1815" s="1"/>
      <c r="J1815" s="1"/>
      <c r="K1815" s="1"/>
      <c r="L1815" s="1"/>
      <c r="M1815" s="1"/>
      <c r="N1815" s="1"/>
      <c r="O1815" s="1"/>
      <c r="P1815" s="1"/>
      <c r="Q1815" s="1"/>
      <c r="R1815" s="1"/>
      <c r="S1815" s="1"/>
    </row>
    <row r="1816" spans="1:19" ht="33.75" customHeight="1">
      <c r="A1816" s="1" t="s">
        <v>5014</v>
      </c>
      <c r="B1816" s="1" t="s">
        <v>4904</v>
      </c>
      <c r="C1816" s="1">
        <v>25</v>
      </c>
      <c r="D1816" s="4">
        <v>39967.30972222222</v>
      </c>
      <c r="E1816" s="1" t="s">
        <v>54</v>
      </c>
      <c r="F1816" s="1"/>
      <c r="G1816" s="1"/>
      <c r="H1816" s="1"/>
      <c r="I1816" s="1"/>
      <c r="J1816" s="1"/>
      <c r="K1816" s="1"/>
      <c r="L1816" s="1"/>
      <c r="M1816" s="1"/>
      <c r="N1816" s="1"/>
      <c r="O1816" s="1"/>
      <c r="P1816" s="1"/>
      <c r="Q1816" s="1"/>
      <c r="R1816" s="1"/>
      <c r="S1816" s="1"/>
    </row>
    <row r="1817" spans="1:19" ht="33.75" customHeight="1">
      <c r="A1817" s="1" t="s">
        <v>5016</v>
      </c>
      <c r="B1817" s="1" t="s">
        <v>4904</v>
      </c>
      <c r="C1817" s="1">
        <v>25</v>
      </c>
      <c r="D1817" s="4">
        <v>39967.352777777778</v>
      </c>
      <c r="E1817" s="1" t="s">
        <v>54</v>
      </c>
      <c r="F1817" s="1"/>
      <c r="G1817" s="1"/>
      <c r="H1817" s="1"/>
      <c r="I1817" s="1"/>
      <c r="J1817" s="1"/>
      <c r="K1817" s="1"/>
      <c r="L1817" s="1"/>
      <c r="M1817" s="1"/>
      <c r="N1817" s="1"/>
      <c r="O1817" s="1"/>
      <c r="P1817" s="1"/>
      <c r="Q1817" s="1"/>
      <c r="R1817" s="1"/>
      <c r="S1817" s="1"/>
    </row>
    <row r="1818" spans="1:19" ht="33.75" customHeight="1">
      <c r="A1818" s="1" t="s">
        <v>5019</v>
      </c>
      <c r="B1818" s="1" t="s">
        <v>4904</v>
      </c>
      <c r="C1818" s="1">
        <v>25</v>
      </c>
      <c r="D1818" s="4">
        <v>39967.477777777778</v>
      </c>
      <c r="E1818" s="1" t="s">
        <v>84</v>
      </c>
      <c r="F1818" s="1"/>
      <c r="G1818" s="1"/>
      <c r="H1818" s="1"/>
      <c r="I1818" s="1"/>
      <c r="J1818" s="1"/>
      <c r="K1818" s="1"/>
      <c r="L1818" s="1"/>
      <c r="M1818" s="1"/>
      <c r="N1818" s="1"/>
      <c r="O1818" s="1"/>
      <c r="P1818" s="1"/>
      <c r="Q1818" s="1"/>
      <c r="R1818" s="1"/>
      <c r="S1818" s="1"/>
    </row>
    <row r="1819" spans="1:19" ht="33.75" customHeight="1">
      <c r="A1819" s="1" t="s">
        <v>5021</v>
      </c>
      <c r="B1819" s="1" t="s">
        <v>3929</v>
      </c>
      <c r="C1819" s="1">
        <v>21</v>
      </c>
      <c r="D1819" s="4">
        <v>39967.519444444442</v>
      </c>
      <c r="E1819" s="1" t="s">
        <v>196</v>
      </c>
      <c r="F1819" s="1"/>
      <c r="G1819" s="1"/>
      <c r="H1819" s="1"/>
      <c r="I1819" s="1"/>
      <c r="J1819" s="1"/>
      <c r="K1819" s="1"/>
      <c r="L1819" s="1"/>
      <c r="M1819" s="1"/>
      <c r="N1819" s="1"/>
      <c r="O1819" s="1"/>
      <c r="P1819" s="1"/>
      <c r="Q1819" s="1"/>
      <c r="R1819" s="1"/>
      <c r="S1819" s="1"/>
    </row>
    <row r="1820" spans="1:19" ht="33.75" customHeight="1">
      <c r="A1820" s="1" t="s">
        <v>5024</v>
      </c>
      <c r="B1820" s="1" t="s">
        <v>4904</v>
      </c>
      <c r="C1820" s="1">
        <v>25</v>
      </c>
      <c r="D1820" s="4">
        <v>39967.52847222222</v>
      </c>
      <c r="E1820" s="1" t="s">
        <v>760</v>
      </c>
      <c r="F1820" s="1"/>
      <c r="G1820" s="1"/>
      <c r="H1820" s="1"/>
      <c r="I1820" s="1"/>
      <c r="J1820" s="1"/>
      <c r="K1820" s="1"/>
      <c r="L1820" s="1"/>
      <c r="M1820" s="1"/>
      <c r="N1820" s="1"/>
      <c r="O1820" s="1"/>
      <c r="P1820" s="1"/>
      <c r="Q1820" s="1"/>
      <c r="R1820" s="1"/>
      <c r="S1820" s="1"/>
    </row>
    <row r="1821" spans="1:19" ht="33.75" customHeight="1">
      <c r="A1821" s="1" t="s">
        <v>5026</v>
      </c>
      <c r="B1821" s="1" t="s">
        <v>4904</v>
      </c>
      <c r="C1821" s="1">
        <v>25</v>
      </c>
      <c r="D1821" s="4">
        <v>39967.599999999999</v>
      </c>
      <c r="E1821" s="1" t="s">
        <v>772</v>
      </c>
      <c r="F1821" s="1"/>
      <c r="G1821" s="1"/>
      <c r="H1821" s="1"/>
      <c r="I1821" s="1"/>
      <c r="J1821" s="1"/>
      <c r="K1821" s="1"/>
      <c r="L1821" s="1"/>
      <c r="M1821" s="1"/>
      <c r="N1821" s="1"/>
      <c r="O1821" s="1"/>
      <c r="P1821" s="1"/>
      <c r="Q1821" s="1"/>
      <c r="R1821" s="1"/>
      <c r="S1821" s="1"/>
    </row>
    <row r="1822" spans="1:19" ht="33.75" customHeight="1">
      <c r="A1822" s="1" t="s">
        <v>5028</v>
      </c>
      <c r="B1822" s="1" t="s">
        <v>4904</v>
      </c>
      <c r="C1822" s="1">
        <v>25</v>
      </c>
      <c r="D1822" s="4">
        <v>39968.338194444441</v>
      </c>
      <c r="E1822" s="1" t="s">
        <v>760</v>
      </c>
      <c r="F1822" s="1"/>
      <c r="G1822" s="1"/>
      <c r="H1822" s="1"/>
      <c r="I1822" s="1"/>
      <c r="J1822" s="1"/>
      <c r="K1822" s="1"/>
      <c r="L1822" s="1"/>
      <c r="M1822" s="1"/>
      <c r="N1822" s="1"/>
      <c r="O1822" s="1"/>
      <c r="P1822" s="1"/>
      <c r="Q1822" s="1"/>
      <c r="R1822" s="1"/>
      <c r="S1822" s="1"/>
    </row>
    <row r="1823" spans="1:19" ht="33.75" customHeight="1">
      <c r="A1823" s="1" t="s">
        <v>5030</v>
      </c>
      <c r="B1823" s="1" t="s">
        <v>4904</v>
      </c>
      <c r="C1823" s="1">
        <v>25</v>
      </c>
      <c r="D1823" s="4">
        <v>39968.42291666667</v>
      </c>
      <c r="E1823" s="1" t="s">
        <v>772</v>
      </c>
      <c r="F1823" s="1"/>
      <c r="G1823" s="1"/>
      <c r="H1823" s="1"/>
      <c r="I1823" s="1"/>
      <c r="J1823" s="1"/>
      <c r="K1823" s="1"/>
      <c r="L1823" s="1"/>
      <c r="M1823" s="1"/>
      <c r="N1823" s="1"/>
      <c r="O1823" s="1"/>
      <c r="P1823" s="1"/>
      <c r="Q1823" s="1"/>
      <c r="R1823" s="1"/>
      <c r="S1823" s="1"/>
    </row>
    <row r="1824" spans="1:19" ht="33.75" customHeight="1">
      <c r="A1824" s="1" t="s">
        <v>5032</v>
      </c>
      <c r="B1824" s="1" t="s">
        <v>4904</v>
      </c>
      <c r="C1824" s="1">
        <v>25</v>
      </c>
      <c r="D1824" s="4">
        <v>39968.445833333331</v>
      </c>
      <c r="E1824" s="1" t="s">
        <v>1887</v>
      </c>
      <c r="F1824" s="1"/>
      <c r="G1824" s="1"/>
      <c r="H1824" s="1"/>
      <c r="I1824" s="1"/>
      <c r="J1824" s="1"/>
      <c r="K1824" s="1"/>
      <c r="L1824" s="1"/>
      <c r="M1824" s="1"/>
      <c r="N1824" s="1"/>
      <c r="O1824" s="1"/>
      <c r="P1824" s="1"/>
      <c r="Q1824" s="1"/>
      <c r="R1824" s="1"/>
      <c r="S1824" s="1"/>
    </row>
    <row r="1825" spans="1:19" ht="33.75" customHeight="1">
      <c r="A1825" s="1" t="s">
        <v>5035</v>
      </c>
      <c r="B1825" s="1" t="s">
        <v>4904</v>
      </c>
      <c r="C1825" s="1">
        <v>25</v>
      </c>
      <c r="D1825" s="4">
        <v>39968.53125</v>
      </c>
      <c r="E1825" s="1" t="s">
        <v>772</v>
      </c>
      <c r="F1825" s="1"/>
      <c r="G1825" s="1"/>
      <c r="H1825" s="1"/>
      <c r="I1825" s="1"/>
      <c r="J1825" s="1"/>
      <c r="K1825" s="1"/>
      <c r="L1825" s="1"/>
      <c r="M1825" s="1"/>
      <c r="N1825" s="1"/>
      <c r="O1825" s="1"/>
      <c r="P1825" s="1"/>
      <c r="Q1825" s="1"/>
      <c r="R1825" s="1"/>
      <c r="S1825" s="1"/>
    </row>
    <row r="1826" spans="1:19" ht="33.75" customHeight="1">
      <c r="A1826" s="1" t="s">
        <v>5037</v>
      </c>
      <c r="B1826" s="1" t="s">
        <v>4904</v>
      </c>
      <c r="C1826" s="1">
        <v>25</v>
      </c>
      <c r="D1826" s="4">
        <v>39969.282638888886</v>
      </c>
      <c r="E1826" s="1" t="s">
        <v>381</v>
      </c>
      <c r="F1826" s="1"/>
      <c r="G1826" s="1"/>
      <c r="H1826" s="1"/>
      <c r="I1826" s="1"/>
      <c r="J1826" s="1"/>
      <c r="K1826" s="1"/>
      <c r="L1826" s="1"/>
      <c r="M1826" s="1"/>
      <c r="N1826" s="1"/>
      <c r="O1826" s="1"/>
      <c r="P1826" s="1"/>
      <c r="Q1826" s="1"/>
      <c r="R1826" s="1"/>
      <c r="S1826" s="1"/>
    </row>
    <row r="1827" spans="1:19" ht="33.75" customHeight="1">
      <c r="A1827" s="1" t="s">
        <v>5040</v>
      </c>
      <c r="B1827" s="1" t="s">
        <v>4904</v>
      </c>
      <c r="C1827" s="1">
        <v>25</v>
      </c>
      <c r="D1827" s="4">
        <v>39969.354861111111</v>
      </c>
      <c r="E1827" s="1" t="s">
        <v>2893</v>
      </c>
      <c r="F1827" s="1"/>
      <c r="G1827" s="1"/>
      <c r="H1827" s="1"/>
      <c r="I1827" s="1"/>
      <c r="J1827" s="1"/>
      <c r="K1827" s="1"/>
      <c r="L1827" s="1"/>
      <c r="M1827" s="1"/>
      <c r="N1827" s="1"/>
      <c r="O1827" s="1"/>
      <c r="P1827" s="1"/>
      <c r="Q1827" s="1"/>
      <c r="R1827" s="1"/>
      <c r="S1827" s="1"/>
    </row>
    <row r="1828" spans="1:19" ht="33.75" customHeight="1">
      <c r="A1828" s="1" t="s">
        <v>5043</v>
      </c>
      <c r="B1828" s="1" t="s">
        <v>4904</v>
      </c>
      <c r="C1828" s="1">
        <v>25</v>
      </c>
      <c r="D1828" s="4">
        <v>39969.581250000003</v>
      </c>
      <c r="E1828" s="1" t="s">
        <v>772</v>
      </c>
      <c r="F1828" s="1"/>
      <c r="G1828" s="1"/>
      <c r="H1828" s="1"/>
      <c r="I1828" s="1"/>
      <c r="J1828" s="1"/>
      <c r="K1828" s="1"/>
      <c r="L1828" s="1"/>
      <c r="M1828" s="1"/>
      <c r="N1828" s="1"/>
      <c r="O1828" s="1"/>
      <c r="P1828" s="1"/>
      <c r="Q1828" s="1"/>
      <c r="R1828" s="1"/>
      <c r="S1828" s="1"/>
    </row>
    <row r="1829" spans="1:19" ht="33.75" customHeight="1">
      <c r="A1829" s="1" t="s">
        <v>5045</v>
      </c>
      <c r="B1829" s="1" t="s">
        <v>4904</v>
      </c>
      <c r="C1829" s="1">
        <v>25</v>
      </c>
      <c r="D1829" s="4">
        <v>39970.163888888892</v>
      </c>
      <c r="E1829" s="1" t="s">
        <v>1089</v>
      </c>
      <c r="F1829" s="1"/>
      <c r="G1829" s="1"/>
      <c r="H1829" s="1"/>
      <c r="I1829" s="1"/>
      <c r="J1829" s="1"/>
      <c r="K1829" s="1"/>
      <c r="L1829" s="1"/>
      <c r="M1829" s="1"/>
      <c r="N1829" s="1"/>
      <c r="O1829" s="1"/>
      <c r="P1829" s="1"/>
      <c r="Q1829" s="1"/>
      <c r="R1829" s="1"/>
      <c r="S1829" s="1"/>
    </row>
    <row r="1830" spans="1:19" ht="33.75" customHeight="1">
      <c r="A1830" s="1" t="s">
        <v>5047</v>
      </c>
      <c r="B1830" s="1" t="s">
        <v>4904</v>
      </c>
      <c r="C1830" s="1">
        <v>25</v>
      </c>
      <c r="D1830" s="4">
        <v>39970.296527777777</v>
      </c>
      <c r="E1830" s="1" t="s">
        <v>1089</v>
      </c>
      <c r="F1830" s="1"/>
      <c r="G1830" s="1"/>
      <c r="H1830" s="1"/>
      <c r="I1830" s="1"/>
      <c r="J1830" s="1"/>
      <c r="K1830" s="1"/>
      <c r="L1830" s="1"/>
      <c r="M1830" s="1"/>
      <c r="N1830" s="1"/>
      <c r="O1830" s="1"/>
      <c r="P1830" s="1"/>
      <c r="Q1830" s="1"/>
      <c r="R1830" s="1"/>
      <c r="S1830" s="1"/>
    </row>
    <row r="1831" spans="1:19" ht="33.75" customHeight="1">
      <c r="A1831" s="1" t="s">
        <v>5050</v>
      </c>
      <c r="B1831" s="1" t="s">
        <v>4904</v>
      </c>
      <c r="C1831" s="1">
        <v>25</v>
      </c>
      <c r="D1831" s="4">
        <v>39970.32708333333</v>
      </c>
      <c r="E1831" s="1" t="s">
        <v>54</v>
      </c>
      <c r="F1831" s="1"/>
      <c r="G1831" s="1"/>
      <c r="H1831" s="1"/>
      <c r="I1831" s="1"/>
      <c r="J1831" s="1"/>
      <c r="K1831" s="1"/>
      <c r="L1831" s="1"/>
      <c r="M1831" s="1"/>
      <c r="N1831" s="1"/>
      <c r="O1831" s="1"/>
      <c r="P1831" s="1"/>
      <c r="Q1831" s="1"/>
      <c r="R1831" s="1"/>
      <c r="S1831" s="1"/>
    </row>
    <row r="1832" spans="1:19" ht="33.75" customHeight="1">
      <c r="A1832" s="1" t="s">
        <v>5052</v>
      </c>
      <c r="B1832" s="1" t="s">
        <v>4904</v>
      </c>
      <c r="C1832" s="1">
        <v>25</v>
      </c>
      <c r="D1832" s="4">
        <v>39970.565972222219</v>
      </c>
      <c r="E1832" s="1" t="s">
        <v>772</v>
      </c>
      <c r="F1832" s="1"/>
      <c r="G1832" s="1"/>
      <c r="H1832" s="1"/>
      <c r="I1832" s="1"/>
      <c r="J1832" s="1"/>
      <c r="K1832" s="1"/>
      <c r="L1832" s="1"/>
      <c r="M1832" s="1"/>
      <c r="N1832" s="1"/>
      <c r="O1832" s="1"/>
      <c r="P1832" s="1"/>
      <c r="Q1832" s="1"/>
      <c r="R1832" s="1"/>
      <c r="S1832" s="1"/>
    </row>
    <row r="1833" spans="1:19" ht="33.75" customHeight="1">
      <c r="A1833" s="1" t="s">
        <v>5054</v>
      </c>
      <c r="B1833" s="1" t="s">
        <v>4904</v>
      </c>
      <c r="C1833" s="1">
        <v>25</v>
      </c>
      <c r="D1833" s="4">
        <v>39971.011805555558</v>
      </c>
      <c r="E1833" s="1" t="s">
        <v>1887</v>
      </c>
      <c r="F1833" s="1"/>
      <c r="G1833" s="1"/>
      <c r="H1833" s="1"/>
      <c r="I1833" s="1"/>
      <c r="J1833" s="1"/>
      <c r="K1833" s="1"/>
      <c r="L1833" s="1"/>
      <c r="M1833" s="1"/>
      <c r="N1833" s="1"/>
      <c r="O1833" s="1"/>
      <c r="P1833" s="1"/>
      <c r="Q1833" s="1"/>
      <c r="R1833" s="1"/>
      <c r="S1833" s="1"/>
    </row>
    <row r="1834" spans="1:19" ht="33.75" customHeight="1">
      <c r="A1834" s="1" t="s">
        <v>5056</v>
      </c>
      <c r="B1834" s="1" t="s">
        <v>4904</v>
      </c>
      <c r="C1834" s="1">
        <v>25</v>
      </c>
      <c r="D1834" s="4">
        <v>39971.215277777781</v>
      </c>
      <c r="E1834" s="1" t="s">
        <v>1089</v>
      </c>
      <c r="F1834" s="1"/>
      <c r="G1834" s="1"/>
      <c r="H1834" s="1"/>
      <c r="I1834" s="1"/>
      <c r="J1834" s="1"/>
      <c r="K1834" s="1"/>
      <c r="L1834" s="1"/>
      <c r="M1834" s="1"/>
      <c r="N1834" s="1"/>
      <c r="O1834" s="1"/>
      <c r="P1834" s="1"/>
      <c r="Q1834" s="1"/>
      <c r="R1834" s="1"/>
      <c r="S1834" s="1"/>
    </row>
    <row r="1835" spans="1:19" ht="33.75" customHeight="1">
      <c r="A1835" s="1" t="s">
        <v>5059</v>
      </c>
      <c r="B1835" s="1" t="s">
        <v>4904</v>
      </c>
      <c r="C1835" s="1">
        <v>25</v>
      </c>
      <c r="D1835" s="4">
        <v>39971.429166666669</v>
      </c>
      <c r="E1835" s="1" t="s">
        <v>772</v>
      </c>
      <c r="F1835" s="1"/>
      <c r="G1835" s="1"/>
      <c r="H1835" s="1"/>
      <c r="I1835" s="1"/>
      <c r="J1835" s="1"/>
      <c r="K1835" s="1"/>
      <c r="L1835" s="1"/>
      <c r="M1835" s="1"/>
      <c r="N1835" s="1"/>
      <c r="O1835" s="1"/>
      <c r="P1835" s="1"/>
      <c r="Q1835" s="1"/>
      <c r="R1835" s="1"/>
      <c r="S1835" s="1"/>
    </row>
    <row r="1836" spans="1:19" ht="33.75" customHeight="1">
      <c r="A1836" s="1" t="s">
        <v>5061</v>
      </c>
      <c r="B1836" s="1" t="s">
        <v>4904</v>
      </c>
      <c r="C1836" s="1">
        <v>25</v>
      </c>
      <c r="D1836" s="4">
        <v>39971.543055555558</v>
      </c>
      <c r="E1836" s="1" t="s">
        <v>1887</v>
      </c>
      <c r="F1836" s="1"/>
      <c r="G1836" s="1"/>
      <c r="H1836" s="1"/>
      <c r="I1836" s="1"/>
      <c r="J1836" s="1"/>
      <c r="K1836" s="1"/>
      <c r="L1836" s="1"/>
      <c r="M1836" s="1"/>
      <c r="N1836" s="1"/>
      <c r="O1836" s="1"/>
      <c r="P1836" s="1"/>
      <c r="Q1836" s="1"/>
      <c r="R1836" s="1"/>
      <c r="S1836" s="1"/>
    </row>
    <row r="1837" spans="1:19" ht="33.75" customHeight="1">
      <c r="A1837" s="1" t="s">
        <v>5063</v>
      </c>
      <c r="B1837" s="1" t="s">
        <v>4904</v>
      </c>
      <c r="C1837" s="1">
        <v>25</v>
      </c>
      <c r="D1837" s="4">
        <v>39971.589583333334</v>
      </c>
      <c r="E1837" s="1" t="s">
        <v>54</v>
      </c>
      <c r="F1837" s="1"/>
      <c r="G1837" s="1"/>
      <c r="H1837" s="1"/>
      <c r="I1837" s="1"/>
      <c r="J1837" s="1"/>
      <c r="K1837" s="1"/>
      <c r="L1837" s="1"/>
      <c r="M1837" s="1"/>
      <c r="N1837" s="1"/>
      <c r="O1837" s="1"/>
      <c r="P1837" s="1"/>
      <c r="Q1837" s="1"/>
      <c r="R1837" s="1"/>
      <c r="S1837" s="1"/>
    </row>
    <row r="1838" spans="1:19" ht="33.75" customHeight="1">
      <c r="A1838" s="1" t="s">
        <v>5065</v>
      </c>
      <c r="B1838" s="1" t="s">
        <v>4904</v>
      </c>
      <c r="C1838" s="1">
        <v>25</v>
      </c>
      <c r="D1838" s="4">
        <v>39971.785416666666</v>
      </c>
      <c r="E1838" s="1" t="s">
        <v>54</v>
      </c>
      <c r="F1838" s="1"/>
      <c r="G1838" s="1"/>
      <c r="H1838" s="1"/>
      <c r="I1838" s="1"/>
      <c r="J1838" s="1"/>
      <c r="K1838" s="1"/>
      <c r="L1838" s="1"/>
      <c r="M1838" s="1"/>
      <c r="N1838" s="1"/>
      <c r="O1838" s="1"/>
      <c r="P1838" s="1"/>
      <c r="Q1838" s="1"/>
      <c r="R1838" s="1"/>
      <c r="S1838" s="1"/>
    </row>
    <row r="1839" spans="1:19" ht="33.75" customHeight="1">
      <c r="A1839" s="1" t="s">
        <v>5067</v>
      </c>
      <c r="B1839" s="1" t="s">
        <v>4904</v>
      </c>
      <c r="C1839" s="1">
        <v>25</v>
      </c>
      <c r="D1839" s="4">
        <v>39971.925000000003</v>
      </c>
      <c r="E1839" s="1" t="s">
        <v>1089</v>
      </c>
      <c r="F1839" s="1"/>
      <c r="G1839" s="1"/>
      <c r="H1839" s="1"/>
      <c r="I1839" s="1"/>
      <c r="J1839" s="1"/>
      <c r="K1839" s="1"/>
      <c r="L1839" s="1"/>
      <c r="M1839" s="1"/>
      <c r="N1839" s="1"/>
      <c r="O1839" s="1"/>
      <c r="P1839" s="1"/>
      <c r="Q1839" s="1"/>
      <c r="R1839" s="1"/>
      <c r="S1839" s="1"/>
    </row>
    <row r="1840" spans="1:19" ht="33.75" customHeight="1">
      <c r="A1840" s="1" t="s">
        <v>5070</v>
      </c>
      <c r="B1840" s="1" t="s">
        <v>4904</v>
      </c>
      <c r="C1840" s="1">
        <v>25</v>
      </c>
      <c r="D1840" s="4">
        <v>39971.998611111114</v>
      </c>
      <c r="E1840" s="1" t="s">
        <v>54</v>
      </c>
      <c r="F1840" s="1"/>
      <c r="G1840" s="1"/>
      <c r="H1840" s="1"/>
      <c r="I1840" s="1"/>
      <c r="J1840" s="1"/>
      <c r="K1840" s="1"/>
      <c r="L1840" s="1"/>
      <c r="M1840" s="1"/>
      <c r="N1840" s="1"/>
      <c r="O1840" s="1"/>
      <c r="P1840" s="1"/>
      <c r="Q1840" s="1"/>
      <c r="R1840" s="1"/>
      <c r="S1840" s="1"/>
    </row>
    <row r="1841" spans="1:19" ht="33.75" customHeight="1">
      <c r="A1841" s="1" t="s">
        <v>5073</v>
      </c>
      <c r="B1841" s="1" t="s">
        <v>4904</v>
      </c>
      <c r="C1841" s="1">
        <v>25</v>
      </c>
      <c r="D1841" s="4">
        <v>39972.063194444447</v>
      </c>
      <c r="E1841" s="1" t="s">
        <v>1089</v>
      </c>
      <c r="F1841" s="1"/>
      <c r="G1841" s="1"/>
      <c r="H1841" s="1"/>
      <c r="I1841" s="1"/>
      <c r="J1841" s="1"/>
      <c r="K1841" s="1"/>
      <c r="L1841" s="1"/>
      <c r="M1841" s="1"/>
      <c r="N1841" s="1"/>
      <c r="O1841" s="1"/>
      <c r="P1841" s="1"/>
      <c r="Q1841" s="1"/>
      <c r="R1841" s="1"/>
      <c r="S1841" s="1"/>
    </row>
    <row r="1842" spans="1:19" ht="33.75" customHeight="1">
      <c r="A1842" s="1" t="s">
        <v>5077</v>
      </c>
      <c r="B1842" s="1" t="s">
        <v>4904</v>
      </c>
      <c r="C1842" s="1">
        <v>25</v>
      </c>
      <c r="D1842" s="4">
        <v>39972.379861111112</v>
      </c>
      <c r="E1842" s="1" t="s">
        <v>54</v>
      </c>
      <c r="F1842" s="1"/>
      <c r="G1842" s="1"/>
      <c r="H1842" s="1"/>
      <c r="I1842" s="1"/>
      <c r="J1842" s="1"/>
      <c r="K1842" s="1"/>
      <c r="L1842" s="1"/>
      <c r="M1842" s="1"/>
      <c r="N1842" s="1"/>
      <c r="O1842" s="1"/>
      <c r="P1842" s="1"/>
      <c r="Q1842" s="1"/>
      <c r="R1842" s="1"/>
      <c r="S1842" s="1"/>
    </row>
    <row r="1843" spans="1:19" ht="33.75" customHeight="1">
      <c r="A1843" s="1" t="s">
        <v>5079</v>
      </c>
      <c r="B1843" s="1" t="s">
        <v>4904</v>
      </c>
      <c r="C1843" s="1">
        <v>25</v>
      </c>
      <c r="D1843" s="4">
        <v>39972.959027777775</v>
      </c>
      <c r="E1843" s="1" t="s">
        <v>1887</v>
      </c>
      <c r="F1843" s="1"/>
      <c r="G1843" s="1"/>
      <c r="H1843" s="1"/>
      <c r="I1843" s="1"/>
      <c r="J1843" s="1"/>
      <c r="K1843" s="1"/>
      <c r="L1843" s="1"/>
      <c r="M1843" s="1"/>
      <c r="N1843" s="1"/>
      <c r="O1843" s="1"/>
      <c r="P1843" s="1"/>
      <c r="Q1843" s="1"/>
      <c r="R1843" s="1"/>
      <c r="S1843" s="1"/>
    </row>
    <row r="1844" spans="1:19" ht="33.75" customHeight="1">
      <c r="A1844" s="1" t="s">
        <v>5081</v>
      </c>
      <c r="B1844" s="1" t="s">
        <v>4904</v>
      </c>
      <c r="C1844" s="1">
        <v>25</v>
      </c>
      <c r="D1844" s="4">
        <v>39973.206944444442</v>
      </c>
      <c r="E1844" s="1" t="s">
        <v>1089</v>
      </c>
      <c r="F1844" s="1"/>
      <c r="G1844" s="1"/>
      <c r="H1844" s="1"/>
      <c r="I1844" s="1"/>
      <c r="J1844" s="1"/>
      <c r="K1844" s="1"/>
      <c r="L1844" s="1"/>
      <c r="M1844" s="1"/>
      <c r="N1844" s="1"/>
      <c r="O1844" s="1"/>
      <c r="P1844" s="1"/>
      <c r="Q1844" s="1"/>
      <c r="R1844" s="1"/>
      <c r="S1844" s="1"/>
    </row>
    <row r="1845" spans="1:19" ht="33.75" customHeight="1">
      <c r="A1845" s="1" t="s">
        <v>5084</v>
      </c>
      <c r="B1845" s="1" t="s">
        <v>4904</v>
      </c>
      <c r="C1845" s="1">
        <v>25</v>
      </c>
      <c r="D1845" s="4">
        <v>39973.299305555556</v>
      </c>
      <c r="E1845" s="1" t="s">
        <v>54</v>
      </c>
      <c r="F1845" s="1"/>
      <c r="G1845" s="1"/>
      <c r="H1845" s="1"/>
      <c r="I1845" s="1"/>
      <c r="J1845" s="1"/>
      <c r="K1845" s="1"/>
      <c r="L1845" s="1"/>
      <c r="M1845" s="1"/>
      <c r="N1845" s="1"/>
      <c r="O1845" s="1"/>
      <c r="P1845" s="1"/>
      <c r="Q1845" s="1"/>
      <c r="R1845" s="1"/>
      <c r="S1845" s="1"/>
    </row>
    <row r="1846" spans="1:19" ht="33.75" customHeight="1">
      <c r="A1846" s="1" t="s">
        <v>5086</v>
      </c>
      <c r="B1846" s="1" t="s">
        <v>4904</v>
      </c>
      <c r="C1846" s="1">
        <v>25</v>
      </c>
      <c r="D1846" s="4">
        <v>39973.472916666666</v>
      </c>
      <c r="E1846" s="1" t="s">
        <v>1887</v>
      </c>
      <c r="F1846" s="1"/>
      <c r="G1846" s="1"/>
      <c r="H1846" s="1"/>
      <c r="I1846" s="1"/>
      <c r="J1846" s="1"/>
      <c r="K1846" s="1"/>
      <c r="L1846" s="1"/>
      <c r="M1846" s="1"/>
      <c r="N1846" s="1"/>
      <c r="O1846" s="1"/>
      <c r="P1846" s="1"/>
      <c r="Q1846" s="1"/>
      <c r="R1846" s="1"/>
      <c r="S1846" s="1"/>
    </row>
    <row r="1847" spans="1:19" ht="33.75" customHeight="1">
      <c r="A1847" s="1" t="s">
        <v>5088</v>
      </c>
      <c r="B1847" s="1" t="s">
        <v>4904</v>
      </c>
      <c r="C1847" s="1">
        <v>25</v>
      </c>
      <c r="D1847" s="4">
        <v>39974.323611111111</v>
      </c>
      <c r="E1847" s="1" t="s">
        <v>54</v>
      </c>
      <c r="F1847" s="1"/>
      <c r="G1847" s="1"/>
      <c r="H1847" s="1"/>
      <c r="I1847" s="1"/>
      <c r="J1847" s="1"/>
      <c r="K1847" s="1"/>
      <c r="L1847" s="1"/>
      <c r="M1847" s="1"/>
      <c r="N1847" s="1"/>
      <c r="O1847" s="1"/>
      <c r="P1847" s="1"/>
      <c r="Q1847" s="1"/>
      <c r="R1847" s="1"/>
      <c r="S1847" s="1"/>
    </row>
    <row r="1848" spans="1:19" ht="33.75" customHeight="1">
      <c r="A1848" s="1" t="s">
        <v>5091</v>
      </c>
      <c r="B1848" s="1" t="s">
        <v>4904</v>
      </c>
      <c r="C1848" s="1">
        <v>25</v>
      </c>
      <c r="D1848" s="4">
        <v>39974.512499999997</v>
      </c>
      <c r="E1848" s="1" t="s">
        <v>54</v>
      </c>
      <c r="F1848" s="1"/>
      <c r="G1848" s="1"/>
      <c r="H1848" s="1"/>
      <c r="I1848" s="1"/>
      <c r="J1848" s="1"/>
      <c r="K1848" s="1"/>
      <c r="L1848" s="1"/>
      <c r="M1848" s="1"/>
      <c r="N1848" s="1"/>
      <c r="O1848" s="1"/>
      <c r="P1848" s="1"/>
      <c r="Q1848" s="1"/>
      <c r="R1848" s="1"/>
      <c r="S1848" s="1"/>
    </row>
    <row r="1849" spans="1:19" ht="33.75" customHeight="1">
      <c r="A1849" s="1" t="s">
        <v>5094</v>
      </c>
      <c r="B1849" s="1" t="s">
        <v>3929</v>
      </c>
      <c r="C1849" s="1">
        <v>21</v>
      </c>
      <c r="D1849" s="4">
        <v>39974.776388888888</v>
      </c>
      <c r="E1849" s="1" t="s">
        <v>320</v>
      </c>
      <c r="F1849" s="1"/>
      <c r="G1849" s="1"/>
      <c r="H1849" s="1"/>
      <c r="I1849" s="1"/>
      <c r="J1849" s="1"/>
      <c r="K1849" s="1"/>
      <c r="L1849" s="1"/>
      <c r="M1849" s="1"/>
      <c r="N1849" s="1"/>
      <c r="O1849" s="1"/>
      <c r="P1849" s="1"/>
      <c r="Q1849" s="1"/>
      <c r="R1849" s="1"/>
      <c r="S1849" s="1"/>
    </row>
    <row r="1850" spans="1:19" ht="33.75" customHeight="1">
      <c r="A1850" s="1" t="s">
        <v>5096</v>
      </c>
      <c r="B1850" s="1" t="s">
        <v>3929</v>
      </c>
      <c r="C1850" s="1">
        <v>21</v>
      </c>
      <c r="D1850" s="4">
        <v>39974.788888888892</v>
      </c>
      <c r="E1850" s="1" t="s">
        <v>320</v>
      </c>
      <c r="F1850" s="1"/>
      <c r="G1850" s="1"/>
      <c r="H1850" s="1"/>
      <c r="I1850" s="1"/>
      <c r="J1850" s="1"/>
      <c r="K1850" s="1"/>
      <c r="L1850" s="1"/>
      <c r="M1850" s="1"/>
      <c r="N1850" s="1"/>
      <c r="O1850" s="1"/>
      <c r="P1850" s="1"/>
      <c r="Q1850" s="1"/>
      <c r="R1850" s="1"/>
      <c r="S1850" s="1"/>
    </row>
    <row r="1851" spans="1:19" ht="33.75" customHeight="1">
      <c r="A1851" s="1" t="s">
        <v>5099</v>
      </c>
      <c r="B1851" s="1" t="s">
        <v>4904</v>
      </c>
      <c r="C1851" s="1">
        <v>25</v>
      </c>
      <c r="D1851" s="4">
        <v>39974.95208333333</v>
      </c>
      <c r="E1851" s="1" t="s">
        <v>1887</v>
      </c>
      <c r="F1851" s="1"/>
      <c r="G1851" s="1"/>
      <c r="H1851" s="1"/>
      <c r="I1851" s="1"/>
      <c r="J1851" s="1"/>
      <c r="K1851" s="1"/>
      <c r="L1851" s="1"/>
      <c r="M1851" s="1"/>
      <c r="N1851" s="1"/>
      <c r="O1851" s="1"/>
      <c r="P1851" s="1"/>
      <c r="Q1851" s="1"/>
      <c r="R1851" s="1"/>
      <c r="S1851" s="1"/>
    </row>
    <row r="1852" spans="1:19" ht="33.75" customHeight="1">
      <c r="A1852" s="1" t="s">
        <v>5102</v>
      </c>
      <c r="B1852" s="1" t="s">
        <v>4904</v>
      </c>
      <c r="C1852" s="1">
        <v>25</v>
      </c>
      <c r="D1852" s="4">
        <v>39975.362500000003</v>
      </c>
      <c r="E1852" s="1" t="s">
        <v>772</v>
      </c>
      <c r="F1852" s="1"/>
      <c r="G1852" s="1"/>
      <c r="H1852" s="1"/>
      <c r="I1852" s="1"/>
      <c r="J1852" s="1"/>
      <c r="K1852" s="1"/>
      <c r="L1852" s="1"/>
      <c r="M1852" s="1"/>
      <c r="N1852" s="1"/>
      <c r="O1852" s="1"/>
      <c r="P1852" s="1"/>
      <c r="Q1852" s="1"/>
      <c r="R1852" s="1"/>
      <c r="S1852" s="1"/>
    </row>
    <row r="1853" spans="1:19" ht="33.75" customHeight="1">
      <c r="A1853" s="1" t="s">
        <v>5104</v>
      </c>
      <c r="B1853" s="1" t="s">
        <v>4904</v>
      </c>
      <c r="C1853" s="1">
        <v>25</v>
      </c>
      <c r="D1853" s="4">
        <v>39975.459027777775</v>
      </c>
      <c r="E1853" s="1" t="s">
        <v>54</v>
      </c>
      <c r="F1853" s="1"/>
      <c r="G1853" s="1"/>
      <c r="H1853" s="1"/>
      <c r="I1853" s="1"/>
      <c r="J1853" s="1"/>
      <c r="K1853" s="1"/>
      <c r="L1853" s="1"/>
      <c r="M1853" s="1"/>
      <c r="N1853" s="1"/>
      <c r="O1853" s="1"/>
      <c r="P1853" s="1"/>
      <c r="Q1853" s="1"/>
      <c r="R1853" s="1"/>
      <c r="S1853" s="1"/>
    </row>
    <row r="1854" spans="1:19" ht="33.75" customHeight="1">
      <c r="A1854" s="1" t="s">
        <v>5107</v>
      </c>
      <c r="B1854" s="1" t="s">
        <v>4904</v>
      </c>
      <c r="C1854" s="1">
        <v>25</v>
      </c>
      <c r="D1854" s="4">
        <v>39975.478472222225</v>
      </c>
      <c r="E1854" s="1" t="s">
        <v>1887</v>
      </c>
      <c r="F1854" s="1"/>
      <c r="G1854" s="1"/>
      <c r="H1854" s="1"/>
      <c r="I1854" s="1"/>
      <c r="J1854" s="1"/>
      <c r="K1854" s="1"/>
      <c r="L1854" s="1"/>
      <c r="M1854" s="1"/>
      <c r="N1854" s="1"/>
      <c r="O1854" s="1"/>
      <c r="P1854" s="1"/>
      <c r="Q1854" s="1"/>
      <c r="R1854" s="1"/>
      <c r="S1854" s="1"/>
    </row>
    <row r="1855" spans="1:19" ht="33.75" customHeight="1">
      <c r="A1855" s="1" t="s">
        <v>5109</v>
      </c>
      <c r="B1855" s="1" t="s">
        <v>4904</v>
      </c>
      <c r="C1855" s="1">
        <v>25</v>
      </c>
      <c r="D1855" s="4">
        <v>39975.527777777781</v>
      </c>
      <c r="E1855" s="1" t="s">
        <v>2893</v>
      </c>
      <c r="F1855" s="1"/>
      <c r="G1855" s="1"/>
      <c r="H1855" s="1"/>
      <c r="I1855" s="1"/>
      <c r="J1855" s="1"/>
      <c r="K1855" s="1"/>
      <c r="L1855" s="1"/>
      <c r="M1855" s="1"/>
      <c r="N1855" s="1"/>
      <c r="O1855" s="1"/>
      <c r="P1855" s="1"/>
      <c r="Q1855" s="1"/>
      <c r="R1855" s="1"/>
      <c r="S1855" s="1"/>
    </row>
    <row r="1856" spans="1:19" ht="33.75" customHeight="1">
      <c r="A1856" s="1" t="s">
        <v>5111</v>
      </c>
      <c r="B1856" s="1" t="s">
        <v>4904</v>
      </c>
      <c r="C1856" s="1">
        <v>25</v>
      </c>
      <c r="D1856" s="4">
        <v>39975.661805555559</v>
      </c>
      <c r="E1856" s="1" t="s">
        <v>54</v>
      </c>
      <c r="F1856" s="1"/>
      <c r="G1856" s="1"/>
      <c r="H1856" s="1"/>
      <c r="I1856" s="1"/>
      <c r="J1856" s="1"/>
      <c r="K1856" s="1"/>
      <c r="L1856" s="1"/>
      <c r="M1856" s="1"/>
      <c r="N1856" s="1"/>
      <c r="O1856" s="1"/>
      <c r="P1856" s="1"/>
      <c r="Q1856" s="1"/>
      <c r="R1856" s="1"/>
      <c r="S1856" s="1"/>
    </row>
    <row r="1857" spans="1:19" ht="33.75" customHeight="1">
      <c r="A1857" s="1" t="s">
        <v>5113</v>
      </c>
      <c r="B1857" s="1" t="s">
        <v>4904</v>
      </c>
      <c r="C1857" s="1">
        <v>25</v>
      </c>
      <c r="D1857" s="4">
        <v>39975.844444444447</v>
      </c>
      <c r="E1857" s="1" t="s">
        <v>1089</v>
      </c>
      <c r="F1857" s="1"/>
      <c r="G1857" s="1"/>
      <c r="H1857" s="1"/>
      <c r="I1857" s="1"/>
      <c r="J1857" s="1"/>
      <c r="K1857" s="1"/>
      <c r="L1857" s="1"/>
      <c r="M1857" s="1"/>
      <c r="N1857" s="1"/>
      <c r="O1857" s="1"/>
      <c r="P1857" s="1"/>
      <c r="Q1857" s="1"/>
      <c r="R1857" s="1"/>
      <c r="S1857" s="1"/>
    </row>
    <row r="1858" spans="1:19" ht="33.75" customHeight="1">
      <c r="A1858" s="1" t="s">
        <v>5115</v>
      </c>
      <c r="B1858" s="1" t="s">
        <v>4904</v>
      </c>
      <c r="C1858" s="1">
        <v>25</v>
      </c>
      <c r="D1858" s="4">
        <v>39975.87222222222</v>
      </c>
      <c r="E1858" s="1" t="s">
        <v>54</v>
      </c>
      <c r="F1858" s="1"/>
      <c r="G1858" s="1"/>
      <c r="H1858" s="1"/>
      <c r="I1858" s="1"/>
      <c r="J1858" s="1"/>
      <c r="K1858" s="1"/>
      <c r="L1858" s="1"/>
      <c r="M1858" s="1"/>
      <c r="N1858" s="1"/>
      <c r="O1858" s="1"/>
      <c r="P1858" s="1"/>
      <c r="Q1858" s="1"/>
      <c r="R1858" s="1"/>
      <c r="S1858" s="1"/>
    </row>
    <row r="1859" spans="1:19" ht="33.75" customHeight="1">
      <c r="A1859" s="1" t="s">
        <v>5118</v>
      </c>
      <c r="B1859" s="1" t="s">
        <v>4904</v>
      </c>
      <c r="C1859" s="1">
        <v>25</v>
      </c>
      <c r="D1859" s="4">
        <v>39975.875</v>
      </c>
      <c r="E1859" s="1" t="s">
        <v>1089</v>
      </c>
      <c r="F1859" s="1"/>
      <c r="G1859" s="1"/>
      <c r="H1859" s="1"/>
      <c r="I1859" s="1"/>
      <c r="J1859" s="1"/>
      <c r="K1859" s="1"/>
      <c r="L1859" s="1"/>
      <c r="M1859" s="1"/>
      <c r="N1859" s="1"/>
      <c r="O1859" s="1"/>
      <c r="P1859" s="1"/>
      <c r="Q1859" s="1"/>
      <c r="R1859" s="1"/>
      <c r="S1859" s="1"/>
    </row>
    <row r="1860" spans="1:19" ht="33.75" customHeight="1">
      <c r="A1860" s="1" t="s">
        <v>5120</v>
      </c>
      <c r="B1860" s="1" t="s">
        <v>4904</v>
      </c>
      <c r="C1860" s="1">
        <v>25</v>
      </c>
      <c r="D1860" s="4">
        <v>39975.884027777778</v>
      </c>
      <c r="E1860" s="1" t="s">
        <v>54</v>
      </c>
      <c r="F1860" s="1"/>
      <c r="G1860" s="1"/>
      <c r="H1860" s="1"/>
      <c r="I1860" s="1"/>
      <c r="J1860" s="1"/>
      <c r="K1860" s="1"/>
      <c r="L1860" s="1"/>
      <c r="M1860" s="1"/>
      <c r="N1860" s="1"/>
      <c r="O1860" s="1"/>
      <c r="P1860" s="1"/>
      <c r="Q1860" s="1"/>
      <c r="R1860" s="1"/>
      <c r="S1860" s="1"/>
    </row>
    <row r="1861" spans="1:19" ht="33.75" customHeight="1">
      <c r="A1861" s="1" t="s">
        <v>5124</v>
      </c>
      <c r="B1861" s="1" t="s">
        <v>3929</v>
      </c>
      <c r="C1861" s="1">
        <v>21</v>
      </c>
      <c r="D1861" s="4">
        <v>39975.888194444444</v>
      </c>
      <c r="E1861" s="1" t="s">
        <v>320</v>
      </c>
      <c r="F1861" s="1"/>
      <c r="G1861" s="1"/>
      <c r="H1861" s="1"/>
      <c r="I1861" s="1"/>
      <c r="J1861" s="1"/>
      <c r="K1861" s="1"/>
      <c r="L1861" s="1"/>
      <c r="M1861" s="1"/>
      <c r="N1861" s="1"/>
      <c r="O1861" s="1"/>
      <c r="P1861" s="1"/>
      <c r="Q1861" s="1"/>
      <c r="R1861" s="1"/>
      <c r="S1861" s="1"/>
    </row>
    <row r="1862" spans="1:19" ht="33.75" customHeight="1">
      <c r="A1862" s="1" t="s">
        <v>5126</v>
      </c>
      <c r="B1862" s="1" t="s">
        <v>4904</v>
      </c>
      <c r="C1862" s="1">
        <v>25</v>
      </c>
      <c r="D1862" s="4">
        <v>39975.888194444444</v>
      </c>
      <c r="E1862" s="1" t="s">
        <v>1089</v>
      </c>
      <c r="F1862" s="1"/>
      <c r="G1862" s="1"/>
      <c r="H1862" s="1"/>
      <c r="I1862" s="1"/>
      <c r="J1862" s="1"/>
      <c r="K1862" s="1"/>
      <c r="L1862" s="1"/>
      <c r="M1862" s="1"/>
      <c r="N1862" s="1"/>
      <c r="O1862" s="1"/>
      <c r="P1862" s="1"/>
      <c r="Q1862" s="1"/>
      <c r="R1862" s="1"/>
      <c r="S1862" s="1"/>
    </row>
    <row r="1863" spans="1:19" ht="33.75" customHeight="1">
      <c r="A1863" s="1" t="s">
        <v>5128</v>
      </c>
      <c r="B1863" s="1" t="s">
        <v>4904</v>
      </c>
      <c r="C1863" s="1">
        <v>25</v>
      </c>
      <c r="D1863" s="4">
        <v>39975.893750000003</v>
      </c>
      <c r="E1863" s="1" t="s">
        <v>54</v>
      </c>
      <c r="F1863" s="1"/>
      <c r="G1863" s="1"/>
      <c r="H1863" s="1"/>
      <c r="I1863" s="1"/>
      <c r="J1863" s="1"/>
      <c r="K1863" s="1"/>
      <c r="L1863" s="1"/>
      <c r="M1863" s="1"/>
      <c r="N1863" s="1"/>
      <c r="O1863" s="1"/>
      <c r="P1863" s="1"/>
      <c r="Q1863" s="1"/>
      <c r="R1863" s="1"/>
      <c r="S1863" s="1"/>
    </row>
    <row r="1864" spans="1:19" ht="33.75" customHeight="1">
      <c r="A1864" s="1" t="s">
        <v>5131</v>
      </c>
      <c r="B1864" s="1" t="s">
        <v>3929</v>
      </c>
      <c r="C1864" s="1">
        <v>21</v>
      </c>
      <c r="D1864" s="4">
        <v>39975.949305555558</v>
      </c>
      <c r="E1864" s="1" t="s">
        <v>320</v>
      </c>
      <c r="F1864" s="1"/>
      <c r="G1864" s="1"/>
      <c r="H1864" s="1"/>
      <c r="I1864" s="1"/>
      <c r="J1864" s="1"/>
      <c r="K1864" s="1"/>
      <c r="L1864" s="1"/>
      <c r="M1864" s="1"/>
      <c r="N1864" s="1"/>
      <c r="O1864" s="1"/>
      <c r="P1864" s="1"/>
      <c r="Q1864" s="1"/>
      <c r="R1864" s="1"/>
      <c r="S1864" s="1"/>
    </row>
    <row r="1865" spans="1:19" ht="33.75" customHeight="1">
      <c r="A1865" s="1" t="s">
        <v>5133</v>
      </c>
      <c r="B1865" s="1" t="s">
        <v>3929</v>
      </c>
      <c r="C1865" s="1">
        <v>21</v>
      </c>
      <c r="D1865" s="4">
        <v>39975.999305555553</v>
      </c>
      <c r="E1865" s="1" t="s">
        <v>14</v>
      </c>
      <c r="F1865" s="1"/>
      <c r="G1865" s="1"/>
      <c r="H1865" s="1"/>
      <c r="I1865" s="1"/>
      <c r="J1865" s="1"/>
      <c r="K1865" s="1"/>
      <c r="L1865" s="1"/>
      <c r="M1865" s="1"/>
      <c r="N1865" s="1"/>
      <c r="O1865" s="1"/>
      <c r="P1865" s="1"/>
      <c r="Q1865" s="1"/>
      <c r="R1865" s="1"/>
      <c r="S1865" s="1"/>
    </row>
    <row r="1866" spans="1:19" ht="33.75" customHeight="1">
      <c r="A1866" s="1" t="s">
        <v>5135</v>
      </c>
      <c r="B1866" s="1" t="s">
        <v>4904</v>
      </c>
      <c r="C1866" s="1">
        <v>25</v>
      </c>
      <c r="D1866" s="4">
        <v>39976.177777777775</v>
      </c>
      <c r="E1866" s="1" t="s">
        <v>1887</v>
      </c>
      <c r="F1866" s="1"/>
      <c r="G1866" s="1"/>
      <c r="H1866" s="1"/>
      <c r="I1866" s="1"/>
      <c r="J1866" s="1"/>
      <c r="K1866" s="1"/>
      <c r="L1866" s="1"/>
      <c r="M1866" s="1"/>
      <c r="N1866" s="1"/>
      <c r="O1866" s="1"/>
      <c r="P1866" s="1"/>
      <c r="Q1866" s="1"/>
      <c r="R1866" s="1"/>
      <c r="S1866" s="1"/>
    </row>
    <row r="1867" spans="1:19" ht="33.75" customHeight="1">
      <c r="A1867" s="1" t="s">
        <v>5137</v>
      </c>
      <c r="B1867" s="1" t="s">
        <v>4904</v>
      </c>
      <c r="C1867" s="1">
        <v>25</v>
      </c>
      <c r="D1867" s="4">
        <v>39976.209722222222</v>
      </c>
      <c r="E1867" s="1" t="s">
        <v>1887</v>
      </c>
      <c r="F1867" s="1"/>
      <c r="G1867" s="1"/>
      <c r="H1867" s="1"/>
      <c r="I1867" s="1"/>
      <c r="J1867" s="1"/>
      <c r="K1867" s="1"/>
      <c r="L1867" s="1"/>
      <c r="M1867" s="1"/>
      <c r="N1867" s="1"/>
      <c r="O1867" s="1"/>
      <c r="P1867" s="1"/>
      <c r="Q1867" s="1"/>
      <c r="R1867" s="1"/>
      <c r="S1867" s="1"/>
    </row>
    <row r="1868" spans="1:19" ht="33.75" customHeight="1">
      <c r="A1868" s="1" t="s">
        <v>5139</v>
      </c>
      <c r="B1868" s="1" t="s">
        <v>4904</v>
      </c>
      <c r="C1868" s="1">
        <v>25</v>
      </c>
      <c r="D1868" s="4">
        <v>39976.288888888892</v>
      </c>
      <c r="E1868" s="1" t="s">
        <v>1089</v>
      </c>
      <c r="F1868" s="1"/>
      <c r="G1868" s="1"/>
      <c r="H1868" s="1"/>
      <c r="I1868" s="1"/>
      <c r="J1868" s="1"/>
      <c r="K1868" s="1"/>
      <c r="L1868" s="1"/>
      <c r="M1868" s="1"/>
      <c r="N1868" s="1"/>
      <c r="O1868" s="1"/>
      <c r="P1868" s="1"/>
      <c r="Q1868" s="1"/>
      <c r="R1868" s="1"/>
      <c r="S1868" s="1"/>
    </row>
    <row r="1869" spans="1:19" ht="33.75" customHeight="1">
      <c r="A1869" s="1" t="s">
        <v>5142</v>
      </c>
      <c r="B1869" s="1" t="s">
        <v>3929</v>
      </c>
      <c r="C1869" s="1">
        <v>21</v>
      </c>
      <c r="D1869" s="4">
        <v>39976.296527777777</v>
      </c>
      <c r="E1869" s="1" t="s">
        <v>54</v>
      </c>
      <c r="F1869" s="1"/>
      <c r="G1869" s="1"/>
      <c r="H1869" s="1"/>
      <c r="I1869" s="1"/>
      <c r="J1869" s="1"/>
      <c r="K1869" s="1"/>
      <c r="L1869" s="1"/>
      <c r="M1869" s="1"/>
      <c r="N1869" s="1"/>
      <c r="O1869" s="1"/>
      <c r="P1869" s="1"/>
      <c r="Q1869" s="1"/>
      <c r="R1869" s="1"/>
      <c r="S1869" s="1"/>
    </row>
    <row r="1870" spans="1:19" ht="33.75" customHeight="1">
      <c r="A1870" s="1" t="s">
        <v>5144</v>
      </c>
      <c r="B1870" s="1" t="s">
        <v>4904</v>
      </c>
      <c r="C1870" s="1">
        <v>25</v>
      </c>
      <c r="D1870" s="4">
        <v>39976.365972222222</v>
      </c>
      <c r="E1870" s="1" t="s">
        <v>54</v>
      </c>
      <c r="F1870" s="1"/>
      <c r="G1870" s="1"/>
      <c r="H1870" s="1"/>
      <c r="I1870" s="1"/>
      <c r="J1870" s="1"/>
      <c r="K1870" s="1"/>
      <c r="L1870" s="1"/>
      <c r="M1870" s="1"/>
      <c r="N1870" s="1"/>
      <c r="O1870" s="1"/>
      <c r="P1870" s="1"/>
      <c r="Q1870" s="1"/>
      <c r="R1870" s="1"/>
      <c r="S1870" s="1"/>
    </row>
    <row r="1871" spans="1:19" ht="33.75" customHeight="1">
      <c r="A1871" s="1" t="s">
        <v>5146</v>
      </c>
      <c r="B1871" s="1" t="s">
        <v>4904</v>
      </c>
      <c r="C1871" s="1">
        <v>25</v>
      </c>
      <c r="D1871" s="4">
        <v>39976.440972222219</v>
      </c>
      <c r="E1871" s="1" t="s">
        <v>772</v>
      </c>
      <c r="F1871" s="1"/>
      <c r="G1871" s="1"/>
      <c r="H1871" s="1"/>
      <c r="I1871" s="1"/>
      <c r="J1871" s="1"/>
      <c r="K1871" s="1"/>
      <c r="L1871" s="1"/>
      <c r="M1871" s="1"/>
      <c r="N1871" s="1"/>
      <c r="O1871" s="1"/>
      <c r="P1871" s="1"/>
      <c r="Q1871" s="1"/>
      <c r="R1871" s="1"/>
      <c r="S1871" s="1"/>
    </row>
    <row r="1872" spans="1:19" ht="33.75" customHeight="1">
      <c r="A1872" s="1" t="s">
        <v>5150</v>
      </c>
      <c r="B1872" s="1" t="s">
        <v>4904</v>
      </c>
      <c r="C1872" s="1">
        <v>25</v>
      </c>
      <c r="D1872" s="4">
        <v>39976.62777777778</v>
      </c>
      <c r="E1872" s="1" t="s">
        <v>1089</v>
      </c>
      <c r="F1872" s="1"/>
      <c r="G1872" s="1"/>
      <c r="H1872" s="1"/>
      <c r="I1872" s="1"/>
      <c r="J1872" s="1"/>
      <c r="K1872" s="1"/>
      <c r="L1872" s="1"/>
      <c r="M1872" s="1"/>
      <c r="N1872" s="1"/>
      <c r="O1872" s="1"/>
      <c r="P1872" s="1"/>
      <c r="Q1872" s="1"/>
      <c r="R1872" s="1"/>
      <c r="S1872" s="1"/>
    </row>
    <row r="1873" spans="1:19" ht="33.75" customHeight="1">
      <c r="A1873" s="1" t="s">
        <v>5152</v>
      </c>
      <c r="B1873" s="1" t="s">
        <v>4904</v>
      </c>
      <c r="C1873" s="1">
        <v>25</v>
      </c>
      <c r="D1873" s="4">
        <v>39976.651388888888</v>
      </c>
      <c r="E1873" s="1" t="s">
        <v>54</v>
      </c>
      <c r="F1873" s="1"/>
      <c r="G1873" s="1"/>
      <c r="H1873" s="1"/>
      <c r="I1873" s="1"/>
      <c r="J1873" s="1"/>
      <c r="K1873" s="1"/>
      <c r="L1873" s="1"/>
      <c r="M1873" s="1"/>
      <c r="N1873" s="1"/>
      <c r="O1873" s="1"/>
      <c r="P1873" s="1"/>
      <c r="Q1873" s="1"/>
      <c r="R1873" s="1"/>
      <c r="S1873" s="1"/>
    </row>
    <row r="1874" spans="1:19" ht="33.75" customHeight="1">
      <c r="A1874" s="1" t="s">
        <v>5156</v>
      </c>
      <c r="B1874" s="1" t="s">
        <v>4904</v>
      </c>
      <c r="C1874" s="1">
        <v>25</v>
      </c>
      <c r="D1874" s="4">
        <v>39976.720833333333</v>
      </c>
      <c r="E1874" s="1" t="s">
        <v>54</v>
      </c>
      <c r="F1874" s="1"/>
      <c r="G1874" s="1"/>
      <c r="H1874" s="1"/>
      <c r="I1874" s="1"/>
      <c r="J1874" s="1"/>
      <c r="K1874" s="1"/>
      <c r="L1874" s="1"/>
      <c r="M1874" s="1"/>
      <c r="N1874" s="1"/>
      <c r="O1874" s="1"/>
      <c r="P1874" s="1"/>
      <c r="Q1874" s="1"/>
      <c r="R1874" s="1"/>
      <c r="S1874" s="1"/>
    </row>
    <row r="1875" spans="1:19" ht="33.75" customHeight="1">
      <c r="A1875" s="1" t="s">
        <v>5158</v>
      </c>
      <c r="B1875" s="1" t="s">
        <v>4904</v>
      </c>
      <c r="C1875" s="1">
        <v>25</v>
      </c>
      <c r="D1875" s="4">
        <v>39976.734027777777</v>
      </c>
      <c r="E1875" s="1" t="s">
        <v>54</v>
      </c>
      <c r="F1875" s="1"/>
      <c r="G1875" s="1"/>
      <c r="H1875" s="1"/>
      <c r="I1875" s="1"/>
      <c r="J1875" s="1"/>
      <c r="K1875" s="1"/>
      <c r="L1875" s="1"/>
      <c r="M1875" s="1"/>
      <c r="N1875" s="1"/>
      <c r="O1875" s="1"/>
      <c r="P1875" s="1"/>
      <c r="Q1875" s="1"/>
      <c r="R1875" s="1"/>
      <c r="S1875" s="1"/>
    </row>
    <row r="1876" spans="1:19" ht="33.75" customHeight="1">
      <c r="A1876" s="1" t="s">
        <v>5161</v>
      </c>
      <c r="B1876" s="1" t="s">
        <v>4904</v>
      </c>
      <c r="C1876" s="1">
        <v>25</v>
      </c>
      <c r="D1876" s="4">
        <v>39976.839583333334</v>
      </c>
      <c r="E1876" s="1" t="s">
        <v>772</v>
      </c>
      <c r="F1876" s="1"/>
      <c r="G1876" s="1"/>
      <c r="H1876" s="1"/>
      <c r="I1876" s="1"/>
      <c r="J1876" s="1"/>
      <c r="K1876" s="1"/>
      <c r="L1876" s="1"/>
      <c r="M1876" s="1"/>
      <c r="N1876" s="1"/>
      <c r="O1876" s="1"/>
      <c r="P1876" s="1"/>
      <c r="Q1876" s="1"/>
      <c r="R1876" s="1"/>
      <c r="S1876" s="1"/>
    </row>
    <row r="1877" spans="1:19" ht="33.75" customHeight="1">
      <c r="A1877" s="1" t="s">
        <v>5164</v>
      </c>
      <c r="B1877" s="1" t="s">
        <v>4904</v>
      </c>
      <c r="C1877" s="1">
        <v>25</v>
      </c>
      <c r="D1877" s="4">
        <v>39976.866666666669</v>
      </c>
      <c r="E1877" s="1" t="s">
        <v>772</v>
      </c>
      <c r="F1877" s="1"/>
      <c r="G1877" s="1"/>
      <c r="H1877" s="1"/>
      <c r="I1877" s="1"/>
      <c r="J1877" s="1"/>
      <c r="K1877" s="1"/>
      <c r="L1877" s="1"/>
      <c r="M1877" s="1"/>
      <c r="N1877" s="1"/>
      <c r="O1877" s="1"/>
      <c r="P1877" s="1"/>
      <c r="Q1877" s="1"/>
      <c r="R1877" s="1"/>
      <c r="S1877" s="1"/>
    </row>
    <row r="1878" spans="1:19" ht="33.75" customHeight="1">
      <c r="A1878" s="1" t="s">
        <v>5167</v>
      </c>
      <c r="B1878" s="1" t="s">
        <v>3929</v>
      </c>
      <c r="C1878" s="1">
        <v>21</v>
      </c>
      <c r="D1878" s="4">
        <v>39976.875</v>
      </c>
      <c r="E1878" s="1" t="s">
        <v>320</v>
      </c>
      <c r="F1878" s="1"/>
      <c r="G1878" s="1"/>
      <c r="H1878" s="1"/>
      <c r="I1878" s="1"/>
      <c r="J1878" s="1"/>
      <c r="K1878" s="1"/>
      <c r="L1878" s="1"/>
      <c r="M1878" s="1"/>
      <c r="N1878" s="1"/>
      <c r="O1878" s="1"/>
      <c r="P1878" s="1"/>
      <c r="Q1878" s="1"/>
      <c r="R1878" s="1"/>
      <c r="S1878" s="1"/>
    </row>
    <row r="1879" spans="1:19" ht="33.75" customHeight="1">
      <c r="A1879" s="1" t="s">
        <v>5169</v>
      </c>
      <c r="B1879" s="1" t="s">
        <v>4904</v>
      </c>
      <c r="C1879" s="1">
        <v>25</v>
      </c>
      <c r="D1879" s="4">
        <v>39977.116666666669</v>
      </c>
      <c r="E1879" s="1" t="s">
        <v>1887</v>
      </c>
      <c r="F1879" s="1"/>
      <c r="G1879" s="1"/>
      <c r="H1879" s="1"/>
      <c r="I1879" s="1"/>
      <c r="J1879" s="1"/>
      <c r="K1879" s="1"/>
      <c r="L1879" s="1"/>
      <c r="M1879" s="1"/>
      <c r="N1879" s="1"/>
      <c r="O1879" s="1"/>
      <c r="P1879" s="1"/>
      <c r="Q1879" s="1"/>
      <c r="R1879" s="1"/>
      <c r="S1879" s="1"/>
    </row>
    <row r="1880" spans="1:19" ht="33.75" customHeight="1">
      <c r="A1880" s="1" t="s">
        <v>5172</v>
      </c>
      <c r="B1880" s="1" t="s">
        <v>4904</v>
      </c>
      <c r="C1880" s="1">
        <v>25</v>
      </c>
      <c r="D1880" s="4">
        <v>39977.179166666669</v>
      </c>
      <c r="E1880" s="1" t="s">
        <v>1089</v>
      </c>
      <c r="F1880" s="1"/>
      <c r="G1880" s="1"/>
      <c r="H1880" s="1"/>
      <c r="I1880" s="1"/>
      <c r="J1880" s="1"/>
      <c r="K1880" s="1"/>
      <c r="L1880" s="1"/>
      <c r="M1880" s="1"/>
      <c r="N1880" s="1"/>
      <c r="O1880" s="1"/>
      <c r="P1880" s="1"/>
      <c r="Q1880" s="1"/>
      <c r="R1880" s="1"/>
      <c r="S1880" s="1"/>
    </row>
    <row r="1881" spans="1:19" ht="33.75" customHeight="1">
      <c r="A1881" s="1" t="s">
        <v>5174</v>
      </c>
      <c r="B1881" s="1" t="s">
        <v>4904</v>
      </c>
      <c r="C1881" s="1">
        <v>25</v>
      </c>
      <c r="D1881" s="4">
        <v>39977.335416666669</v>
      </c>
      <c r="E1881" s="1" t="s">
        <v>54</v>
      </c>
      <c r="F1881" s="1"/>
      <c r="G1881" s="1"/>
      <c r="H1881" s="1"/>
      <c r="I1881" s="1"/>
      <c r="J1881" s="1"/>
      <c r="K1881" s="1"/>
      <c r="L1881" s="1"/>
      <c r="M1881" s="1"/>
      <c r="N1881" s="1"/>
      <c r="O1881" s="1"/>
      <c r="P1881" s="1"/>
      <c r="Q1881" s="1"/>
      <c r="R1881" s="1"/>
      <c r="S1881" s="1"/>
    </row>
    <row r="1882" spans="1:19" ht="33.75" customHeight="1">
      <c r="A1882" s="1" t="s">
        <v>5176</v>
      </c>
      <c r="B1882" s="1" t="s">
        <v>4904</v>
      </c>
      <c r="C1882" s="1">
        <v>25</v>
      </c>
      <c r="D1882" s="4">
        <v>39977.347916666666</v>
      </c>
      <c r="E1882" s="1" t="s">
        <v>54</v>
      </c>
      <c r="F1882" s="1"/>
      <c r="G1882" s="1"/>
      <c r="H1882" s="1"/>
      <c r="I1882" s="1"/>
      <c r="J1882" s="1"/>
      <c r="K1882" s="1"/>
      <c r="L1882" s="1"/>
      <c r="M1882" s="1"/>
      <c r="N1882" s="1"/>
      <c r="O1882" s="1"/>
      <c r="P1882" s="1"/>
      <c r="Q1882" s="1"/>
      <c r="R1882" s="1"/>
      <c r="S1882" s="1"/>
    </row>
    <row r="1883" spans="1:19" ht="33.75" customHeight="1">
      <c r="A1883" s="1" t="s">
        <v>5179</v>
      </c>
      <c r="B1883" s="1" t="s">
        <v>4904</v>
      </c>
      <c r="C1883" s="1">
        <v>25</v>
      </c>
      <c r="D1883" s="4">
        <v>39977.356944444444</v>
      </c>
      <c r="E1883" s="1" t="s">
        <v>1089</v>
      </c>
      <c r="F1883" s="1"/>
      <c r="G1883" s="1"/>
      <c r="H1883" s="1"/>
      <c r="I1883" s="1"/>
      <c r="J1883" s="1"/>
      <c r="K1883" s="1"/>
      <c r="L1883" s="1"/>
      <c r="M1883" s="1"/>
      <c r="N1883" s="1"/>
      <c r="O1883" s="1"/>
      <c r="P1883" s="1"/>
      <c r="Q1883" s="1"/>
      <c r="R1883" s="1"/>
      <c r="S1883" s="1"/>
    </row>
    <row r="1884" spans="1:19" ht="33.75" customHeight="1">
      <c r="A1884" s="1" t="s">
        <v>5183</v>
      </c>
      <c r="B1884" s="1" t="s">
        <v>4904</v>
      </c>
      <c r="C1884" s="1">
        <v>25</v>
      </c>
      <c r="D1884" s="4">
        <v>39977.395833333336</v>
      </c>
      <c r="E1884" s="1" t="s">
        <v>54</v>
      </c>
      <c r="F1884" s="1"/>
      <c r="G1884" s="1"/>
      <c r="H1884" s="1"/>
      <c r="I1884" s="1"/>
      <c r="J1884" s="1"/>
      <c r="K1884" s="1"/>
      <c r="L1884" s="1"/>
      <c r="M1884" s="1"/>
      <c r="N1884" s="1"/>
      <c r="O1884" s="1"/>
      <c r="P1884" s="1"/>
      <c r="Q1884" s="1"/>
      <c r="R1884" s="1"/>
      <c r="S1884" s="1"/>
    </row>
    <row r="1885" spans="1:19" ht="33.75" customHeight="1">
      <c r="A1885" s="1" t="s">
        <v>5187</v>
      </c>
      <c r="B1885" s="1" t="s">
        <v>4904</v>
      </c>
      <c r="C1885" s="1">
        <v>25</v>
      </c>
      <c r="D1885" s="4">
        <v>39977.40625</v>
      </c>
      <c r="E1885" s="1" t="s">
        <v>54</v>
      </c>
      <c r="F1885" s="1"/>
      <c r="G1885" s="1"/>
      <c r="H1885" s="1"/>
      <c r="I1885" s="1"/>
      <c r="J1885" s="1"/>
      <c r="K1885" s="1"/>
      <c r="L1885" s="1"/>
      <c r="M1885" s="1"/>
      <c r="N1885" s="1"/>
      <c r="O1885" s="1"/>
      <c r="P1885" s="1"/>
      <c r="Q1885" s="1"/>
      <c r="R1885" s="1"/>
      <c r="S1885" s="1"/>
    </row>
    <row r="1886" spans="1:19" ht="33.75" customHeight="1">
      <c r="A1886" s="1" t="s">
        <v>5189</v>
      </c>
      <c r="B1886" s="1" t="s">
        <v>4904</v>
      </c>
      <c r="C1886" s="1">
        <v>25</v>
      </c>
      <c r="D1886" s="4">
        <v>39977.423611111109</v>
      </c>
      <c r="E1886" s="1" t="s">
        <v>54</v>
      </c>
      <c r="F1886" s="1"/>
      <c r="G1886" s="1"/>
      <c r="H1886" s="1"/>
      <c r="I1886" s="1"/>
      <c r="J1886" s="1"/>
      <c r="K1886" s="1"/>
      <c r="L1886" s="1"/>
      <c r="M1886" s="1"/>
      <c r="N1886" s="1"/>
      <c r="O1886" s="1"/>
      <c r="P1886" s="1"/>
      <c r="Q1886" s="1"/>
      <c r="R1886" s="1"/>
      <c r="S1886" s="1"/>
    </row>
    <row r="1887" spans="1:19" ht="33.75" customHeight="1">
      <c r="A1887" s="1" t="s">
        <v>5191</v>
      </c>
      <c r="B1887" s="1" t="s">
        <v>4904</v>
      </c>
      <c r="C1887" s="1">
        <v>25</v>
      </c>
      <c r="D1887" s="4">
        <v>39977.434027777781</v>
      </c>
      <c r="E1887" s="1" t="s">
        <v>54</v>
      </c>
      <c r="F1887" s="1"/>
      <c r="G1887" s="1"/>
      <c r="H1887" s="1"/>
      <c r="I1887" s="1"/>
      <c r="J1887" s="1"/>
      <c r="K1887" s="1"/>
      <c r="L1887" s="1"/>
      <c r="M1887" s="1"/>
      <c r="N1887" s="1"/>
      <c r="O1887" s="1"/>
      <c r="P1887" s="1"/>
      <c r="Q1887" s="1"/>
      <c r="R1887" s="1"/>
      <c r="S1887" s="1"/>
    </row>
    <row r="1888" spans="1:19" ht="33.75" customHeight="1">
      <c r="A1888" s="1" t="s">
        <v>5193</v>
      </c>
      <c r="B1888" s="1" t="s">
        <v>4904</v>
      </c>
      <c r="C1888" s="1">
        <v>25</v>
      </c>
      <c r="D1888" s="4">
        <v>39977.443055555559</v>
      </c>
      <c r="E1888" s="1" t="s">
        <v>54</v>
      </c>
      <c r="F1888" s="1"/>
      <c r="G1888" s="1"/>
      <c r="H1888" s="1"/>
      <c r="I1888" s="1"/>
      <c r="J1888" s="1"/>
      <c r="K1888" s="1"/>
      <c r="L1888" s="1"/>
      <c r="M1888" s="1"/>
      <c r="N1888" s="1"/>
      <c r="O1888" s="1"/>
      <c r="P1888" s="1"/>
      <c r="Q1888" s="1"/>
      <c r="R1888" s="1"/>
      <c r="S1888" s="1"/>
    </row>
    <row r="1889" spans="1:19" ht="33.75" customHeight="1">
      <c r="A1889" s="1" t="s">
        <v>5196</v>
      </c>
      <c r="B1889" s="1" t="s">
        <v>4904</v>
      </c>
      <c r="C1889" s="1">
        <v>25</v>
      </c>
      <c r="D1889" s="4">
        <v>39977.448611111111</v>
      </c>
      <c r="E1889" s="1" t="s">
        <v>54</v>
      </c>
      <c r="F1889" s="1"/>
      <c r="G1889" s="1"/>
      <c r="H1889" s="1"/>
      <c r="I1889" s="1"/>
      <c r="J1889" s="1"/>
      <c r="K1889" s="1"/>
      <c r="L1889" s="1"/>
      <c r="M1889" s="1"/>
      <c r="N1889" s="1"/>
      <c r="O1889" s="1"/>
      <c r="P1889" s="1"/>
      <c r="Q1889" s="1"/>
      <c r="R1889" s="1"/>
      <c r="S1889" s="1"/>
    </row>
    <row r="1890" spans="1:19" ht="33.75" customHeight="1">
      <c r="A1890" s="1" t="s">
        <v>5198</v>
      </c>
      <c r="B1890" s="1" t="s">
        <v>3929</v>
      </c>
      <c r="C1890" s="1">
        <v>21</v>
      </c>
      <c r="D1890" s="4">
        <v>39977.515277777777</v>
      </c>
      <c r="E1890" s="1" t="s">
        <v>14</v>
      </c>
      <c r="F1890" s="1"/>
      <c r="G1890" s="1"/>
      <c r="H1890" s="1"/>
      <c r="I1890" s="1"/>
      <c r="J1890" s="1"/>
      <c r="K1890" s="1"/>
      <c r="L1890" s="1"/>
      <c r="M1890" s="1"/>
      <c r="N1890" s="1"/>
      <c r="O1890" s="1"/>
      <c r="P1890" s="1"/>
      <c r="Q1890" s="1"/>
      <c r="R1890" s="1"/>
      <c r="S1890" s="1"/>
    </row>
    <row r="1891" spans="1:19" ht="33.75" customHeight="1">
      <c r="A1891" s="1" t="s">
        <v>5202</v>
      </c>
      <c r="B1891" s="1" t="s">
        <v>4904</v>
      </c>
      <c r="C1891" s="1">
        <v>25</v>
      </c>
      <c r="D1891" s="4">
        <v>39977.527083333334</v>
      </c>
      <c r="E1891" s="1" t="s">
        <v>54</v>
      </c>
      <c r="F1891" s="1"/>
      <c r="G1891" s="1"/>
      <c r="H1891" s="1"/>
      <c r="I1891" s="1"/>
      <c r="J1891" s="1"/>
      <c r="K1891" s="1"/>
      <c r="L1891" s="1"/>
      <c r="M1891" s="1"/>
      <c r="N1891" s="1"/>
      <c r="O1891" s="1"/>
      <c r="P1891" s="1"/>
      <c r="Q1891" s="1"/>
      <c r="R1891" s="1"/>
      <c r="S1891" s="1"/>
    </row>
    <row r="1892" spans="1:19" ht="33.75" customHeight="1">
      <c r="A1892" s="1" t="s">
        <v>5206</v>
      </c>
      <c r="B1892" s="1" t="s">
        <v>4904</v>
      </c>
      <c r="C1892" s="1">
        <v>25</v>
      </c>
      <c r="D1892" s="4">
        <v>39977.706250000003</v>
      </c>
      <c r="E1892" s="1" t="s">
        <v>772</v>
      </c>
      <c r="F1892" s="1"/>
      <c r="G1892" s="1"/>
      <c r="H1892" s="1"/>
      <c r="I1892" s="1"/>
      <c r="J1892" s="1"/>
      <c r="K1892" s="1"/>
      <c r="L1892" s="1"/>
      <c r="M1892" s="1"/>
      <c r="N1892" s="1"/>
      <c r="O1892" s="1"/>
      <c r="P1892" s="1"/>
      <c r="Q1892" s="1"/>
      <c r="R1892" s="1"/>
      <c r="S1892" s="1"/>
    </row>
    <row r="1893" spans="1:19" ht="33.75" customHeight="1">
      <c r="A1893" s="1" t="s">
        <v>5208</v>
      </c>
      <c r="B1893" s="1" t="s">
        <v>4904</v>
      </c>
      <c r="C1893" s="1">
        <v>25</v>
      </c>
      <c r="D1893" s="4">
        <v>39977.84097222222</v>
      </c>
      <c r="E1893" s="1" t="s">
        <v>54</v>
      </c>
      <c r="F1893" s="1"/>
      <c r="G1893" s="1"/>
      <c r="H1893" s="1"/>
      <c r="I1893" s="1"/>
      <c r="J1893" s="1"/>
      <c r="K1893" s="1"/>
      <c r="L1893" s="1"/>
      <c r="M1893" s="1"/>
      <c r="N1893" s="1"/>
      <c r="O1893" s="1"/>
      <c r="P1893" s="1"/>
      <c r="Q1893" s="1"/>
      <c r="R1893" s="1"/>
      <c r="S1893" s="1"/>
    </row>
    <row r="1894" spans="1:19" ht="33.75" customHeight="1">
      <c r="A1894" s="1" t="s">
        <v>5211</v>
      </c>
      <c r="B1894" s="1" t="s">
        <v>4904</v>
      </c>
      <c r="C1894" s="1">
        <v>25</v>
      </c>
      <c r="D1894" s="4">
        <v>39978.029861111114</v>
      </c>
      <c r="E1894" s="1" t="s">
        <v>1089</v>
      </c>
      <c r="F1894" s="1"/>
      <c r="G1894" s="1"/>
      <c r="H1894" s="1"/>
      <c r="I1894" s="1"/>
      <c r="J1894" s="1"/>
      <c r="K1894" s="1"/>
      <c r="L1894" s="1"/>
      <c r="M1894" s="1"/>
      <c r="N1894" s="1"/>
      <c r="O1894" s="1"/>
      <c r="P1894" s="1"/>
      <c r="Q1894" s="1"/>
      <c r="R1894" s="1"/>
      <c r="S1894" s="1"/>
    </row>
    <row r="1895" spans="1:19" ht="33.75" customHeight="1">
      <c r="A1895" s="1" t="s">
        <v>5213</v>
      </c>
      <c r="B1895" s="1" t="s">
        <v>4904</v>
      </c>
      <c r="C1895" s="1">
        <v>25</v>
      </c>
      <c r="D1895" s="4">
        <v>39978.043055555558</v>
      </c>
      <c r="E1895" s="1" t="s">
        <v>54</v>
      </c>
      <c r="F1895" s="1"/>
      <c r="G1895" s="1"/>
      <c r="H1895" s="1"/>
      <c r="I1895" s="1"/>
      <c r="J1895" s="1"/>
      <c r="K1895" s="1"/>
      <c r="L1895" s="1"/>
      <c r="M1895" s="1"/>
      <c r="N1895" s="1"/>
      <c r="O1895" s="1"/>
      <c r="P1895" s="1"/>
      <c r="Q1895" s="1"/>
      <c r="R1895" s="1"/>
      <c r="S1895" s="1"/>
    </row>
    <row r="1896" spans="1:19" ht="33.75" customHeight="1">
      <c r="A1896" s="1" t="s">
        <v>5215</v>
      </c>
      <c r="B1896" s="1" t="s">
        <v>4904</v>
      </c>
      <c r="C1896" s="1">
        <v>25</v>
      </c>
      <c r="D1896" s="4">
        <v>39978.058333333334</v>
      </c>
      <c r="E1896" s="1" t="s">
        <v>54</v>
      </c>
      <c r="F1896" s="1"/>
      <c r="G1896" s="1"/>
      <c r="H1896" s="1"/>
      <c r="I1896" s="1"/>
      <c r="J1896" s="1"/>
      <c r="K1896" s="1"/>
      <c r="L1896" s="1"/>
      <c r="M1896" s="1"/>
      <c r="N1896" s="1"/>
      <c r="O1896" s="1"/>
      <c r="P1896" s="1"/>
      <c r="Q1896" s="1"/>
      <c r="R1896" s="1"/>
      <c r="S1896" s="1"/>
    </row>
    <row r="1897" spans="1:19" ht="33.75" customHeight="1">
      <c r="A1897" s="1" t="s">
        <v>12</v>
      </c>
      <c r="B1897" s="1" t="s">
        <v>5217</v>
      </c>
      <c r="C1897" s="1">
        <v>26</v>
      </c>
      <c r="D1897" s="4">
        <v>39978.390648148146</v>
      </c>
      <c r="E1897" s="1" t="s">
        <v>175</v>
      </c>
      <c r="F1897" s="1"/>
      <c r="G1897" s="1"/>
      <c r="H1897" s="1"/>
      <c r="I1897" s="1"/>
      <c r="J1897" s="1"/>
      <c r="K1897" s="1"/>
      <c r="L1897" s="1"/>
      <c r="M1897" s="1"/>
      <c r="N1897" s="1"/>
      <c r="O1897" s="1"/>
      <c r="P1897" s="1"/>
      <c r="Q1897" s="1"/>
      <c r="R1897" s="1"/>
      <c r="S1897" s="1"/>
    </row>
    <row r="1898" spans="1:19" ht="33.75" customHeight="1">
      <c r="A1898" s="1" t="s">
        <v>5219</v>
      </c>
      <c r="B1898" s="1" t="s">
        <v>5217</v>
      </c>
      <c r="C1898" s="1">
        <v>26</v>
      </c>
      <c r="D1898" s="4">
        <v>39978.465277777781</v>
      </c>
      <c r="E1898" s="1" t="s">
        <v>772</v>
      </c>
      <c r="F1898" s="1"/>
      <c r="G1898" s="1"/>
      <c r="H1898" s="1"/>
      <c r="I1898" s="1"/>
      <c r="J1898" s="1"/>
      <c r="K1898" s="1"/>
      <c r="L1898" s="1"/>
      <c r="M1898" s="1"/>
      <c r="N1898" s="1"/>
      <c r="O1898" s="1"/>
      <c r="P1898" s="1"/>
      <c r="Q1898" s="1"/>
      <c r="R1898" s="1"/>
      <c r="S1898" s="1"/>
    </row>
    <row r="1899" spans="1:19" ht="33.75" customHeight="1">
      <c r="A1899" s="1" t="s">
        <v>5221</v>
      </c>
      <c r="B1899" s="1" t="s">
        <v>5217</v>
      </c>
      <c r="C1899" s="1">
        <v>26</v>
      </c>
      <c r="D1899" s="4">
        <v>39978.521527777775</v>
      </c>
      <c r="E1899" s="1" t="s">
        <v>772</v>
      </c>
      <c r="F1899" s="1"/>
      <c r="G1899" s="1"/>
      <c r="H1899" s="1"/>
      <c r="I1899" s="1"/>
      <c r="J1899" s="1"/>
      <c r="K1899" s="1"/>
      <c r="L1899" s="1"/>
      <c r="M1899" s="1"/>
      <c r="N1899" s="1"/>
      <c r="O1899" s="1"/>
      <c r="P1899" s="1"/>
      <c r="Q1899" s="1"/>
      <c r="R1899" s="1"/>
      <c r="S1899" s="1"/>
    </row>
    <row r="1900" spans="1:19" ht="33.75" customHeight="1">
      <c r="A1900" s="1" t="s">
        <v>5224</v>
      </c>
      <c r="B1900" s="1" t="s">
        <v>5217</v>
      </c>
      <c r="C1900" s="1">
        <v>26</v>
      </c>
      <c r="D1900" s="4">
        <v>39978.634722222225</v>
      </c>
      <c r="E1900" s="1" t="s">
        <v>54</v>
      </c>
      <c r="F1900" s="1"/>
      <c r="G1900" s="1"/>
      <c r="H1900" s="1"/>
      <c r="I1900" s="1"/>
      <c r="J1900" s="1"/>
      <c r="K1900" s="1"/>
      <c r="L1900" s="1"/>
      <c r="M1900" s="1"/>
      <c r="N1900" s="1"/>
      <c r="O1900" s="1"/>
      <c r="P1900" s="1"/>
      <c r="Q1900" s="1"/>
      <c r="R1900" s="1"/>
      <c r="S1900" s="1"/>
    </row>
    <row r="1901" spans="1:19" ht="33.75" customHeight="1">
      <c r="A1901" s="1" t="s">
        <v>5227</v>
      </c>
      <c r="B1901" s="1" t="s">
        <v>5217</v>
      </c>
      <c r="C1901" s="1">
        <v>26</v>
      </c>
      <c r="D1901" s="4">
        <v>39978.675000000003</v>
      </c>
      <c r="E1901" s="1" t="s">
        <v>772</v>
      </c>
      <c r="F1901" s="1"/>
      <c r="G1901" s="1"/>
      <c r="H1901" s="1"/>
      <c r="I1901" s="1"/>
      <c r="J1901" s="1"/>
      <c r="K1901" s="1"/>
      <c r="L1901" s="1"/>
      <c r="M1901" s="1"/>
      <c r="N1901" s="1"/>
      <c r="O1901" s="1"/>
      <c r="P1901" s="1"/>
      <c r="Q1901" s="1"/>
      <c r="R1901" s="1"/>
      <c r="S1901" s="1"/>
    </row>
    <row r="1902" spans="1:19" ht="33.75" customHeight="1">
      <c r="A1902" s="1" t="s">
        <v>5229</v>
      </c>
      <c r="B1902" s="1" t="s">
        <v>5217</v>
      </c>
      <c r="C1902" s="1">
        <v>26</v>
      </c>
      <c r="D1902" s="4">
        <v>39978.699305555558</v>
      </c>
      <c r="E1902" s="1" t="s">
        <v>54</v>
      </c>
      <c r="F1902" s="1"/>
      <c r="G1902" s="1"/>
      <c r="H1902" s="1"/>
      <c r="I1902" s="1"/>
      <c r="J1902" s="1"/>
      <c r="K1902" s="1"/>
      <c r="L1902" s="1"/>
      <c r="M1902" s="1"/>
      <c r="N1902" s="1"/>
      <c r="O1902" s="1"/>
      <c r="P1902" s="1"/>
      <c r="Q1902" s="1"/>
      <c r="R1902" s="1"/>
      <c r="S1902" s="1"/>
    </row>
    <row r="1903" spans="1:19" ht="33.75" customHeight="1">
      <c r="A1903" s="1" t="s">
        <v>5231</v>
      </c>
      <c r="B1903" s="1" t="s">
        <v>5217</v>
      </c>
      <c r="C1903" s="1">
        <v>26</v>
      </c>
      <c r="D1903" s="4">
        <v>39978.737500000003</v>
      </c>
      <c r="E1903" s="1" t="s">
        <v>772</v>
      </c>
      <c r="F1903" s="1"/>
      <c r="G1903" s="1"/>
      <c r="H1903" s="1"/>
      <c r="I1903" s="1"/>
      <c r="J1903" s="1"/>
      <c r="K1903" s="1"/>
      <c r="L1903" s="1"/>
      <c r="M1903" s="1"/>
      <c r="N1903" s="1"/>
      <c r="O1903" s="1"/>
      <c r="P1903" s="1"/>
      <c r="Q1903" s="1"/>
      <c r="R1903" s="1"/>
      <c r="S1903" s="1"/>
    </row>
    <row r="1904" spans="1:19" ht="33.75" customHeight="1">
      <c r="A1904" s="1" t="s">
        <v>5233</v>
      </c>
      <c r="B1904" s="1" t="s">
        <v>5217</v>
      </c>
      <c r="C1904" s="1">
        <v>26</v>
      </c>
      <c r="D1904" s="4">
        <v>39978.800000000003</v>
      </c>
      <c r="E1904" s="1" t="s">
        <v>1089</v>
      </c>
      <c r="F1904" s="1"/>
      <c r="G1904" s="1"/>
      <c r="H1904" s="1"/>
      <c r="I1904" s="1"/>
      <c r="J1904" s="1"/>
      <c r="K1904" s="1"/>
      <c r="L1904" s="1"/>
      <c r="M1904" s="1"/>
      <c r="N1904" s="1"/>
      <c r="O1904" s="1"/>
      <c r="P1904" s="1"/>
      <c r="Q1904" s="1"/>
      <c r="R1904" s="1"/>
      <c r="S1904" s="1"/>
    </row>
    <row r="1905" spans="1:19" ht="33.75" customHeight="1">
      <c r="A1905" s="1" t="s">
        <v>5237</v>
      </c>
      <c r="B1905" s="1" t="s">
        <v>5217</v>
      </c>
      <c r="C1905" s="1">
        <v>26</v>
      </c>
      <c r="D1905" s="4">
        <v>39978.895833333336</v>
      </c>
      <c r="E1905" s="1" t="s">
        <v>54</v>
      </c>
      <c r="F1905" s="1"/>
      <c r="G1905" s="1"/>
      <c r="H1905" s="1"/>
      <c r="I1905" s="1"/>
      <c r="J1905" s="1"/>
      <c r="K1905" s="1"/>
      <c r="L1905" s="1"/>
      <c r="M1905" s="1"/>
      <c r="N1905" s="1"/>
      <c r="O1905" s="1"/>
      <c r="P1905" s="1"/>
      <c r="Q1905" s="1"/>
      <c r="R1905" s="1"/>
      <c r="S1905" s="1"/>
    </row>
    <row r="1906" spans="1:19" ht="33.75" customHeight="1">
      <c r="A1906" s="1" t="s">
        <v>5242</v>
      </c>
      <c r="B1906" s="1" t="s">
        <v>5217</v>
      </c>
      <c r="C1906" s="1">
        <v>26</v>
      </c>
      <c r="D1906" s="4">
        <v>39979.507638888892</v>
      </c>
      <c r="E1906" s="1" t="s">
        <v>772</v>
      </c>
      <c r="F1906" s="1"/>
      <c r="G1906" s="1"/>
      <c r="H1906" s="1"/>
      <c r="I1906" s="1"/>
      <c r="J1906" s="1"/>
      <c r="K1906" s="1"/>
      <c r="L1906" s="1"/>
      <c r="M1906" s="1"/>
      <c r="N1906" s="1"/>
      <c r="O1906" s="1"/>
      <c r="P1906" s="1"/>
      <c r="Q1906" s="1"/>
      <c r="R1906" s="1"/>
      <c r="S1906" s="1"/>
    </row>
    <row r="1907" spans="1:19" ht="33.75" customHeight="1">
      <c r="A1907" s="1" t="s">
        <v>5246</v>
      </c>
      <c r="B1907" s="1" t="s">
        <v>5217</v>
      </c>
      <c r="C1907" s="1">
        <v>26</v>
      </c>
      <c r="D1907" s="4">
        <v>39979.509027777778</v>
      </c>
      <c r="E1907" s="1" t="s">
        <v>772</v>
      </c>
      <c r="F1907" s="1"/>
      <c r="G1907" s="1"/>
      <c r="H1907" s="1"/>
      <c r="I1907" s="1"/>
      <c r="J1907" s="1"/>
      <c r="K1907" s="1"/>
      <c r="L1907" s="1"/>
      <c r="M1907" s="1"/>
      <c r="N1907" s="1"/>
      <c r="O1907" s="1"/>
      <c r="P1907" s="1"/>
      <c r="Q1907" s="1"/>
      <c r="R1907" s="1"/>
      <c r="S1907" s="1"/>
    </row>
    <row r="1908" spans="1:19" ht="33.75" customHeight="1">
      <c r="A1908" s="1" t="s">
        <v>5249</v>
      </c>
      <c r="B1908" s="1" t="s">
        <v>5217</v>
      </c>
      <c r="C1908" s="1">
        <v>26</v>
      </c>
      <c r="D1908" s="4">
        <v>39979.509722222225</v>
      </c>
      <c r="E1908" s="1" t="s">
        <v>772</v>
      </c>
      <c r="F1908" s="1"/>
      <c r="G1908" s="1"/>
      <c r="H1908" s="1"/>
      <c r="I1908" s="1"/>
      <c r="J1908" s="1"/>
      <c r="K1908" s="1"/>
      <c r="L1908" s="1"/>
      <c r="M1908" s="1"/>
      <c r="N1908" s="1"/>
      <c r="O1908" s="1"/>
      <c r="P1908" s="1"/>
      <c r="Q1908" s="1"/>
      <c r="R1908" s="1"/>
      <c r="S1908" s="1"/>
    </row>
    <row r="1909" spans="1:19" ht="33.75" customHeight="1">
      <c r="A1909" s="1" t="s">
        <v>5252</v>
      </c>
      <c r="B1909" s="1" t="s">
        <v>5217</v>
      </c>
      <c r="C1909" s="1">
        <v>26</v>
      </c>
      <c r="D1909" s="4">
        <v>39979.522916666669</v>
      </c>
      <c r="E1909" s="1" t="s">
        <v>1887</v>
      </c>
      <c r="F1909" s="1"/>
      <c r="G1909" s="1"/>
      <c r="H1909" s="1"/>
      <c r="I1909" s="1"/>
      <c r="J1909" s="1"/>
      <c r="K1909" s="1"/>
      <c r="L1909" s="1"/>
      <c r="M1909" s="1"/>
      <c r="N1909" s="1"/>
      <c r="O1909" s="1"/>
      <c r="P1909" s="1"/>
      <c r="Q1909" s="1"/>
      <c r="R1909" s="1"/>
      <c r="S1909" s="1"/>
    </row>
    <row r="1910" spans="1:19" ht="33.75" customHeight="1">
      <c r="A1910" s="1" t="s">
        <v>5254</v>
      </c>
      <c r="B1910" s="1" t="s">
        <v>5217</v>
      </c>
      <c r="C1910" s="1">
        <v>26</v>
      </c>
      <c r="D1910" s="4">
        <v>39979.89166666667</v>
      </c>
      <c r="E1910" s="1" t="s">
        <v>5255</v>
      </c>
      <c r="F1910" s="1"/>
      <c r="G1910" s="1"/>
      <c r="H1910" s="1"/>
      <c r="I1910" s="1"/>
      <c r="J1910" s="1"/>
      <c r="K1910" s="1"/>
      <c r="L1910" s="1"/>
      <c r="M1910" s="1"/>
      <c r="N1910" s="1"/>
      <c r="O1910" s="1"/>
      <c r="P1910" s="1"/>
      <c r="Q1910" s="1"/>
      <c r="R1910" s="1"/>
      <c r="S1910" s="1"/>
    </row>
    <row r="1911" spans="1:19" ht="33.75" customHeight="1">
      <c r="A1911" s="1" t="s">
        <v>5258</v>
      </c>
      <c r="B1911" s="1" t="s">
        <v>5217</v>
      </c>
      <c r="C1911" s="1">
        <v>26</v>
      </c>
      <c r="D1911" s="4">
        <v>39979.94027777778</v>
      </c>
      <c r="E1911" s="1" t="s">
        <v>54</v>
      </c>
      <c r="F1911" s="1"/>
      <c r="G1911" s="1"/>
      <c r="H1911" s="1"/>
      <c r="I1911" s="1"/>
      <c r="J1911" s="1"/>
      <c r="K1911" s="1"/>
      <c r="L1911" s="1"/>
      <c r="M1911" s="1"/>
      <c r="N1911" s="1"/>
      <c r="O1911" s="1"/>
      <c r="P1911" s="1"/>
      <c r="Q1911" s="1"/>
      <c r="R1911" s="1"/>
      <c r="S1911" s="1"/>
    </row>
    <row r="1912" spans="1:19" ht="33.75" customHeight="1">
      <c r="A1912" s="1" t="s">
        <v>5261</v>
      </c>
      <c r="B1912" s="1" t="s">
        <v>5217</v>
      </c>
      <c r="C1912" s="1">
        <v>26</v>
      </c>
      <c r="D1912" s="4">
        <v>39980.057638888888</v>
      </c>
      <c r="E1912" s="1" t="s">
        <v>1887</v>
      </c>
      <c r="F1912" s="1"/>
      <c r="G1912" s="1"/>
      <c r="H1912" s="1"/>
      <c r="I1912" s="1"/>
      <c r="J1912" s="1"/>
      <c r="K1912" s="1"/>
      <c r="L1912" s="1"/>
      <c r="M1912" s="1"/>
      <c r="N1912" s="1"/>
      <c r="O1912" s="1"/>
      <c r="P1912" s="1"/>
      <c r="Q1912" s="1"/>
      <c r="R1912" s="1"/>
      <c r="S1912" s="1"/>
    </row>
    <row r="1913" spans="1:19" ht="33.75" customHeight="1">
      <c r="A1913" s="1" t="s">
        <v>5263</v>
      </c>
      <c r="B1913" s="1" t="s">
        <v>5217</v>
      </c>
      <c r="C1913" s="1">
        <v>26</v>
      </c>
      <c r="D1913" s="4">
        <v>39980.09652777778</v>
      </c>
      <c r="E1913" s="1" t="s">
        <v>1089</v>
      </c>
      <c r="F1913" s="1"/>
      <c r="G1913" s="1"/>
      <c r="H1913" s="1"/>
      <c r="I1913" s="1"/>
      <c r="J1913" s="1"/>
      <c r="K1913" s="1"/>
      <c r="L1913" s="1"/>
      <c r="M1913" s="1"/>
      <c r="N1913" s="1"/>
      <c r="O1913" s="1"/>
      <c r="P1913" s="1"/>
      <c r="Q1913" s="1"/>
      <c r="R1913" s="1"/>
      <c r="S1913" s="1"/>
    </row>
    <row r="1914" spans="1:19" ht="33.75" customHeight="1">
      <c r="A1914" s="1" t="s">
        <v>5266</v>
      </c>
      <c r="B1914" s="1" t="s">
        <v>5217</v>
      </c>
      <c r="C1914" s="1">
        <v>26</v>
      </c>
      <c r="D1914" s="4">
        <v>39980.130555555559</v>
      </c>
      <c r="E1914" s="1" t="s">
        <v>1089</v>
      </c>
      <c r="F1914" s="1"/>
      <c r="G1914" s="1"/>
      <c r="H1914" s="1"/>
      <c r="I1914" s="1"/>
      <c r="J1914" s="1"/>
      <c r="K1914" s="1"/>
      <c r="L1914" s="1"/>
      <c r="M1914" s="1"/>
      <c r="N1914" s="1"/>
      <c r="O1914" s="1"/>
      <c r="P1914" s="1"/>
      <c r="Q1914" s="1"/>
      <c r="R1914" s="1"/>
      <c r="S1914" s="1"/>
    </row>
    <row r="1915" spans="1:19" ht="33.75" customHeight="1">
      <c r="A1915" s="1" t="s">
        <v>5269</v>
      </c>
      <c r="B1915" s="1" t="s">
        <v>5217</v>
      </c>
      <c r="C1915" s="1">
        <v>26</v>
      </c>
      <c r="D1915" s="4">
        <v>39980.177083333336</v>
      </c>
      <c r="E1915" s="1" t="s">
        <v>1768</v>
      </c>
      <c r="F1915" s="1"/>
      <c r="G1915" s="1"/>
      <c r="H1915" s="1"/>
      <c r="I1915" s="1"/>
      <c r="J1915" s="1"/>
      <c r="K1915" s="1"/>
      <c r="L1915" s="1"/>
      <c r="M1915" s="1"/>
      <c r="N1915" s="1"/>
      <c r="O1915" s="1"/>
      <c r="P1915" s="1"/>
      <c r="Q1915" s="1"/>
      <c r="R1915" s="1"/>
      <c r="S1915" s="1"/>
    </row>
    <row r="1916" spans="1:19" ht="33.75" customHeight="1">
      <c r="A1916" s="1" t="s">
        <v>5272</v>
      </c>
      <c r="B1916" s="1" t="s">
        <v>5217</v>
      </c>
      <c r="C1916" s="1">
        <v>26</v>
      </c>
      <c r="D1916" s="4">
        <v>39980.265972222223</v>
      </c>
      <c r="E1916" s="1" t="s">
        <v>2893</v>
      </c>
      <c r="F1916" s="1"/>
      <c r="G1916" s="1"/>
      <c r="H1916" s="1"/>
      <c r="I1916" s="1"/>
      <c r="J1916" s="1"/>
      <c r="K1916" s="1"/>
      <c r="L1916" s="1"/>
      <c r="M1916" s="1"/>
      <c r="N1916" s="1"/>
      <c r="O1916" s="1"/>
      <c r="P1916" s="1"/>
      <c r="Q1916" s="1"/>
      <c r="R1916" s="1"/>
      <c r="S1916" s="1"/>
    </row>
    <row r="1917" spans="1:19" ht="33.75" customHeight="1">
      <c r="A1917" s="1" t="s">
        <v>5275</v>
      </c>
      <c r="B1917" s="1" t="s">
        <v>5217</v>
      </c>
      <c r="C1917" s="1">
        <v>26</v>
      </c>
      <c r="D1917" s="4">
        <v>39980.273611111108</v>
      </c>
      <c r="E1917" s="1" t="s">
        <v>54</v>
      </c>
      <c r="F1917" s="1"/>
      <c r="G1917" s="1"/>
      <c r="H1917" s="1"/>
      <c r="I1917" s="1"/>
      <c r="J1917" s="1"/>
      <c r="K1917" s="1"/>
      <c r="L1917" s="1"/>
      <c r="M1917" s="1"/>
      <c r="N1917" s="1"/>
      <c r="O1917" s="1"/>
      <c r="P1917" s="1"/>
      <c r="Q1917" s="1"/>
      <c r="R1917" s="1"/>
      <c r="S1917" s="1"/>
    </row>
    <row r="1918" spans="1:19" ht="33.75" customHeight="1">
      <c r="A1918" s="1" t="s">
        <v>5279</v>
      </c>
      <c r="B1918" s="1" t="s">
        <v>5217</v>
      </c>
      <c r="C1918" s="1">
        <v>26</v>
      </c>
      <c r="D1918" s="4">
        <v>39980.27847222222</v>
      </c>
      <c r="E1918" s="1" t="s">
        <v>54</v>
      </c>
      <c r="F1918" s="1"/>
      <c r="G1918" s="1"/>
      <c r="H1918" s="1"/>
      <c r="I1918" s="1"/>
      <c r="J1918" s="1"/>
      <c r="K1918" s="1"/>
      <c r="L1918" s="1"/>
      <c r="M1918" s="1"/>
      <c r="N1918" s="1"/>
      <c r="O1918" s="1"/>
      <c r="P1918" s="1"/>
      <c r="Q1918" s="1"/>
      <c r="R1918" s="1"/>
      <c r="S1918" s="1"/>
    </row>
    <row r="1919" spans="1:19" ht="33.75" customHeight="1">
      <c r="A1919" s="1" t="s">
        <v>5281</v>
      </c>
      <c r="B1919" s="1" t="s">
        <v>5217</v>
      </c>
      <c r="C1919" s="1">
        <v>26</v>
      </c>
      <c r="D1919" s="4">
        <v>39980.287499999999</v>
      </c>
      <c r="E1919" s="1" t="s">
        <v>54</v>
      </c>
      <c r="F1919" s="1"/>
      <c r="G1919" s="1"/>
      <c r="H1919" s="1"/>
      <c r="I1919" s="1"/>
      <c r="J1919" s="1"/>
      <c r="K1919" s="1"/>
      <c r="L1919" s="1"/>
      <c r="M1919" s="1"/>
      <c r="N1919" s="1"/>
      <c r="O1919" s="1"/>
      <c r="P1919" s="1"/>
      <c r="Q1919" s="1"/>
      <c r="R1919" s="1"/>
      <c r="S1919" s="1"/>
    </row>
    <row r="1920" spans="1:19" ht="33.75" customHeight="1">
      <c r="A1920" s="1" t="s">
        <v>5285</v>
      </c>
      <c r="B1920" s="1" t="s">
        <v>5217</v>
      </c>
      <c r="C1920" s="1">
        <v>26</v>
      </c>
      <c r="D1920" s="4">
        <v>39980.335416666669</v>
      </c>
      <c r="E1920" s="1" t="s">
        <v>1887</v>
      </c>
      <c r="F1920" s="1"/>
      <c r="G1920" s="1"/>
      <c r="H1920" s="1"/>
      <c r="I1920" s="1"/>
      <c r="J1920" s="1"/>
      <c r="K1920" s="1"/>
      <c r="L1920" s="1"/>
      <c r="M1920" s="1"/>
      <c r="N1920" s="1"/>
      <c r="O1920" s="1"/>
      <c r="P1920" s="1"/>
      <c r="Q1920" s="1"/>
      <c r="R1920" s="1"/>
      <c r="S1920" s="1"/>
    </row>
    <row r="1921" spans="1:19" ht="33.75" customHeight="1">
      <c r="A1921" s="1" t="s">
        <v>5288</v>
      </c>
      <c r="B1921" s="1" t="s">
        <v>5217</v>
      </c>
      <c r="C1921" s="1">
        <v>26</v>
      </c>
      <c r="D1921" s="4">
        <v>39980.355555555558</v>
      </c>
      <c r="E1921" s="1" t="s">
        <v>2893</v>
      </c>
      <c r="F1921" s="1"/>
      <c r="G1921" s="1"/>
      <c r="H1921" s="1"/>
      <c r="I1921" s="1"/>
      <c r="J1921" s="1"/>
      <c r="K1921" s="1"/>
      <c r="L1921" s="1"/>
      <c r="M1921" s="1"/>
      <c r="N1921" s="1"/>
      <c r="O1921" s="1"/>
      <c r="P1921" s="1"/>
      <c r="Q1921" s="1"/>
      <c r="R1921" s="1"/>
      <c r="S1921" s="1"/>
    </row>
    <row r="1922" spans="1:19" ht="33.75" customHeight="1">
      <c r="A1922" s="1" t="s">
        <v>5290</v>
      </c>
      <c r="B1922" s="1" t="s">
        <v>5217</v>
      </c>
      <c r="C1922" s="1">
        <v>26</v>
      </c>
      <c r="D1922" s="4">
        <v>39980.436111111114</v>
      </c>
      <c r="E1922" s="1" t="s">
        <v>1089</v>
      </c>
      <c r="F1922" s="1"/>
      <c r="G1922" s="1"/>
      <c r="H1922" s="1"/>
      <c r="I1922" s="1"/>
      <c r="J1922" s="1"/>
      <c r="K1922" s="1"/>
      <c r="L1922" s="1"/>
      <c r="M1922" s="1"/>
      <c r="N1922" s="1"/>
      <c r="O1922" s="1"/>
      <c r="P1922" s="1"/>
      <c r="Q1922" s="1"/>
      <c r="R1922" s="1"/>
      <c r="S1922" s="1"/>
    </row>
    <row r="1923" spans="1:19" ht="33.75" customHeight="1">
      <c r="A1923" s="1" t="s">
        <v>5293</v>
      </c>
      <c r="B1923" s="1" t="s">
        <v>5217</v>
      </c>
      <c r="C1923" s="1">
        <v>26</v>
      </c>
      <c r="D1923" s="4">
        <v>39980.478472222225</v>
      </c>
      <c r="E1923" s="1" t="s">
        <v>1089</v>
      </c>
      <c r="F1923" s="1"/>
      <c r="G1923" s="1"/>
      <c r="H1923" s="1"/>
      <c r="I1923" s="1"/>
      <c r="J1923" s="1"/>
      <c r="K1923" s="1"/>
      <c r="L1923" s="1"/>
      <c r="M1923" s="1"/>
      <c r="N1923" s="1"/>
      <c r="O1923" s="1"/>
      <c r="P1923" s="1"/>
      <c r="Q1923" s="1"/>
      <c r="R1923" s="1"/>
      <c r="S1923" s="1"/>
    </row>
    <row r="1924" spans="1:19" ht="33.75" customHeight="1">
      <c r="A1924" s="1" t="s">
        <v>5296</v>
      </c>
      <c r="B1924" s="1" t="s">
        <v>5217</v>
      </c>
      <c r="C1924" s="1">
        <v>26</v>
      </c>
      <c r="D1924" s="4">
        <v>39980.489583333336</v>
      </c>
      <c r="E1924" s="1" t="s">
        <v>54</v>
      </c>
      <c r="F1924" s="1"/>
      <c r="G1924" s="1"/>
      <c r="H1924" s="1"/>
      <c r="I1924" s="1"/>
      <c r="J1924" s="1"/>
      <c r="K1924" s="1"/>
      <c r="L1924" s="1"/>
      <c r="M1924" s="1"/>
      <c r="N1924" s="1"/>
      <c r="O1924" s="1"/>
      <c r="P1924" s="1"/>
      <c r="Q1924" s="1"/>
      <c r="R1924" s="1"/>
      <c r="S1924" s="1"/>
    </row>
    <row r="1925" spans="1:19" ht="33.75" customHeight="1">
      <c r="A1925" s="1" t="s">
        <v>5299</v>
      </c>
      <c r="B1925" s="1" t="s">
        <v>5217</v>
      </c>
      <c r="C1925" s="1">
        <v>26</v>
      </c>
      <c r="D1925" s="4">
        <v>39980.492361111108</v>
      </c>
      <c r="E1925" s="1" t="s">
        <v>54</v>
      </c>
      <c r="F1925" s="1"/>
      <c r="G1925" s="1"/>
      <c r="H1925" s="1"/>
      <c r="I1925" s="1"/>
      <c r="J1925" s="1"/>
      <c r="K1925" s="1"/>
      <c r="L1925" s="1"/>
      <c r="M1925" s="1"/>
      <c r="N1925" s="1"/>
      <c r="O1925" s="1"/>
      <c r="P1925" s="1"/>
      <c r="Q1925" s="1"/>
      <c r="R1925" s="1"/>
      <c r="S1925" s="1"/>
    </row>
    <row r="1926" spans="1:19" ht="33.75" customHeight="1">
      <c r="A1926" s="1" t="s">
        <v>5302</v>
      </c>
      <c r="B1926" s="1" t="s">
        <v>5217</v>
      </c>
      <c r="C1926" s="1">
        <v>26</v>
      </c>
      <c r="D1926" s="4">
        <v>39980.503472222219</v>
      </c>
      <c r="E1926" s="1" t="s">
        <v>1887</v>
      </c>
      <c r="F1926" s="1"/>
      <c r="G1926" s="1"/>
      <c r="H1926" s="1"/>
      <c r="I1926" s="1"/>
      <c r="J1926" s="1"/>
      <c r="K1926" s="1"/>
      <c r="L1926" s="1"/>
      <c r="M1926" s="1"/>
      <c r="N1926" s="1"/>
      <c r="O1926" s="1"/>
      <c r="P1926" s="1"/>
      <c r="Q1926" s="1"/>
      <c r="R1926" s="1"/>
      <c r="S1926" s="1"/>
    </row>
    <row r="1927" spans="1:19" ht="33.75" customHeight="1">
      <c r="A1927" s="1" t="s">
        <v>5305</v>
      </c>
      <c r="B1927" s="1" t="s">
        <v>5217</v>
      </c>
      <c r="C1927" s="1">
        <v>26</v>
      </c>
      <c r="D1927" s="4">
        <v>39980.513194444444</v>
      </c>
      <c r="E1927" s="1" t="s">
        <v>772</v>
      </c>
      <c r="F1927" s="1"/>
      <c r="G1927" s="1"/>
      <c r="H1927" s="1"/>
      <c r="I1927" s="1"/>
      <c r="J1927" s="1"/>
      <c r="K1927" s="1"/>
      <c r="L1927" s="1"/>
      <c r="M1927" s="1"/>
      <c r="N1927" s="1"/>
      <c r="O1927" s="1"/>
      <c r="P1927" s="1"/>
      <c r="Q1927" s="1"/>
      <c r="R1927" s="1"/>
      <c r="S1927" s="1"/>
    </row>
    <row r="1928" spans="1:19" ht="33.75" customHeight="1">
      <c r="A1928" s="1" t="s">
        <v>5308</v>
      </c>
      <c r="B1928" s="1" t="s">
        <v>5217</v>
      </c>
      <c r="C1928" s="1">
        <v>26</v>
      </c>
      <c r="D1928" s="4">
        <v>39980.59375</v>
      </c>
      <c r="E1928" s="1" t="s">
        <v>2893</v>
      </c>
      <c r="F1928" s="1"/>
      <c r="G1928" s="1"/>
      <c r="H1928" s="1"/>
      <c r="I1928" s="1"/>
      <c r="J1928" s="1"/>
      <c r="K1928" s="1"/>
      <c r="L1928" s="1"/>
      <c r="M1928" s="1"/>
      <c r="N1928" s="1"/>
      <c r="O1928" s="1"/>
      <c r="P1928" s="1"/>
      <c r="Q1928" s="1"/>
      <c r="R1928" s="1"/>
      <c r="S1928" s="1"/>
    </row>
    <row r="1929" spans="1:19" ht="33.75" customHeight="1">
      <c r="A1929" s="1" t="s">
        <v>5310</v>
      </c>
      <c r="B1929" s="1" t="s">
        <v>5217</v>
      </c>
      <c r="C1929" s="1">
        <v>26</v>
      </c>
      <c r="D1929" s="4">
        <v>39981.046527777777</v>
      </c>
      <c r="E1929" s="1" t="s">
        <v>1887</v>
      </c>
      <c r="F1929" s="1"/>
      <c r="G1929" s="1"/>
      <c r="H1929" s="1"/>
      <c r="I1929" s="1"/>
      <c r="J1929" s="1"/>
      <c r="K1929" s="1"/>
      <c r="L1929" s="1"/>
      <c r="M1929" s="1"/>
      <c r="N1929" s="1"/>
      <c r="O1929" s="1"/>
      <c r="P1929" s="1"/>
      <c r="Q1929" s="1"/>
      <c r="R1929" s="1"/>
      <c r="S1929" s="1"/>
    </row>
    <row r="1930" spans="1:19" ht="33.75" customHeight="1">
      <c r="A1930" s="1" t="s">
        <v>5313</v>
      </c>
      <c r="B1930" s="1" t="s">
        <v>5217</v>
      </c>
      <c r="C1930" s="1">
        <v>26</v>
      </c>
      <c r="D1930" s="4">
        <v>39981.079861111109</v>
      </c>
      <c r="E1930" s="1" t="s">
        <v>1089</v>
      </c>
      <c r="F1930" s="1"/>
      <c r="G1930" s="1"/>
      <c r="H1930" s="1"/>
      <c r="I1930" s="1"/>
      <c r="J1930" s="1"/>
      <c r="K1930" s="1"/>
      <c r="L1930" s="1"/>
      <c r="M1930" s="1"/>
      <c r="N1930" s="1"/>
      <c r="O1930" s="1"/>
      <c r="P1930" s="1"/>
      <c r="Q1930" s="1"/>
      <c r="R1930" s="1"/>
      <c r="S1930" s="1"/>
    </row>
    <row r="1931" spans="1:19" ht="33.75" customHeight="1">
      <c r="A1931" s="1" t="s">
        <v>5315</v>
      </c>
      <c r="B1931" s="1" t="s">
        <v>5217</v>
      </c>
      <c r="C1931" s="1">
        <v>26</v>
      </c>
      <c r="D1931" s="4">
        <v>39981.151388888888</v>
      </c>
      <c r="E1931" s="1" t="s">
        <v>1887</v>
      </c>
      <c r="F1931" s="1"/>
      <c r="G1931" s="1"/>
      <c r="H1931" s="1"/>
      <c r="I1931" s="1"/>
      <c r="J1931" s="1"/>
      <c r="K1931" s="1"/>
      <c r="L1931" s="1"/>
      <c r="M1931" s="1"/>
      <c r="N1931" s="1"/>
      <c r="O1931" s="1"/>
      <c r="P1931" s="1"/>
      <c r="Q1931" s="1"/>
      <c r="R1931" s="1"/>
      <c r="S1931" s="1"/>
    </row>
    <row r="1932" spans="1:19" ht="33.75" customHeight="1">
      <c r="A1932" s="1" t="s">
        <v>5318</v>
      </c>
      <c r="B1932" s="1" t="s">
        <v>5217</v>
      </c>
      <c r="C1932" s="1">
        <v>26</v>
      </c>
      <c r="D1932" s="4">
        <v>39981.234027777777</v>
      </c>
      <c r="E1932" s="1" t="s">
        <v>1089</v>
      </c>
      <c r="F1932" s="1"/>
      <c r="G1932" s="1"/>
      <c r="H1932" s="1"/>
      <c r="I1932" s="1"/>
      <c r="J1932" s="1"/>
      <c r="K1932" s="1"/>
      <c r="L1932" s="1"/>
      <c r="M1932" s="1"/>
      <c r="N1932" s="1"/>
      <c r="O1932" s="1"/>
      <c r="P1932" s="1"/>
      <c r="Q1932" s="1"/>
      <c r="R1932" s="1"/>
      <c r="S1932" s="1"/>
    </row>
    <row r="1933" spans="1:19" ht="33.75" customHeight="1">
      <c r="A1933" s="1" t="s">
        <v>5321</v>
      </c>
      <c r="B1933" s="1" t="s">
        <v>5217</v>
      </c>
      <c r="C1933" s="1">
        <v>26</v>
      </c>
      <c r="D1933" s="4">
        <v>39981.375</v>
      </c>
      <c r="E1933" s="1" t="s">
        <v>1887</v>
      </c>
      <c r="F1933" s="1"/>
      <c r="G1933" s="1"/>
      <c r="H1933" s="1"/>
      <c r="I1933" s="1"/>
      <c r="J1933" s="1"/>
      <c r="K1933" s="1"/>
      <c r="L1933" s="1"/>
      <c r="M1933" s="1"/>
      <c r="N1933" s="1"/>
      <c r="O1933" s="1"/>
      <c r="P1933" s="1"/>
      <c r="Q1933" s="1"/>
      <c r="R1933" s="1"/>
      <c r="S1933" s="1"/>
    </row>
    <row r="1934" spans="1:19" ht="33.75" customHeight="1">
      <c r="A1934" s="1" t="s">
        <v>5323</v>
      </c>
      <c r="B1934" s="1" t="s">
        <v>5217</v>
      </c>
      <c r="C1934" s="1">
        <v>26</v>
      </c>
      <c r="D1934" s="4">
        <v>39981.404861111114</v>
      </c>
      <c r="E1934" s="1" t="s">
        <v>54</v>
      </c>
      <c r="F1934" s="1"/>
      <c r="G1934" s="1"/>
      <c r="H1934" s="1"/>
      <c r="I1934" s="1"/>
      <c r="J1934" s="1"/>
      <c r="K1934" s="1"/>
      <c r="L1934" s="1"/>
      <c r="M1934" s="1"/>
      <c r="N1934" s="1"/>
      <c r="O1934" s="1"/>
      <c r="P1934" s="1"/>
      <c r="Q1934" s="1"/>
      <c r="R1934" s="1"/>
      <c r="S1934" s="1"/>
    </row>
    <row r="1935" spans="1:19" ht="33.75" customHeight="1">
      <c r="A1935" s="1" t="s">
        <v>5325</v>
      </c>
      <c r="B1935" s="1" t="s">
        <v>5217</v>
      </c>
      <c r="C1935" s="1">
        <v>26</v>
      </c>
      <c r="D1935" s="4">
        <v>39982.109027777777</v>
      </c>
      <c r="E1935" s="1" t="s">
        <v>1089</v>
      </c>
      <c r="F1935" s="1"/>
      <c r="G1935" s="1"/>
      <c r="H1935" s="1"/>
      <c r="I1935" s="1"/>
      <c r="J1935" s="1"/>
      <c r="K1935" s="1"/>
      <c r="L1935" s="1"/>
      <c r="M1935" s="1"/>
      <c r="N1935" s="1"/>
      <c r="O1935" s="1"/>
      <c r="P1935" s="1"/>
      <c r="Q1935" s="1"/>
      <c r="R1935" s="1"/>
      <c r="S1935" s="1"/>
    </row>
    <row r="1936" spans="1:19" ht="33.75" customHeight="1">
      <c r="A1936" s="1" t="s">
        <v>5327</v>
      </c>
      <c r="B1936" s="1" t="s">
        <v>5217</v>
      </c>
      <c r="C1936" s="1">
        <v>26</v>
      </c>
      <c r="D1936" s="4">
        <v>39982.149305555555</v>
      </c>
      <c r="E1936" s="1" t="s">
        <v>1887</v>
      </c>
      <c r="F1936" s="1"/>
      <c r="G1936" s="1"/>
      <c r="H1936" s="1"/>
      <c r="I1936" s="1"/>
      <c r="J1936" s="1"/>
      <c r="K1936" s="1"/>
      <c r="L1936" s="1"/>
      <c r="M1936" s="1"/>
      <c r="N1936" s="1"/>
      <c r="O1936" s="1"/>
      <c r="P1936" s="1"/>
      <c r="Q1936" s="1"/>
      <c r="R1936" s="1"/>
      <c r="S1936" s="1"/>
    </row>
    <row r="1937" spans="1:19" ht="33.75" customHeight="1">
      <c r="A1937" s="1" t="s">
        <v>5329</v>
      </c>
      <c r="B1937" s="1" t="s">
        <v>5217</v>
      </c>
      <c r="C1937" s="1">
        <v>26</v>
      </c>
      <c r="D1937" s="4">
        <v>39982.165277777778</v>
      </c>
      <c r="E1937" s="1" t="s">
        <v>1887</v>
      </c>
      <c r="F1937" s="1"/>
      <c r="G1937" s="1"/>
      <c r="H1937" s="1"/>
      <c r="I1937" s="1"/>
      <c r="J1937" s="1"/>
      <c r="K1937" s="1"/>
      <c r="L1937" s="1"/>
      <c r="M1937" s="1"/>
      <c r="N1937" s="1"/>
      <c r="O1937" s="1"/>
      <c r="P1937" s="1"/>
      <c r="Q1937" s="1"/>
      <c r="R1937" s="1"/>
      <c r="S1937" s="1"/>
    </row>
    <row r="1938" spans="1:19" ht="33.75" customHeight="1">
      <c r="A1938" s="1" t="s">
        <v>5331</v>
      </c>
      <c r="B1938" s="1" t="s">
        <v>5217</v>
      </c>
      <c r="C1938" s="1">
        <v>26</v>
      </c>
      <c r="D1938" s="4">
        <v>39982.188888888886</v>
      </c>
      <c r="E1938" s="1" t="s">
        <v>1887</v>
      </c>
      <c r="F1938" s="1"/>
      <c r="G1938" s="1"/>
      <c r="H1938" s="1"/>
      <c r="I1938" s="1"/>
      <c r="J1938" s="1"/>
      <c r="K1938" s="1"/>
      <c r="L1938" s="1"/>
      <c r="M1938" s="1"/>
      <c r="N1938" s="1"/>
      <c r="O1938" s="1"/>
      <c r="P1938" s="1"/>
      <c r="Q1938" s="1"/>
      <c r="R1938" s="1"/>
      <c r="S1938" s="1"/>
    </row>
    <row r="1939" spans="1:19" ht="33.75" customHeight="1">
      <c r="A1939" s="1" t="s">
        <v>5333</v>
      </c>
      <c r="B1939" s="1" t="s">
        <v>5217</v>
      </c>
      <c r="C1939" s="1">
        <v>26</v>
      </c>
      <c r="D1939" s="4">
        <v>39982.204861111109</v>
      </c>
      <c r="E1939" s="1" t="s">
        <v>1887</v>
      </c>
      <c r="F1939" s="1"/>
      <c r="G1939" s="1"/>
      <c r="H1939" s="1"/>
      <c r="I1939" s="1"/>
      <c r="J1939" s="1"/>
      <c r="K1939" s="1"/>
      <c r="L1939" s="1"/>
      <c r="M1939" s="1"/>
      <c r="N1939" s="1"/>
      <c r="O1939" s="1"/>
      <c r="P1939" s="1"/>
      <c r="Q1939" s="1"/>
      <c r="R1939" s="1"/>
      <c r="S1939" s="1"/>
    </row>
    <row r="1940" spans="1:19" ht="33.75" customHeight="1">
      <c r="A1940" s="1" t="s">
        <v>5335</v>
      </c>
      <c r="B1940" s="1" t="s">
        <v>5217</v>
      </c>
      <c r="C1940" s="1">
        <v>26</v>
      </c>
      <c r="D1940" s="4">
        <v>39982.365972222222</v>
      </c>
      <c r="E1940" s="1" t="s">
        <v>1089</v>
      </c>
      <c r="F1940" s="1"/>
      <c r="G1940" s="1"/>
      <c r="H1940" s="1"/>
      <c r="I1940" s="1"/>
      <c r="J1940" s="1"/>
      <c r="K1940" s="1"/>
      <c r="L1940" s="1"/>
      <c r="M1940" s="1"/>
      <c r="N1940" s="1"/>
      <c r="O1940" s="1"/>
      <c r="P1940" s="1"/>
      <c r="Q1940" s="1"/>
      <c r="R1940" s="1"/>
      <c r="S1940" s="1"/>
    </row>
    <row r="1941" spans="1:19" ht="33.75" customHeight="1">
      <c r="A1941" s="1" t="s">
        <v>5337</v>
      </c>
      <c r="B1941" s="1" t="s">
        <v>5217</v>
      </c>
      <c r="C1941" s="1">
        <v>26</v>
      </c>
      <c r="D1941" s="4">
        <v>39982.448611111111</v>
      </c>
      <c r="E1941" s="1" t="s">
        <v>1089</v>
      </c>
      <c r="F1941" s="1"/>
      <c r="G1941" s="1"/>
      <c r="H1941" s="1"/>
      <c r="I1941" s="1"/>
      <c r="J1941" s="1"/>
      <c r="K1941" s="1"/>
      <c r="L1941" s="1"/>
      <c r="M1941" s="1"/>
      <c r="N1941" s="1"/>
      <c r="O1941" s="1"/>
      <c r="P1941" s="1"/>
      <c r="Q1941" s="1"/>
      <c r="R1941" s="1"/>
      <c r="S1941" s="1"/>
    </row>
    <row r="1942" spans="1:19" ht="33.75" customHeight="1">
      <c r="A1942" s="1" t="s">
        <v>5339</v>
      </c>
      <c r="B1942" s="1" t="s">
        <v>5217</v>
      </c>
      <c r="C1942" s="1">
        <v>26</v>
      </c>
      <c r="D1942" s="4">
        <v>39982.456250000003</v>
      </c>
      <c r="E1942" s="1" t="s">
        <v>54</v>
      </c>
      <c r="F1942" s="1"/>
      <c r="G1942" s="1"/>
      <c r="H1942" s="1"/>
      <c r="I1942" s="1"/>
      <c r="J1942" s="1"/>
      <c r="K1942" s="1"/>
      <c r="L1942" s="1"/>
      <c r="M1942" s="1"/>
      <c r="N1942" s="1"/>
      <c r="O1942" s="1"/>
      <c r="P1942" s="1"/>
      <c r="Q1942" s="1"/>
      <c r="R1942" s="1"/>
      <c r="S1942" s="1"/>
    </row>
    <row r="1943" spans="1:19" ht="33.75" customHeight="1">
      <c r="A1943" s="1" t="s">
        <v>5341</v>
      </c>
      <c r="B1943" s="1" t="s">
        <v>5217</v>
      </c>
      <c r="C1943" s="1">
        <v>26</v>
      </c>
      <c r="D1943" s="4">
        <v>39983.115277777775</v>
      </c>
      <c r="E1943" s="1" t="s">
        <v>1089</v>
      </c>
      <c r="F1943" s="1"/>
      <c r="G1943" s="1"/>
      <c r="H1943" s="1"/>
      <c r="I1943" s="1"/>
      <c r="J1943" s="1"/>
      <c r="K1943" s="1"/>
      <c r="L1943" s="1"/>
      <c r="M1943" s="1"/>
      <c r="N1943" s="1"/>
      <c r="O1943" s="1"/>
      <c r="P1943" s="1"/>
      <c r="Q1943" s="1"/>
      <c r="R1943" s="1"/>
      <c r="S1943" s="1"/>
    </row>
    <row r="1944" spans="1:19" ht="33.75" customHeight="1">
      <c r="A1944" s="1" t="s">
        <v>5343</v>
      </c>
      <c r="B1944" s="1" t="s">
        <v>5217</v>
      </c>
      <c r="C1944" s="1">
        <v>26</v>
      </c>
      <c r="D1944" s="4">
        <v>39983.131249999999</v>
      </c>
      <c r="E1944" s="1" t="s">
        <v>1887</v>
      </c>
      <c r="F1944" s="1"/>
      <c r="G1944" s="1"/>
      <c r="H1944" s="1"/>
      <c r="I1944" s="1"/>
      <c r="J1944" s="1"/>
      <c r="K1944" s="1"/>
      <c r="L1944" s="1"/>
      <c r="M1944" s="1"/>
      <c r="N1944" s="1"/>
      <c r="O1944" s="1"/>
      <c r="P1944" s="1"/>
      <c r="Q1944" s="1"/>
      <c r="R1944" s="1"/>
      <c r="S1944" s="1"/>
    </row>
    <row r="1945" spans="1:19" ht="33.75" customHeight="1">
      <c r="A1945" s="1" t="s">
        <v>5345</v>
      </c>
      <c r="B1945" s="1" t="s">
        <v>5217</v>
      </c>
      <c r="C1945" s="1">
        <v>26</v>
      </c>
      <c r="D1945" s="4">
        <v>39983.133333333331</v>
      </c>
      <c r="E1945" s="1" t="s">
        <v>1089</v>
      </c>
      <c r="F1945" s="1"/>
      <c r="G1945" s="1"/>
      <c r="H1945" s="1"/>
      <c r="I1945" s="1"/>
      <c r="J1945" s="1"/>
      <c r="K1945" s="1"/>
      <c r="L1945" s="1"/>
      <c r="M1945" s="1"/>
      <c r="N1945" s="1"/>
      <c r="O1945" s="1"/>
      <c r="P1945" s="1"/>
      <c r="Q1945" s="1"/>
      <c r="R1945" s="1"/>
      <c r="S1945" s="1"/>
    </row>
    <row r="1946" spans="1:19" ht="33.75" customHeight="1">
      <c r="A1946" s="1" t="s">
        <v>5349</v>
      </c>
      <c r="B1946" s="1" t="s">
        <v>5217</v>
      </c>
      <c r="C1946" s="1">
        <v>26</v>
      </c>
      <c r="D1946" s="4">
        <v>39983.14166666667</v>
      </c>
      <c r="E1946" s="1" t="s">
        <v>1089</v>
      </c>
      <c r="F1946" s="1"/>
      <c r="G1946" s="1"/>
      <c r="H1946" s="1"/>
      <c r="I1946" s="1"/>
      <c r="J1946" s="1"/>
      <c r="K1946" s="1"/>
      <c r="L1946" s="1"/>
      <c r="M1946" s="1"/>
      <c r="N1946" s="1"/>
      <c r="O1946" s="1"/>
      <c r="P1946" s="1"/>
      <c r="Q1946" s="1"/>
      <c r="R1946" s="1"/>
      <c r="S1946" s="1"/>
    </row>
    <row r="1947" spans="1:19" ht="33.75" customHeight="1">
      <c r="A1947" s="1" t="s">
        <v>5352</v>
      </c>
      <c r="B1947" s="1" t="s">
        <v>5217</v>
      </c>
      <c r="C1947" s="1">
        <v>26</v>
      </c>
      <c r="D1947" s="4">
        <v>39983.154861111114</v>
      </c>
      <c r="E1947" s="1" t="s">
        <v>1089</v>
      </c>
      <c r="F1947" s="1"/>
      <c r="G1947" s="1"/>
      <c r="H1947" s="1"/>
      <c r="I1947" s="1"/>
      <c r="J1947" s="1"/>
      <c r="K1947" s="1"/>
      <c r="L1947" s="1"/>
      <c r="M1947" s="1"/>
      <c r="N1947" s="1"/>
      <c r="O1947" s="1"/>
      <c r="P1947" s="1"/>
      <c r="Q1947" s="1"/>
      <c r="R1947" s="1"/>
      <c r="S1947" s="1"/>
    </row>
    <row r="1948" spans="1:19" ht="33.75" customHeight="1">
      <c r="A1948" s="1" t="s">
        <v>5354</v>
      </c>
      <c r="B1948" s="1" t="s">
        <v>5217</v>
      </c>
      <c r="C1948" s="1">
        <v>26</v>
      </c>
      <c r="D1948" s="4">
        <v>39983.304861111108</v>
      </c>
      <c r="E1948" s="1" t="s">
        <v>54</v>
      </c>
      <c r="F1948" s="1"/>
      <c r="G1948" s="1"/>
      <c r="H1948" s="1"/>
      <c r="I1948" s="1"/>
      <c r="J1948" s="1"/>
      <c r="K1948" s="1"/>
      <c r="L1948" s="1"/>
      <c r="M1948" s="1"/>
      <c r="N1948" s="1"/>
      <c r="O1948" s="1"/>
      <c r="P1948" s="1"/>
      <c r="Q1948" s="1"/>
      <c r="R1948" s="1"/>
      <c r="S1948" s="1"/>
    </row>
    <row r="1949" spans="1:19" ht="33.75" customHeight="1">
      <c r="A1949" s="1" t="s">
        <v>5357</v>
      </c>
      <c r="B1949" s="1" t="s">
        <v>5217</v>
      </c>
      <c r="C1949" s="1">
        <v>26</v>
      </c>
      <c r="D1949" s="4">
        <v>39983.319444444445</v>
      </c>
      <c r="E1949" s="1" t="s">
        <v>1089</v>
      </c>
      <c r="F1949" s="1"/>
      <c r="G1949" s="1"/>
      <c r="H1949" s="1"/>
      <c r="I1949" s="1"/>
      <c r="J1949" s="1"/>
      <c r="K1949" s="1"/>
      <c r="L1949" s="1"/>
      <c r="M1949" s="1"/>
      <c r="N1949" s="1"/>
      <c r="O1949" s="1"/>
      <c r="P1949" s="1"/>
      <c r="Q1949" s="1"/>
      <c r="R1949" s="1"/>
      <c r="S1949" s="1"/>
    </row>
    <row r="1950" spans="1:19" ht="33.75" customHeight="1">
      <c r="A1950" s="1" t="s">
        <v>5359</v>
      </c>
      <c r="B1950" s="1" t="s">
        <v>5217</v>
      </c>
      <c r="C1950" s="1">
        <v>26</v>
      </c>
      <c r="D1950" s="4">
        <v>39983.448611111111</v>
      </c>
      <c r="E1950" s="1" t="s">
        <v>1089</v>
      </c>
      <c r="F1950" s="1"/>
      <c r="G1950" s="1"/>
      <c r="H1950" s="1"/>
      <c r="I1950" s="1"/>
      <c r="J1950" s="1"/>
      <c r="K1950" s="1"/>
      <c r="L1950" s="1"/>
      <c r="M1950" s="1"/>
      <c r="N1950" s="1"/>
      <c r="O1950" s="1"/>
      <c r="P1950" s="1"/>
      <c r="Q1950" s="1"/>
      <c r="R1950" s="1"/>
      <c r="S1950" s="1"/>
    </row>
    <row r="1951" spans="1:19" ht="33.75" customHeight="1">
      <c r="A1951" s="1" t="s">
        <v>5362</v>
      </c>
      <c r="B1951" s="1" t="s">
        <v>5217</v>
      </c>
      <c r="C1951" s="1">
        <v>26</v>
      </c>
      <c r="D1951" s="4">
        <v>39984.181944444441</v>
      </c>
      <c r="E1951" s="1" t="s">
        <v>1887</v>
      </c>
      <c r="F1951" s="1"/>
      <c r="G1951" s="1"/>
      <c r="H1951" s="1"/>
      <c r="I1951" s="1"/>
      <c r="J1951" s="1"/>
      <c r="K1951" s="1"/>
      <c r="L1951" s="1"/>
      <c r="M1951" s="1"/>
      <c r="N1951" s="1"/>
      <c r="O1951" s="1"/>
      <c r="P1951" s="1"/>
      <c r="Q1951" s="1"/>
      <c r="R1951" s="1"/>
      <c r="S1951" s="1"/>
    </row>
    <row r="1952" spans="1:19" ht="33.75" customHeight="1">
      <c r="A1952" s="1" t="s">
        <v>5365</v>
      </c>
      <c r="B1952" s="1" t="s">
        <v>5217</v>
      </c>
      <c r="C1952" s="1">
        <v>26</v>
      </c>
      <c r="D1952" s="4">
        <v>39984.372916666667</v>
      </c>
      <c r="E1952" s="1" t="s">
        <v>1089</v>
      </c>
      <c r="F1952" s="1"/>
      <c r="G1952" s="1"/>
      <c r="H1952" s="1"/>
      <c r="I1952" s="1"/>
      <c r="J1952" s="1"/>
      <c r="K1952" s="1"/>
      <c r="L1952" s="1"/>
      <c r="M1952" s="1"/>
      <c r="N1952" s="1"/>
      <c r="O1952" s="1"/>
      <c r="P1952" s="1"/>
      <c r="Q1952" s="1"/>
      <c r="R1952" s="1"/>
      <c r="S1952" s="1"/>
    </row>
    <row r="1953" spans="1:19" ht="33.75" customHeight="1">
      <c r="A1953" s="1" t="s">
        <v>5367</v>
      </c>
      <c r="B1953" s="1" t="s">
        <v>5217</v>
      </c>
      <c r="C1953" s="1">
        <v>26</v>
      </c>
      <c r="D1953" s="4">
        <v>39984.636111111111</v>
      </c>
      <c r="E1953" s="1" t="s">
        <v>1089</v>
      </c>
      <c r="F1953" s="1"/>
      <c r="G1953" s="1"/>
      <c r="H1953" s="1"/>
      <c r="I1953" s="1"/>
      <c r="J1953" s="1"/>
      <c r="K1953" s="1"/>
      <c r="L1953" s="1"/>
      <c r="M1953" s="1"/>
      <c r="N1953" s="1"/>
      <c r="O1953" s="1"/>
      <c r="P1953" s="1"/>
      <c r="Q1953" s="1"/>
      <c r="R1953" s="1"/>
      <c r="S1953" s="1"/>
    </row>
    <row r="1954" spans="1:19" ht="33.75" customHeight="1">
      <c r="A1954" s="1" t="s">
        <v>5369</v>
      </c>
      <c r="B1954" s="1" t="s">
        <v>5217</v>
      </c>
      <c r="C1954" s="1">
        <v>26</v>
      </c>
      <c r="D1954" s="4">
        <v>39984.899305555555</v>
      </c>
      <c r="E1954" s="1" t="s">
        <v>1089</v>
      </c>
      <c r="F1954" s="1"/>
      <c r="G1954" s="1"/>
      <c r="H1954" s="1"/>
      <c r="I1954" s="1"/>
      <c r="J1954" s="1"/>
      <c r="K1954" s="1"/>
      <c r="L1954" s="1"/>
      <c r="M1954" s="1"/>
      <c r="N1954" s="1"/>
      <c r="O1954" s="1"/>
      <c r="P1954" s="1"/>
      <c r="Q1954" s="1"/>
      <c r="R1954" s="1"/>
      <c r="S1954" s="1"/>
    </row>
    <row r="1955" spans="1:19" ht="33.75" customHeight="1">
      <c r="A1955" s="1" t="s">
        <v>5372</v>
      </c>
      <c r="B1955" s="1" t="s">
        <v>5217</v>
      </c>
      <c r="C1955" s="1">
        <v>26</v>
      </c>
      <c r="D1955" s="4">
        <v>39985.23333333333</v>
      </c>
      <c r="E1955" s="1" t="s">
        <v>1887</v>
      </c>
      <c r="F1955" s="1"/>
      <c r="G1955" s="1"/>
      <c r="H1955" s="1"/>
      <c r="I1955" s="1"/>
      <c r="J1955" s="1"/>
      <c r="K1955" s="1"/>
      <c r="L1955" s="1"/>
      <c r="M1955" s="1"/>
      <c r="N1955" s="1"/>
      <c r="O1955" s="1"/>
      <c r="P1955" s="1"/>
      <c r="Q1955" s="1"/>
      <c r="R1955" s="1"/>
      <c r="S1955" s="1"/>
    </row>
    <row r="1956" spans="1:19" ht="33.75" customHeight="1">
      <c r="A1956" s="1" t="s">
        <v>5374</v>
      </c>
      <c r="B1956" s="1" t="s">
        <v>5217</v>
      </c>
      <c r="C1956" s="1">
        <v>26</v>
      </c>
      <c r="D1956" s="4">
        <v>39985.443055555559</v>
      </c>
      <c r="E1956" s="1" t="s">
        <v>1887</v>
      </c>
      <c r="F1956" s="1"/>
      <c r="G1956" s="1"/>
      <c r="H1956" s="1"/>
      <c r="I1956" s="1"/>
      <c r="J1956" s="1"/>
      <c r="K1956" s="1"/>
      <c r="L1956" s="1"/>
      <c r="M1956" s="1"/>
      <c r="N1956" s="1"/>
      <c r="O1956" s="1"/>
      <c r="P1956" s="1"/>
      <c r="Q1956" s="1"/>
      <c r="R1956" s="1"/>
      <c r="S1956" s="1"/>
    </row>
    <row r="1957" spans="1:19" ht="33.75" customHeight="1">
      <c r="A1957" s="1" t="s">
        <v>5376</v>
      </c>
      <c r="B1957" s="1" t="s">
        <v>5217</v>
      </c>
      <c r="C1957" s="1">
        <v>26</v>
      </c>
      <c r="D1957" s="4">
        <v>39985.795138888891</v>
      </c>
      <c r="E1957" s="1" t="s">
        <v>772</v>
      </c>
      <c r="F1957" s="1"/>
      <c r="G1957" s="1"/>
      <c r="H1957" s="1"/>
      <c r="I1957" s="1"/>
      <c r="J1957" s="1"/>
      <c r="K1957" s="1"/>
      <c r="L1957" s="1"/>
      <c r="M1957" s="1"/>
      <c r="N1957" s="1"/>
      <c r="O1957" s="1"/>
      <c r="P1957" s="1"/>
      <c r="Q1957" s="1"/>
      <c r="R1957" s="1"/>
      <c r="S1957" s="1"/>
    </row>
    <row r="1958" spans="1:19" ht="33.75" customHeight="1">
      <c r="A1958" s="1" t="s">
        <v>5378</v>
      </c>
      <c r="B1958" s="1" t="s">
        <v>5217</v>
      </c>
      <c r="C1958" s="1">
        <v>26</v>
      </c>
      <c r="D1958" s="4">
        <v>39985.972222222219</v>
      </c>
      <c r="E1958" s="1" t="s">
        <v>1887</v>
      </c>
      <c r="F1958" s="1"/>
      <c r="G1958" s="1"/>
      <c r="H1958" s="1"/>
      <c r="I1958" s="1"/>
      <c r="J1958" s="1"/>
      <c r="K1958" s="1"/>
      <c r="L1958" s="1"/>
      <c r="M1958" s="1"/>
      <c r="N1958" s="1"/>
      <c r="O1958" s="1"/>
      <c r="P1958" s="1"/>
      <c r="Q1958" s="1"/>
      <c r="R1958" s="1"/>
      <c r="S1958" s="1"/>
    </row>
    <row r="1959" spans="1:19" ht="33.75" customHeight="1">
      <c r="A1959" s="1" t="s">
        <v>5380</v>
      </c>
      <c r="B1959" s="1" t="s">
        <v>5217</v>
      </c>
      <c r="C1959" s="1">
        <v>26</v>
      </c>
      <c r="D1959" s="4">
        <v>39986.143055555556</v>
      </c>
      <c r="E1959" s="1" t="s">
        <v>1089</v>
      </c>
      <c r="F1959" s="1"/>
      <c r="G1959" s="1"/>
      <c r="H1959" s="1"/>
      <c r="I1959" s="1"/>
      <c r="J1959" s="1"/>
      <c r="K1959" s="1"/>
      <c r="L1959" s="1"/>
      <c r="M1959" s="1"/>
      <c r="N1959" s="1"/>
      <c r="O1959" s="1"/>
      <c r="P1959" s="1"/>
      <c r="Q1959" s="1"/>
      <c r="R1959" s="1"/>
      <c r="S1959" s="1"/>
    </row>
    <row r="1960" spans="1:19" ht="33.75" customHeight="1">
      <c r="A1960" s="1" t="s">
        <v>5382</v>
      </c>
      <c r="B1960" s="1" t="s">
        <v>5217</v>
      </c>
      <c r="C1960" s="1">
        <v>26</v>
      </c>
      <c r="D1960" s="4">
        <v>39987.62222222222</v>
      </c>
      <c r="E1960" s="1" t="s">
        <v>1089</v>
      </c>
      <c r="F1960" s="1"/>
      <c r="G1960" s="1"/>
      <c r="H1960" s="1"/>
      <c r="I1960" s="1"/>
      <c r="J1960" s="1"/>
      <c r="K1960" s="1"/>
      <c r="L1960" s="1"/>
      <c r="M1960" s="1"/>
      <c r="N1960" s="1"/>
      <c r="O1960" s="1"/>
      <c r="P1960" s="1"/>
      <c r="Q1960" s="1"/>
      <c r="R1960" s="1"/>
      <c r="S1960" s="1"/>
    </row>
    <row r="1961" spans="1:19" ht="33.75" customHeight="1">
      <c r="A1961" s="1" t="s">
        <v>5385</v>
      </c>
      <c r="B1961" s="1" t="s">
        <v>5217</v>
      </c>
      <c r="C1961" s="1">
        <v>26</v>
      </c>
      <c r="D1961" s="4">
        <v>39987.928472222222</v>
      </c>
      <c r="E1961" s="1" t="s">
        <v>1089</v>
      </c>
      <c r="F1961" s="1"/>
      <c r="G1961" s="1"/>
      <c r="H1961" s="1"/>
      <c r="I1961" s="1"/>
      <c r="J1961" s="1"/>
      <c r="K1961" s="1"/>
      <c r="L1961" s="1"/>
      <c r="M1961" s="1"/>
      <c r="N1961" s="1"/>
      <c r="O1961" s="1"/>
      <c r="P1961" s="1"/>
      <c r="Q1961" s="1"/>
      <c r="R1961" s="1"/>
      <c r="S1961" s="1"/>
    </row>
    <row r="1962" spans="1:19" ht="33.75" customHeight="1">
      <c r="A1962" s="1" t="s">
        <v>5387</v>
      </c>
      <c r="B1962" s="1" t="s">
        <v>3929</v>
      </c>
      <c r="C1962" s="1">
        <v>21</v>
      </c>
      <c r="D1962" s="4">
        <v>39988.248611111114</v>
      </c>
      <c r="E1962" s="1" t="s">
        <v>760</v>
      </c>
      <c r="F1962" s="1"/>
      <c r="G1962" s="1"/>
      <c r="H1962" s="1"/>
      <c r="I1962" s="1"/>
      <c r="J1962" s="1"/>
      <c r="K1962" s="1"/>
      <c r="L1962" s="1"/>
      <c r="M1962" s="1"/>
      <c r="N1962" s="1"/>
      <c r="O1962" s="1"/>
      <c r="P1962" s="1"/>
      <c r="Q1962" s="1"/>
      <c r="R1962" s="1"/>
      <c r="S1962" s="1"/>
    </row>
    <row r="1963" spans="1:19" ht="33.75" customHeight="1">
      <c r="A1963" s="1" t="s">
        <v>5389</v>
      </c>
      <c r="B1963" s="1" t="s">
        <v>3929</v>
      </c>
      <c r="C1963" s="1">
        <v>21</v>
      </c>
      <c r="D1963" s="4">
        <v>39988.257638888892</v>
      </c>
      <c r="E1963" s="1" t="s">
        <v>760</v>
      </c>
      <c r="F1963" s="1"/>
      <c r="G1963" s="1"/>
      <c r="H1963" s="1"/>
      <c r="I1963" s="1"/>
      <c r="J1963" s="1"/>
      <c r="K1963" s="1"/>
      <c r="L1963" s="1"/>
      <c r="M1963" s="1"/>
      <c r="N1963" s="1"/>
      <c r="O1963" s="1"/>
      <c r="P1963" s="1"/>
      <c r="Q1963" s="1"/>
      <c r="R1963" s="1"/>
      <c r="S1963" s="1"/>
    </row>
    <row r="1964" spans="1:19" ht="33.75" customHeight="1">
      <c r="A1964" s="1" t="s">
        <v>5391</v>
      </c>
      <c r="B1964" s="1" t="s">
        <v>5217</v>
      </c>
      <c r="C1964" s="1">
        <v>26</v>
      </c>
      <c r="D1964" s="4">
        <v>39988.525000000001</v>
      </c>
      <c r="E1964" s="1" t="s">
        <v>1887</v>
      </c>
      <c r="F1964" s="1"/>
      <c r="G1964" s="1"/>
      <c r="H1964" s="1"/>
      <c r="I1964" s="1"/>
      <c r="J1964" s="1"/>
      <c r="K1964" s="1"/>
      <c r="L1964" s="1"/>
      <c r="M1964" s="1"/>
      <c r="N1964" s="1"/>
      <c r="O1964" s="1"/>
      <c r="P1964" s="1"/>
      <c r="Q1964" s="1"/>
      <c r="R1964" s="1"/>
      <c r="S1964" s="1"/>
    </row>
    <row r="1965" spans="1:19" ht="33.75" customHeight="1">
      <c r="A1965" s="1" t="s">
        <v>5394</v>
      </c>
      <c r="B1965" s="1" t="s">
        <v>3929</v>
      </c>
      <c r="C1965" s="1">
        <v>21</v>
      </c>
      <c r="D1965" s="4">
        <v>39989.231249999997</v>
      </c>
      <c r="E1965" s="1" t="s">
        <v>320</v>
      </c>
      <c r="F1965" s="1"/>
      <c r="G1965" s="1"/>
      <c r="H1965" s="1"/>
      <c r="I1965" s="1"/>
      <c r="J1965" s="1"/>
      <c r="K1965" s="1"/>
      <c r="L1965" s="1"/>
      <c r="M1965" s="1"/>
      <c r="N1965" s="1"/>
      <c r="O1965" s="1"/>
      <c r="P1965" s="1"/>
      <c r="Q1965" s="1"/>
      <c r="R1965" s="1"/>
      <c r="S1965" s="1"/>
    </row>
    <row r="1966" spans="1:19" ht="33.75" customHeight="1">
      <c r="A1966" s="1" t="s">
        <v>5396</v>
      </c>
      <c r="B1966" s="1" t="s">
        <v>3929</v>
      </c>
      <c r="C1966" s="1">
        <v>21</v>
      </c>
      <c r="D1966" s="4">
        <v>39989.231944444444</v>
      </c>
      <c r="E1966" s="1" t="s">
        <v>320</v>
      </c>
      <c r="F1966" s="1"/>
      <c r="G1966" s="1"/>
      <c r="H1966" s="1"/>
      <c r="I1966" s="1"/>
      <c r="J1966" s="1"/>
      <c r="K1966" s="1"/>
      <c r="L1966" s="1"/>
      <c r="M1966" s="1"/>
      <c r="N1966" s="1"/>
      <c r="O1966" s="1"/>
      <c r="P1966" s="1"/>
      <c r="Q1966" s="1"/>
      <c r="R1966" s="1"/>
      <c r="S1966" s="1"/>
    </row>
    <row r="1967" spans="1:19" ht="33.75" customHeight="1">
      <c r="A1967" s="1" t="s">
        <v>5398</v>
      </c>
      <c r="B1967" s="1" t="s">
        <v>3929</v>
      </c>
      <c r="C1967" s="1">
        <v>21</v>
      </c>
      <c r="D1967" s="4">
        <v>39989.241666666669</v>
      </c>
      <c r="E1967" s="1" t="s">
        <v>320</v>
      </c>
      <c r="F1967" s="1"/>
      <c r="G1967" s="1"/>
      <c r="H1967" s="1"/>
      <c r="I1967" s="1"/>
      <c r="J1967" s="1"/>
      <c r="K1967" s="1"/>
      <c r="L1967" s="1"/>
      <c r="M1967" s="1"/>
      <c r="N1967" s="1"/>
      <c r="O1967" s="1"/>
      <c r="P1967" s="1"/>
      <c r="Q1967" s="1"/>
      <c r="R1967" s="1"/>
      <c r="S1967" s="1"/>
    </row>
    <row r="1968" spans="1:19" ht="33.75" customHeight="1">
      <c r="A1968" s="1" t="s">
        <v>5401</v>
      </c>
      <c r="B1968" s="1" t="s">
        <v>3929</v>
      </c>
      <c r="C1968" s="1">
        <v>21</v>
      </c>
      <c r="D1968" s="4">
        <v>39989.243055555555</v>
      </c>
      <c r="E1968" s="1" t="s">
        <v>320</v>
      </c>
      <c r="F1968" s="1"/>
      <c r="G1968" s="1"/>
      <c r="H1968" s="1"/>
      <c r="I1968" s="1"/>
      <c r="J1968" s="1"/>
      <c r="K1968" s="1"/>
      <c r="L1968" s="1"/>
      <c r="M1968" s="1"/>
      <c r="N1968" s="1"/>
      <c r="O1968" s="1"/>
      <c r="P1968" s="1"/>
      <c r="Q1968" s="1"/>
      <c r="R1968" s="1"/>
      <c r="S1968" s="1"/>
    </row>
    <row r="1969" spans="1:19" ht="33.75" customHeight="1">
      <c r="A1969" s="1" t="s">
        <v>5403</v>
      </c>
      <c r="B1969" s="1" t="s">
        <v>5217</v>
      </c>
      <c r="C1969" s="1">
        <v>26</v>
      </c>
      <c r="D1969" s="4">
        <v>39989.276388888888</v>
      </c>
      <c r="E1969" s="1" t="s">
        <v>1089</v>
      </c>
      <c r="F1969" s="1"/>
      <c r="G1969" s="1"/>
      <c r="H1969" s="1"/>
      <c r="I1969" s="1"/>
      <c r="J1969" s="1"/>
      <c r="K1969" s="1"/>
      <c r="L1969" s="1"/>
      <c r="M1969" s="1"/>
      <c r="N1969" s="1"/>
      <c r="O1969" s="1"/>
      <c r="P1969" s="1"/>
      <c r="Q1969" s="1"/>
      <c r="R1969" s="1"/>
      <c r="S1969" s="1"/>
    </row>
    <row r="1970" spans="1:19" ht="33.75" customHeight="1">
      <c r="A1970" s="1" t="s">
        <v>5405</v>
      </c>
      <c r="B1970" s="1" t="s">
        <v>3929</v>
      </c>
      <c r="C1970" s="1">
        <v>21</v>
      </c>
      <c r="D1970" s="4">
        <v>39989.336805555555</v>
      </c>
      <c r="E1970" s="1" t="s">
        <v>14</v>
      </c>
      <c r="F1970" s="1"/>
      <c r="G1970" s="1"/>
      <c r="H1970" s="1"/>
      <c r="I1970" s="1"/>
      <c r="J1970" s="1"/>
      <c r="K1970" s="1"/>
      <c r="L1970" s="1"/>
      <c r="M1970" s="1"/>
      <c r="N1970" s="1"/>
      <c r="O1970" s="1"/>
      <c r="P1970" s="1"/>
      <c r="Q1970" s="1"/>
      <c r="R1970" s="1"/>
      <c r="S1970" s="1"/>
    </row>
    <row r="1971" spans="1:19" ht="33.75" customHeight="1">
      <c r="A1971" s="1" t="s">
        <v>5407</v>
      </c>
      <c r="B1971" s="1" t="s">
        <v>3929</v>
      </c>
      <c r="C1971" s="1">
        <v>21</v>
      </c>
      <c r="D1971" s="4">
        <v>39989.364583333336</v>
      </c>
      <c r="E1971" s="1" t="s">
        <v>196</v>
      </c>
      <c r="F1971" s="1"/>
      <c r="G1971" s="1"/>
      <c r="H1971" s="1"/>
      <c r="I1971" s="1"/>
      <c r="J1971" s="1"/>
      <c r="K1971" s="1"/>
      <c r="L1971" s="1"/>
      <c r="M1971" s="1"/>
      <c r="N1971" s="1"/>
      <c r="O1971" s="1"/>
      <c r="P1971" s="1"/>
      <c r="Q1971" s="1"/>
      <c r="R1971" s="1"/>
      <c r="S1971" s="1"/>
    </row>
    <row r="1972" spans="1:19" ht="33.75" customHeight="1">
      <c r="A1972" s="1" t="s">
        <v>5409</v>
      </c>
      <c r="B1972" s="1" t="s">
        <v>5217</v>
      </c>
      <c r="C1972" s="1">
        <v>26</v>
      </c>
      <c r="D1972" s="4">
        <v>39989.378472222219</v>
      </c>
      <c r="E1972" s="1" t="s">
        <v>772</v>
      </c>
      <c r="F1972" s="1"/>
      <c r="G1972" s="1"/>
      <c r="H1972" s="1"/>
      <c r="I1972" s="1"/>
      <c r="J1972" s="1"/>
      <c r="K1972" s="1"/>
      <c r="L1972" s="1"/>
      <c r="M1972" s="1"/>
      <c r="N1972" s="1"/>
      <c r="O1972" s="1"/>
      <c r="P1972" s="1"/>
      <c r="Q1972" s="1"/>
      <c r="R1972" s="1"/>
      <c r="S1972" s="1"/>
    </row>
    <row r="1973" spans="1:19" ht="33.75" customHeight="1">
      <c r="A1973" s="1" t="s">
        <v>12</v>
      </c>
      <c r="B1973" s="1" t="s">
        <v>5412</v>
      </c>
      <c r="C1973" s="1">
        <v>27</v>
      </c>
      <c r="D1973" s="4">
        <v>39989.413703703707</v>
      </c>
      <c r="E1973" s="1" t="s">
        <v>14</v>
      </c>
      <c r="F1973" s="1"/>
      <c r="G1973" s="1"/>
      <c r="H1973" s="1"/>
      <c r="I1973" s="1"/>
      <c r="J1973" s="1"/>
      <c r="K1973" s="1"/>
      <c r="L1973" s="1"/>
      <c r="M1973" s="1"/>
      <c r="N1973" s="1"/>
      <c r="O1973" s="1"/>
      <c r="P1973" s="1"/>
      <c r="Q1973" s="1"/>
      <c r="R1973" s="1"/>
      <c r="S1973" s="1"/>
    </row>
    <row r="1974" spans="1:19" ht="33.75" customHeight="1">
      <c r="A1974" s="1" t="s">
        <v>5415</v>
      </c>
      <c r="B1974" s="1" t="s">
        <v>5217</v>
      </c>
      <c r="C1974" s="1">
        <v>26</v>
      </c>
      <c r="D1974" s="4">
        <v>39989.527083333334</v>
      </c>
      <c r="E1974" s="1" t="s">
        <v>54</v>
      </c>
      <c r="F1974" s="1"/>
      <c r="G1974" s="1"/>
      <c r="H1974" s="1"/>
      <c r="I1974" s="1"/>
      <c r="J1974" s="1"/>
      <c r="K1974" s="1"/>
      <c r="L1974" s="1"/>
      <c r="M1974" s="1"/>
      <c r="N1974" s="1"/>
      <c r="O1974" s="1"/>
      <c r="P1974" s="1"/>
      <c r="Q1974" s="1"/>
      <c r="R1974" s="1"/>
      <c r="S1974" s="1"/>
    </row>
    <row r="1975" spans="1:19" ht="33.75" customHeight="1">
      <c r="A1975" s="1" t="s">
        <v>5418</v>
      </c>
      <c r="B1975" s="1" t="s">
        <v>5412</v>
      </c>
      <c r="C1975" s="1">
        <v>27</v>
      </c>
      <c r="D1975" s="4">
        <v>39989.68472222222</v>
      </c>
      <c r="E1975" s="1" t="s">
        <v>320</v>
      </c>
      <c r="F1975" s="1"/>
      <c r="G1975" s="1"/>
      <c r="H1975" s="1"/>
      <c r="I1975" s="1"/>
      <c r="J1975" s="1"/>
      <c r="K1975" s="1"/>
      <c r="L1975" s="1"/>
      <c r="M1975" s="1"/>
      <c r="N1975" s="1"/>
      <c r="O1975" s="1"/>
      <c r="P1975" s="1"/>
      <c r="Q1975" s="1"/>
      <c r="R1975" s="1"/>
      <c r="S1975" s="1"/>
    </row>
    <row r="1976" spans="1:19" ht="33.75" customHeight="1">
      <c r="A1976" s="1" t="s">
        <v>5421</v>
      </c>
      <c r="B1976" s="1" t="s">
        <v>5412</v>
      </c>
      <c r="C1976" s="1">
        <v>27</v>
      </c>
      <c r="D1976" s="4">
        <v>39989.718055555553</v>
      </c>
      <c r="E1976" s="1" t="s">
        <v>320</v>
      </c>
      <c r="F1976" s="1"/>
      <c r="G1976" s="1"/>
      <c r="H1976" s="1"/>
      <c r="I1976" s="1"/>
      <c r="J1976" s="1"/>
      <c r="K1976" s="1"/>
      <c r="L1976" s="1"/>
      <c r="M1976" s="1"/>
      <c r="N1976" s="1"/>
      <c r="O1976" s="1"/>
      <c r="P1976" s="1"/>
      <c r="Q1976" s="1"/>
      <c r="R1976" s="1"/>
      <c r="S1976" s="1"/>
    </row>
    <row r="1977" spans="1:19" ht="33.75" customHeight="1">
      <c r="A1977" s="1" t="s">
        <v>5424</v>
      </c>
      <c r="B1977" s="1" t="s">
        <v>5412</v>
      </c>
      <c r="C1977" s="1">
        <v>27</v>
      </c>
      <c r="D1977" s="4">
        <v>39989.71875</v>
      </c>
      <c r="E1977" s="1" t="s">
        <v>320</v>
      </c>
      <c r="F1977" s="1"/>
      <c r="G1977" s="1"/>
      <c r="H1977" s="1"/>
      <c r="I1977" s="1"/>
      <c r="J1977" s="1"/>
      <c r="K1977" s="1"/>
      <c r="L1977" s="1"/>
      <c r="M1977" s="1"/>
      <c r="N1977" s="1"/>
      <c r="O1977" s="1"/>
      <c r="P1977" s="1"/>
      <c r="Q1977" s="1"/>
      <c r="R1977" s="1"/>
      <c r="S1977" s="1"/>
    </row>
    <row r="1978" spans="1:19" ht="33.75" customHeight="1">
      <c r="A1978" s="1" t="s">
        <v>5426</v>
      </c>
      <c r="B1978" s="1" t="s">
        <v>5217</v>
      </c>
      <c r="C1978" s="1">
        <v>26</v>
      </c>
      <c r="D1978" s="4">
        <v>39989.976388888892</v>
      </c>
      <c r="E1978" s="1" t="s">
        <v>1887</v>
      </c>
      <c r="F1978" s="1"/>
      <c r="G1978" s="1"/>
      <c r="H1978" s="1"/>
      <c r="I1978" s="1"/>
      <c r="J1978" s="1"/>
      <c r="K1978" s="1"/>
      <c r="L1978" s="1"/>
      <c r="M1978" s="1"/>
      <c r="N1978" s="1"/>
      <c r="O1978" s="1"/>
      <c r="P1978" s="1"/>
      <c r="Q1978" s="1"/>
      <c r="R1978" s="1"/>
      <c r="S1978" s="1"/>
    </row>
    <row r="1979" spans="1:19" ht="33.75" customHeight="1">
      <c r="A1979" s="1" t="s">
        <v>5428</v>
      </c>
      <c r="B1979" s="1" t="s">
        <v>5412</v>
      </c>
      <c r="C1979" s="1">
        <v>27</v>
      </c>
      <c r="D1979" s="4">
        <v>39989.976388888892</v>
      </c>
      <c r="E1979" s="1" t="s">
        <v>32</v>
      </c>
      <c r="F1979" s="1"/>
      <c r="G1979" s="1"/>
      <c r="H1979" s="1"/>
      <c r="I1979" s="1"/>
      <c r="J1979" s="1"/>
      <c r="K1979" s="1"/>
      <c r="L1979" s="1"/>
      <c r="M1979" s="1"/>
      <c r="N1979" s="1"/>
      <c r="O1979" s="1"/>
      <c r="P1979" s="1"/>
      <c r="Q1979" s="1"/>
      <c r="R1979" s="1"/>
      <c r="S1979" s="1"/>
    </row>
    <row r="1980" spans="1:19" ht="33.75" customHeight="1">
      <c r="A1980" s="1" t="s">
        <v>5431</v>
      </c>
      <c r="B1980" s="1" t="s">
        <v>5217</v>
      </c>
      <c r="C1980" s="1">
        <v>26</v>
      </c>
      <c r="D1980" s="4">
        <v>39990.95416666667</v>
      </c>
      <c r="E1980" s="1" t="s">
        <v>1089</v>
      </c>
      <c r="F1980" s="1"/>
      <c r="G1980" s="1"/>
      <c r="H1980" s="1"/>
      <c r="I1980" s="1"/>
      <c r="J1980" s="1"/>
      <c r="K1980" s="1"/>
      <c r="L1980" s="1"/>
      <c r="M1980" s="1"/>
      <c r="N1980" s="1"/>
      <c r="O1980" s="1"/>
      <c r="P1980" s="1"/>
      <c r="Q1980" s="1"/>
      <c r="R1980" s="1"/>
      <c r="S1980" s="1"/>
    </row>
    <row r="1981" spans="1:19" ht="33.75" customHeight="1">
      <c r="A1981" s="1" t="s">
        <v>5435</v>
      </c>
      <c r="B1981" s="1" t="s">
        <v>5412</v>
      </c>
      <c r="C1981" s="1">
        <v>27</v>
      </c>
      <c r="D1981" s="4">
        <v>39990.979861111111</v>
      </c>
      <c r="E1981" s="1" t="s">
        <v>320</v>
      </c>
      <c r="F1981" s="1"/>
      <c r="G1981" s="1"/>
      <c r="H1981" s="1"/>
      <c r="I1981" s="1"/>
      <c r="J1981" s="1"/>
      <c r="K1981" s="1"/>
      <c r="L1981" s="1"/>
      <c r="M1981" s="1"/>
      <c r="N1981" s="1"/>
      <c r="O1981" s="1"/>
      <c r="P1981" s="1"/>
      <c r="Q1981" s="1"/>
      <c r="R1981" s="1"/>
      <c r="S1981" s="1"/>
    </row>
    <row r="1982" spans="1:19" ht="33.75" customHeight="1">
      <c r="A1982" s="1" t="s">
        <v>5438</v>
      </c>
      <c r="B1982" s="1" t="s">
        <v>5217</v>
      </c>
      <c r="C1982" s="1">
        <v>26</v>
      </c>
      <c r="D1982" s="4">
        <v>39996.002083333333</v>
      </c>
      <c r="E1982" s="1" t="s">
        <v>1089</v>
      </c>
      <c r="F1982" s="1"/>
      <c r="G1982" s="1"/>
      <c r="H1982" s="1"/>
      <c r="I1982" s="1"/>
      <c r="J1982" s="1"/>
      <c r="K1982" s="1"/>
      <c r="L1982" s="1"/>
      <c r="M1982" s="1"/>
      <c r="N1982" s="1"/>
      <c r="O1982" s="1"/>
      <c r="P1982" s="1"/>
      <c r="Q1982" s="1"/>
      <c r="R1982" s="1"/>
      <c r="S1982" s="1"/>
    </row>
    <row r="1983" spans="1:19" ht="33.75" customHeight="1">
      <c r="A1983" s="1" t="s">
        <v>5440</v>
      </c>
      <c r="B1983" s="1" t="s">
        <v>3156</v>
      </c>
      <c r="C1983" s="1">
        <v>18</v>
      </c>
      <c r="D1983" s="4">
        <v>39996.428472222222</v>
      </c>
      <c r="E1983" s="1" t="s">
        <v>5441</v>
      </c>
      <c r="F1983" s="1"/>
      <c r="G1983" s="1"/>
      <c r="H1983" s="1"/>
      <c r="I1983" s="1"/>
      <c r="J1983" s="1"/>
      <c r="K1983" s="1"/>
      <c r="L1983" s="1"/>
      <c r="M1983" s="1"/>
      <c r="N1983" s="1"/>
      <c r="O1983" s="1"/>
      <c r="P1983" s="1"/>
      <c r="Q1983" s="1"/>
      <c r="R1983" s="1"/>
      <c r="S1983" s="1"/>
    </row>
    <row r="1984" spans="1:19" ht="33.75" customHeight="1">
      <c r="A1984" s="1" t="s">
        <v>5443</v>
      </c>
      <c r="B1984" s="1" t="s">
        <v>5217</v>
      </c>
      <c r="C1984" s="1">
        <v>26</v>
      </c>
      <c r="D1984" s="4">
        <v>39996.661805555559</v>
      </c>
      <c r="E1984" s="1" t="s">
        <v>54</v>
      </c>
      <c r="F1984" s="1"/>
      <c r="G1984" s="1"/>
      <c r="H1984" s="1"/>
      <c r="I1984" s="1"/>
      <c r="J1984" s="1"/>
      <c r="K1984" s="1"/>
      <c r="L1984" s="1"/>
      <c r="M1984" s="1"/>
      <c r="N1984" s="1"/>
      <c r="O1984" s="1"/>
      <c r="P1984" s="1"/>
      <c r="Q1984" s="1"/>
      <c r="R1984" s="1"/>
      <c r="S1984" s="1"/>
    </row>
    <row r="1985" spans="1:19" ht="33.75" customHeight="1">
      <c r="A1985" s="1" t="s">
        <v>5447</v>
      </c>
      <c r="B1985" s="1" t="s">
        <v>5217</v>
      </c>
      <c r="C1985" s="1">
        <v>26</v>
      </c>
      <c r="D1985" s="4">
        <v>39997.402083333334</v>
      </c>
      <c r="E1985" s="1" t="s">
        <v>772</v>
      </c>
      <c r="F1985" s="1"/>
      <c r="G1985" s="1"/>
      <c r="H1985" s="1"/>
      <c r="I1985" s="1"/>
      <c r="J1985" s="1"/>
      <c r="K1985" s="1"/>
      <c r="L1985" s="1"/>
      <c r="M1985" s="1"/>
      <c r="N1985" s="1"/>
      <c r="O1985" s="1"/>
      <c r="P1985" s="1"/>
      <c r="Q1985" s="1"/>
      <c r="R1985" s="1"/>
      <c r="S1985" s="1"/>
    </row>
    <row r="1986" spans="1:19" ht="33.75" customHeight="1">
      <c r="A1986" s="1" t="s">
        <v>5449</v>
      </c>
      <c r="B1986" s="1" t="s">
        <v>5217</v>
      </c>
      <c r="C1986" s="1">
        <v>26</v>
      </c>
      <c r="D1986" s="4">
        <v>39997.643055555556</v>
      </c>
      <c r="E1986" s="1" t="s">
        <v>772</v>
      </c>
      <c r="F1986" s="1"/>
      <c r="G1986" s="1"/>
      <c r="H1986" s="1"/>
      <c r="I1986" s="1"/>
      <c r="J1986" s="1"/>
      <c r="K1986" s="1"/>
      <c r="L1986" s="1"/>
      <c r="M1986" s="1"/>
      <c r="N1986" s="1"/>
      <c r="O1986" s="1"/>
      <c r="P1986" s="1"/>
      <c r="Q1986" s="1"/>
      <c r="R1986" s="1"/>
      <c r="S1986" s="1"/>
    </row>
    <row r="1987" spans="1:19" ht="33.75" customHeight="1">
      <c r="A1987" s="1" t="s">
        <v>5451</v>
      </c>
      <c r="B1987" s="1" t="s">
        <v>5217</v>
      </c>
      <c r="C1987" s="1">
        <v>26</v>
      </c>
      <c r="D1987" s="4">
        <v>39997.668055555558</v>
      </c>
      <c r="E1987" s="1" t="s">
        <v>54</v>
      </c>
      <c r="F1987" s="1"/>
      <c r="G1987" s="1"/>
      <c r="H1987" s="1"/>
      <c r="I1987" s="1"/>
      <c r="J1987" s="1"/>
      <c r="K1987" s="1"/>
      <c r="L1987" s="1"/>
      <c r="M1987" s="1"/>
      <c r="N1987" s="1"/>
      <c r="O1987" s="1"/>
      <c r="P1987" s="1"/>
      <c r="Q1987" s="1"/>
      <c r="R1987" s="1"/>
      <c r="S1987" s="1"/>
    </row>
    <row r="1988" spans="1:19" ht="33.75" customHeight="1">
      <c r="A1988" s="1" t="s">
        <v>5454</v>
      </c>
      <c r="B1988" s="1" t="s">
        <v>5217</v>
      </c>
      <c r="C1988" s="1">
        <v>26</v>
      </c>
      <c r="D1988" s="4">
        <v>39997.751388888886</v>
      </c>
      <c r="E1988" s="1" t="s">
        <v>772</v>
      </c>
      <c r="F1988" s="1"/>
      <c r="G1988" s="1"/>
      <c r="H1988" s="1"/>
      <c r="I1988" s="1"/>
      <c r="J1988" s="1"/>
      <c r="K1988" s="1"/>
      <c r="L1988" s="1"/>
      <c r="M1988" s="1"/>
      <c r="N1988" s="1"/>
      <c r="O1988" s="1"/>
      <c r="P1988" s="1"/>
      <c r="Q1988" s="1"/>
      <c r="R1988" s="1"/>
      <c r="S1988" s="1"/>
    </row>
    <row r="1989" spans="1:19" ht="33.75" customHeight="1">
      <c r="A1989" s="1" t="s">
        <v>5456</v>
      </c>
      <c r="B1989" s="1" t="s">
        <v>5217</v>
      </c>
      <c r="C1989" s="1">
        <v>26</v>
      </c>
      <c r="D1989" s="4">
        <v>39998.361805555556</v>
      </c>
      <c r="E1989" s="1" t="s">
        <v>54</v>
      </c>
      <c r="F1989" s="1"/>
      <c r="G1989" s="1"/>
      <c r="H1989" s="1"/>
      <c r="I1989" s="1"/>
      <c r="J1989" s="1"/>
      <c r="K1989" s="1"/>
      <c r="L1989" s="1"/>
      <c r="M1989" s="1"/>
      <c r="N1989" s="1"/>
      <c r="O1989" s="1"/>
      <c r="P1989" s="1"/>
      <c r="Q1989" s="1"/>
      <c r="R1989" s="1"/>
      <c r="S1989" s="1"/>
    </row>
    <row r="1990" spans="1:19" ht="33.75" customHeight="1">
      <c r="A1990" s="1" t="s">
        <v>5458</v>
      </c>
      <c r="B1990" s="1" t="s">
        <v>5217</v>
      </c>
      <c r="C1990" s="1">
        <v>26</v>
      </c>
      <c r="D1990" s="4">
        <v>40000.443749999999</v>
      </c>
      <c r="E1990" s="1" t="s">
        <v>1887</v>
      </c>
      <c r="F1990" s="1"/>
      <c r="G1990" s="1"/>
      <c r="H1990" s="1"/>
      <c r="I1990" s="1"/>
      <c r="J1990" s="1"/>
      <c r="K1990" s="1"/>
      <c r="L1990" s="1"/>
      <c r="M1990" s="1"/>
      <c r="N1990" s="1"/>
      <c r="O1990" s="1"/>
      <c r="P1990" s="1"/>
      <c r="Q1990" s="1"/>
      <c r="R1990" s="1"/>
      <c r="S1990" s="1"/>
    </row>
    <row r="1991" spans="1:19" ht="33.75" customHeight="1">
      <c r="A1991" s="1" t="s">
        <v>5461</v>
      </c>
      <c r="B1991" s="1" t="s">
        <v>5217</v>
      </c>
      <c r="C1991" s="1">
        <v>26</v>
      </c>
      <c r="D1991" s="4">
        <v>40000.538888888892</v>
      </c>
      <c r="E1991" s="1" t="s">
        <v>54</v>
      </c>
      <c r="F1991" s="1"/>
      <c r="G1991" s="1"/>
      <c r="H1991" s="1"/>
      <c r="I1991" s="1"/>
      <c r="J1991" s="1"/>
      <c r="K1991" s="1"/>
      <c r="L1991" s="1"/>
      <c r="M1991" s="1"/>
      <c r="N1991" s="1"/>
      <c r="O1991" s="1"/>
      <c r="P1991" s="1"/>
      <c r="Q1991" s="1"/>
      <c r="R1991" s="1"/>
      <c r="S1991" s="1"/>
    </row>
    <row r="1992" spans="1:19" ht="33.75" customHeight="1">
      <c r="A1992" s="1" t="s">
        <v>5464</v>
      </c>
      <c r="B1992" s="1" t="s">
        <v>5217</v>
      </c>
      <c r="C1992" s="1">
        <v>26</v>
      </c>
      <c r="D1992" s="4">
        <v>40000.831250000003</v>
      </c>
      <c r="E1992" s="1" t="s">
        <v>772</v>
      </c>
      <c r="F1992" s="1"/>
      <c r="G1992" s="1"/>
      <c r="H1992" s="1"/>
      <c r="I1992" s="1"/>
      <c r="J1992" s="1"/>
      <c r="K1992" s="1"/>
      <c r="L1992" s="1"/>
      <c r="M1992" s="1"/>
      <c r="N1992" s="1"/>
      <c r="O1992" s="1"/>
      <c r="P1992" s="1"/>
      <c r="Q1992" s="1"/>
      <c r="R1992" s="1"/>
      <c r="S1992" s="1"/>
    </row>
    <row r="1993" spans="1:19" ht="33.75" customHeight="1">
      <c r="A1993" s="1" t="s">
        <v>5466</v>
      </c>
      <c r="B1993" s="1" t="s">
        <v>5217</v>
      </c>
      <c r="C1993" s="1">
        <v>26</v>
      </c>
      <c r="D1993" s="4">
        <v>40000.869444444441</v>
      </c>
      <c r="E1993" s="1" t="s">
        <v>772</v>
      </c>
      <c r="F1993" s="1"/>
      <c r="G1993" s="1"/>
      <c r="H1993" s="1"/>
      <c r="I1993" s="1"/>
      <c r="J1993" s="1"/>
      <c r="K1993" s="1"/>
      <c r="L1993" s="1"/>
      <c r="M1993" s="1"/>
      <c r="N1993" s="1"/>
      <c r="O1993" s="1"/>
      <c r="P1993" s="1"/>
      <c r="Q1993" s="1"/>
      <c r="R1993" s="1"/>
      <c r="S1993" s="1"/>
    </row>
    <row r="1994" spans="1:19" ht="33.75" customHeight="1">
      <c r="A1994" s="1" t="s">
        <v>5468</v>
      </c>
      <c r="B1994" s="1" t="s">
        <v>5217</v>
      </c>
      <c r="C1994" s="1">
        <v>26</v>
      </c>
      <c r="D1994" s="4">
        <v>40000.902083333334</v>
      </c>
      <c r="E1994" s="1" t="s">
        <v>54</v>
      </c>
      <c r="F1994" s="1"/>
      <c r="G1994" s="1"/>
      <c r="H1994" s="1"/>
      <c r="I1994" s="1"/>
      <c r="J1994" s="1"/>
      <c r="K1994" s="1"/>
      <c r="L1994" s="1"/>
      <c r="M1994" s="1"/>
      <c r="N1994" s="1"/>
      <c r="O1994" s="1"/>
      <c r="P1994" s="1"/>
      <c r="Q1994" s="1"/>
      <c r="R1994" s="1"/>
      <c r="S1994" s="1"/>
    </row>
    <row r="1995" spans="1:19" ht="33.75" customHeight="1">
      <c r="A1995" s="1" t="s">
        <v>5471</v>
      </c>
      <c r="B1995" s="1" t="s">
        <v>5217</v>
      </c>
      <c r="C1995" s="1">
        <v>26</v>
      </c>
      <c r="D1995" s="4">
        <v>40001.32708333333</v>
      </c>
      <c r="E1995" s="1" t="s">
        <v>1089</v>
      </c>
      <c r="F1995" s="1"/>
      <c r="G1995" s="1"/>
      <c r="H1995" s="1"/>
      <c r="I1995" s="1"/>
      <c r="J1995" s="1"/>
      <c r="K1995" s="1"/>
      <c r="L1995" s="1"/>
      <c r="M1995" s="1"/>
      <c r="N1995" s="1"/>
      <c r="O1995" s="1"/>
      <c r="P1995" s="1"/>
      <c r="Q1995" s="1"/>
      <c r="R1995" s="1"/>
      <c r="S1995" s="1"/>
    </row>
    <row r="1996" spans="1:19" ht="33.75" customHeight="1">
      <c r="A1996" s="1" t="s">
        <v>5473</v>
      </c>
      <c r="B1996" s="1" t="s">
        <v>5217</v>
      </c>
      <c r="C1996" s="1">
        <v>26</v>
      </c>
      <c r="D1996" s="4">
        <v>40001.359722222223</v>
      </c>
      <c r="E1996" s="1" t="s">
        <v>772</v>
      </c>
      <c r="F1996" s="1"/>
      <c r="G1996" s="1"/>
      <c r="H1996" s="1"/>
      <c r="I1996" s="1"/>
      <c r="J1996" s="1"/>
      <c r="K1996" s="1"/>
      <c r="L1996" s="1"/>
      <c r="M1996" s="1"/>
      <c r="N1996" s="1"/>
      <c r="O1996" s="1"/>
      <c r="P1996" s="1"/>
      <c r="Q1996" s="1"/>
      <c r="R1996" s="1"/>
      <c r="S1996" s="1"/>
    </row>
    <row r="1997" spans="1:19" ht="33.75" customHeight="1">
      <c r="A1997" s="1" t="s">
        <v>5475</v>
      </c>
      <c r="B1997" s="1" t="s">
        <v>5217</v>
      </c>
      <c r="C1997" s="1">
        <v>26</v>
      </c>
      <c r="D1997" s="4">
        <v>40001.379166666666</v>
      </c>
      <c r="E1997" s="1" t="s">
        <v>1089</v>
      </c>
      <c r="F1997" s="1"/>
      <c r="G1997" s="1"/>
      <c r="H1997" s="1"/>
      <c r="I1997" s="1"/>
      <c r="J1997" s="1"/>
      <c r="K1997" s="1"/>
      <c r="L1997" s="1"/>
      <c r="M1997" s="1"/>
      <c r="N1997" s="1"/>
      <c r="O1997" s="1"/>
      <c r="P1997" s="1"/>
      <c r="Q1997" s="1"/>
      <c r="R1997" s="1"/>
      <c r="S1997" s="1"/>
    </row>
    <row r="1998" spans="1:19" ht="33.75" customHeight="1">
      <c r="A1998" s="1" t="s">
        <v>5477</v>
      </c>
      <c r="B1998" s="1" t="s">
        <v>5217</v>
      </c>
      <c r="C1998" s="1">
        <v>26</v>
      </c>
      <c r="D1998" s="4">
        <v>40001.401388888888</v>
      </c>
      <c r="E1998" s="1" t="s">
        <v>54</v>
      </c>
      <c r="F1998" s="1"/>
      <c r="G1998" s="1"/>
      <c r="H1998" s="1"/>
      <c r="I1998" s="1"/>
      <c r="J1998" s="1"/>
      <c r="K1998" s="1"/>
      <c r="L1998" s="1"/>
      <c r="M1998" s="1"/>
      <c r="N1998" s="1"/>
      <c r="O1998" s="1"/>
      <c r="P1998" s="1"/>
      <c r="Q1998" s="1"/>
      <c r="R1998" s="1"/>
      <c r="S1998" s="1"/>
    </row>
    <row r="1999" spans="1:19" ht="33.75" customHeight="1">
      <c r="A1999" s="1" t="s">
        <v>5480</v>
      </c>
      <c r="B1999" s="1" t="s">
        <v>5217</v>
      </c>
      <c r="C1999" s="1">
        <v>26</v>
      </c>
      <c r="D1999" s="4">
        <v>40001.40347222222</v>
      </c>
      <c r="E1999" s="1" t="s">
        <v>54</v>
      </c>
      <c r="F1999" s="1"/>
      <c r="G1999" s="1"/>
      <c r="H1999" s="1"/>
      <c r="I1999" s="1"/>
      <c r="J1999" s="1"/>
      <c r="K1999" s="1"/>
      <c r="L1999" s="1"/>
      <c r="M1999" s="1"/>
      <c r="N1999" s="1"/>
      <c r="O1999" s="1"/>
      <c r="P1999" s="1"/>
      <c r="Q1999" s="1"/>
      <c r="R1999" s="1"/>
      <c r="S1999" s="1"/>
    </row>
    <row r="2000" spans="1:19" ht="33.75" customHeight="1">
      <c r="A2000" s="1" t="s">
        <v>5482</v>
      </c>
      <c r="B2000" s="1" t="s">
        <v>5217</v>
      </c>
      <c r="C2000" s="1">
        <v>26</v>
      </c>
      <c r="D2000" s="4">
        <v>40001.425000000003</v>
      </c>
      <c r="E2000" s="1" t="s">
        <v>1089</v>
      </c>
      <c r="F2000" s="1"/>
      <c r="G2000" s="1"/>
      <c r="H2000" s="1"/>
      <c r="I2000" s="1"/>
      <c r="J2000" s="1"/>
      <c r="K2000" s="1"/>
      <c r="L2000" s="1"/>
      <c r="M2000" s="1"/>
      <c r="N2000" s="1"/>
      <c r="O2000" s="1"/>
      <c r="P2000" s="1"/>
      <c r="Q2000" s="1"/>
      <c r="R2000" s="1"/>
      <c r="S2000" s="1"/>
    </row>
    <row r="2001" spans="1:19" ht="33.75" customHeight="1">
      <c r="A2001" s="1" t="s">
        <v>5484</v>
      </c>
      <c r="B2001" s="1" t="s">
        <v>5217</v>
      </c>
      <c r="C2001" s="1">
        <v>26</v>
      </c>
      <c r="D2001" s="4">
        <v>40001.443749999999</v>
      </c>
      <c r="E2001" s="1" t="s">
        <v>1089</v>
      </c>
      <c r="F2001" s="1"/>
      <c r="G2001" s="1"/>
      <c r="H2001" s="1"/>
      <c r="I2001" s="1"/>
      <c r="J2001" s="1"/>
      <c r="K2001" s="1"/>
      <c r="L2001" s="1"/>
      <c r="M2001" s="1"/>
      <c r="N2001" s="1"/>
      <c r="O2001" s="1"/>
      <c r="P2001" s="1"/>
      <c r="Q2001" s="1"/>
      <c r="R2001" s="1"/>
      <c r="S2001" s="1"/>
    </row>
    <row r="2002" spans="1:19" ht="33.75" customHeight="1">
      <c r="A2002" s="1" t="s">
        <v>5486</v>
      </c>
      <c r="B2002" s="1" t="s">
        <v>5217</v>
      </c>
      <c r="C2002" s="1">
        <v>26</v>
      </c>
      <c r="D2002" s="4">
        <v>40001.490972222222</v>
      </c>
      <c r="E2002" s="1" t="s">
        <v>1089</v>
      </c>
      <c r="F2002" s="1"/>
      <c r="G2002" s="1"/>
      <c r="H2002" s="1"/>
      <c r="I2002" s="1"/>
      <c r="J2002" s="1"/>
      <c r="K2002" s="1"/>
      <c r="L2002" s="1"/>
      <c r="M2002" s="1"/>
      <c r="N2002" s="1"/>
      <c r="O2002" s="1"/>
      <c r="P2002" s="1"/>
      <c r="Q2002" s="1"/>
      <c r="R2002" s="1"/>
      <c r="S2002" s="1"/>
    </row>
    <row r="2003" spans="1:19" ht="33.75" customHeight="1">
      <c r="A2003" s="1" t="s">
        <v>5488</v>
      </c>
      <c r="B2003" s="1" t="s">
        <v>5217</v>
      </c>
      <c r="C2003" s="1">
        <v>26</v>
      </c>
      <c r="D2003" s="4">
        <v>40001.542361111111</v>
      </c>
      <c r="E2003" s="1" t="s">
        <v>54</v>
      </c>
      <c r="F2003" s="1"/>
      <c r="G2003" s="1"/>
      <c r="H2003" s="1"/>
      <c r="I2003" s="1"/>
      <c r="J2003" s="1"/>
      <c r="K2003" s="1"/>
      <c r="L2003" s="1"/>
      <c r="M2003" s="1"/>
      <c r="N2003" s="1"/>
      <c r="O2003" s="1"/>
      <c r="P2003" s="1"/>
      <c r="Q2003" s="1"/>
      <c r="R2003" s="1"/>
      <c r="S2003" s="1"/>
    </row>
    <row r="2004" spans="1:19" ht="33.75" customHeight="1">
      <c r="A2004" s="1" t="s">
        <v>5490</v>
      </c>
      <c r="B2004" s="1" t="s">
        <v>5217</v>
      </c>
      <c r="C2004" s="1">
        <v>26</v>
      </c>
      <c r="D2004" s="4">
        <v>40001.555555555555</v>
      </c>
      <c r="E2004" s="1" t="s">
        <v>54</v>
      </c>
      <c r="F2004" s="1"/>
      <c r="G2004" s="1"/>
      <c r="H2004" s="1"/>
      <c r="I2004" s="1"/>
      <c r="J2004" s="1"/>
      <c r="K2004" s="1"/>
      <c r="L2004" s="1"/>
      <c r="M2004" s="1"/>
      <c r="N2004" s="1"/>
      <c r="O2004" s="1"/>
      <c r="P2004" s="1"/>
      <c r="Q2004" s="1"/>
      <c r="R2004" s="1"/>
      <c r="S2004" s="1"/>
    </row>
    <row r="2005" spans="1:19" ht="33.75" customHeight="1">
      <c r="A2005" s="1" t="s">
        <v>5492</v>
      </c>
      <c r="B2005" s="1" t="s">
        <v>5217</v>
      </c>
      <c r="C2005" s="1">
        <v>26</v>
      </c>
      <c r="D2005" s="4">
        <v>40001.56527777778</v>
      </c>
      <c r="E2005" s="1" t="s">
        <v>54</v>
      </c>
      <c r="F2005" s="1"/>
      <c r="G2005" s="1"/>
      <c r="H2005" s="1"/>
      <c r="I2005" s="1"/>
      <c r="J2005" s="1"/>
      <c r="K2005" s="1"/>
      <c r="L2005" s="1"/>
      <c r="M2005" s="1"/>
      <c r="N2005" s="1"/>
      <c r="O2005" s="1"/>
      <c r="P2005" s="1"/>
      <c r="Q2005" s="1"/>
      <c r="R2005" s="1"/>
      <c r="S2005" s="1"/>
    </row>
    <row r="2006" spans="1:19" ht="33.75" customHeight="1">
      <c r="A2006" s="1" t="s">
        <v>5494</v>
      </c>
      <c r="B2006" s="1" t="s">
        <v>5217</v>
      </c>
      <c r="C2006" s="1">
        <v>26</v>
      </c>
      <c r="D2006" s="4">
        <v>40001.569444444445</v>
      </c>
      <c r="E2006" s="1" t="s">
        <v>54</v>
      </c>
      <c r="F2006" s="1"/>
      <c r="G2006" s="1"/>
      <c r="H2006" s="1"/>
      <c r="I2006" s="1"/>
      <c r="J2006" s="1"/>
      <c r="K2006" s="1"/>
      <c r="L2006" s="1"/>
      <c r="M2006" s="1"/>
      <c r="N2006" s="1"/>
      <c r="O2006" s="1"/>
      <c r="P2006" s="1"/>
      <c r="Q2006" s="1"/>
      <c r="R2006" s="1"/>
      <c r="S2006" s="1"/>
    </row>
    <row r="2007" spans="1:19" ht="33.75" customHeight="1">
      <c r="A2007" s="1" t="s">
        <v>5496</v>
      </c>
      <c r="B2007" s="1" t="s">
        <v>5217</v>
      </c>
      <c r="C2007" s="1">
        <v>26</v>
      </c>
      <c r="D2007" s="4">
        <v>40002.250694444447</v>
      </c>
      <c r="E2007" s="1" t="s">
        <v>1089</v>
      </c>
      <c r="F2007" s="1"/>
      <c r="G2007" s="1"/>
      <c r="H2007" s="1"/>
      <c r="I2007" s="1"/>
      <c r="J2007" s="1"/>
      <c r="K2007" s="1"/>
      <c r="L2007" s="1"/>
      <c r="M2007" s="1"/>
      <c r="N2007" s="1"/>
      <c r="O2007" s="1"/>
      <c r="P2007" s="1"/>
      <c r="Q2007" s="1"/>
      <c r="R2007" s="1"/>
      <c r="S2007" s="1"/>
    </row>
    <row r="2008" spans="1:19" ht="33.75" customHeight="1">
      <c r="A2008" s="1" t="s">
        <v>5498</v>
      </c>
      <c r="B2008" s="1" t="s">
        <v>5217</v>
      </c>
      <c r="C2008" s="1">
        <v>26</v>
      </c>
      <c r="D2008" s="4">
        <v>40002.442361111112</v>
      </c>
      <c r="E2008" s="1" t="s">
        <v>772</v>
      </c>
      <c r="F2008" s="1"/>
      <c r="G2008" s="1"/>
      <c r="H2008" s="1"/>
      <c r="I2008" s="1"/>
      <c r="J2008" s="1"/>
      <c r="K2008" s="1"/>
      <c r="L2008" s="1"/>
      <c r="M2008" s="1"/>
      <c r="N2008" s="1"/>
      <c r="O2008" s="1"/>
      <c r="P2008" s="1"/>
      <c r="Q2008" s="1"/>
      <c r="R2008" s="1"/>
      <c r="S2008" s="1"/>
    </row>
    <row r="2009" spans="1:19" ht="33.75" customHeight="1">
      <c r="A2009" s="1" t="s">
        <v>5500</v>
      </c>
      <c r="B2009" s="1" t="s">
        <v>5217</v>
      </c>
      <c r="C2009" s="1">
        <v>26</v>
      </c>
      <c r="D2009" s="4">
        <v>40002.448611111111</v>
      </c>
      <c r="E2009" s="1" t="s">
        <v>772</v>
      </c>
      <c r="F2009" s="1"/>
      <c r="G2009" s="1"/>
      <c r="H2009" s="1"/>
      <c r="I2009" s="1"/>
      <c r="J2009" s="1"/>
      <c r="K2009" s="1"/>
      <c r="L2009" s="1"/>
      <c r="M2009" s="1"/>
      <c r="N2009" s="1"/>
      <c r="O2009" s="1"/>
      <c r="P2009" s="1"/>
      <c r="Q2009" s="1"/>
      <c r="R2009" s="1"/>
      <c r="S2009" s="1"/>
    </row>
    <row r="2010" spans="1:19" ht="33.75" customHeight="1">
      <c r="A2010" s="1" t="s">
        <v>5502</v>
      </c>
      <c r="B2010" s="1" t="s">
        <v>5217</v>
      </c>
      <c r="C2010" s="1">
        <v>26</v>
      </c>
      <c r="D2010" s="4">
        <v>40002.470833333333</v>
      </c>
      <c r="E2010" s="1" t="s">
        <v>54</v>
      </c>
      <c r="F2010" s="1"/>
      <c r="G2010" s="1"/>
      <c r="H2010" s="1"/>
      <c r="I2010" s="1"/>
      <c r="J2010" s="1"/>
      <c r="K2010" s="1"/>
      <c r="L2010" s="1"/>
      <c r="M2010" s="1"/>
      <c r="N2010" s="1"/>
      <c r="O2010" s="1"/>
      <c r="P2010" s="1"/>
      <c r="Q2010" s="1"/>
      <c r="R2010" s="1"/>
      <c r="S2010" s="1"/>
    </row>
    <row r="2011" spans="1:19" ht="33.75" customHeight="1">
      <c r="A2011" s="1" t="s">
        <v>5504</v>
      </c>
      <c r="B2011" s="1" t="s">
        <v>5217</v>
      </c>
      <c r="C2011" s="1">
        <v>26</v>
      </c>
      <c r="D2011" s="4">
        <v>40002.477083333331</v>
      </c>
      <c r="E2011" s="1" t="s">
        <v>772</v>
      </c>
      <c r="F2011" s="1"/>
      <c r="G2011" s="1"/>
      <c r="H2011" s="1"/>
      <c r="I2011" s="1"/>
      <c r="J2011" s="1"/>
      <c r="K2011" s="1"/>
      <c r="L2011" s="1"/>
      <c r="M2011" s="1"/>
      <c r="N2011" s="1"/>
      <c r="O2011" s="1"/>
      <c r="P2011" s="1"/>
      <c r="Q2011" s="1"/>
      <c r="R2011" s="1"/>
      <c r="S2011" s="1"/>
    </row>
    <row r="2012" spans="1:19" ht="33.75" customHeight="1">
      <c r="A2012" s="1" t="s">
        <v>5507</v>
      </c>
      <c r="B2012" s="1" t="s">
        <v>5217</v>
      </c>
      <c r="C2012" s="1">
        <v>26</v>
      </c>
      <c r="D2012" s="4">
        <v>40002.496527777781</v>
      </c>
      <c r="E2012" s="1" t="s">
        <v>772</v>
      </c>
      <c r="F2012" s="1"/>
      <c r="G2012" s="1"/>
      <c r="H2012" s="1"/>
      <c r="I2012" s="1"/>
      <c r="J2012" s="1"/>
      <c r="K2012" s="1"/>
      <c r="L2012" s="1"/>
      <c r="M2012" s="1"/>
      <c r="N2012" s="1"/>
      <c r="O2012" s="1"/>
      <c r="P2012" s="1"/>
      <c r="Q2012" s="1"/>
      <c r="R2012" s="1"/>
      <c r="S2012" s="1"/>
    </row>
    <row r="2013" spans="1:19" ht="33.75" customHeight="1">
      <c r="A2013" s="1" t="s">
        <v>5510</v>
      </c>
      <c r="B2013" s="1" t="s">
        <v>5217</v>
      </c>
      <c r="C2013" s="1">
        <v>26</v>
      </c>
      <c r="D2013" s="4">
        <v>40003.165972222225</v>
      </c>
      <c r="E2013" s="1" t="s">
        <v>1089</v>
      </c>
      <c r="F2013" s="1"/>
      <c r="G2013" s="1"/>
      <c r="H2013" s="1"/>
      <c r="I2013" s="1"/>
      <c r="J2013" s="1"/>
      <c r="K2013" s="1"/>
      <c r="L2013" s="1"/>
      <c r="M2013" s="1"/>
      <c r="N2013" s="1"/>
      <c r="O2013" s="1"/>
      <c r="P2013" s="1"/>
      <c r="Q2013" s="1"/>
      <c r="R2013" s="1"/>
      <c r="S2013" s="1"/>
    </row>
    <row r="2014" spans="1:19" ht="33.75" customHeight="1">
      <c r="A2014" s="1" t="s">
        <v>5513</v>
      </c>
      <c r="B2014" s="1" t="s">
        <v>5514</v>
      </c>
      <c r="C2014" s="1">
        <v>28</v>
      </c>
      <c r="D2014" s="4">
        <v>40003.385416666664</v>
      </c>
      <c r="E2014" s="1" t="s">
        <v>54</v>
      </c>
      <c r="F2014" s="1"/>
      <c r="G2014" s="1"/>
      <c r="H2014" s="1"/>
      <c r="I2014" s="1"/>
      <c r="J2014" s="1"/>
      <c r="K2014" s="1"/>
      <c r="L2014" s="1"/>
      <c r="M2014" s="1"/>
      <c r="N2014" s="1"/>
      <c r="O2014" s="1"/>
      <c r="P2014" s="1"/>
      <c r="Q2014" s="1"/>
      <c r="R2014" s="1"/>
      <c r="S2014" s="1"/>
    </row>
    <row r="2015" spans="1:19" ht="33.75" customHeight="1">
      <c r="A2015" s="1" t="s">
        <v>5517</v>
      </c>
      <c r="B2015" s="1" t="s">
        <v>5514</v>
      </c>
      <c r="C2015" s="1">
        <v>28</v>
      </c>
      <c r="D2015" s="4">
        <v>40003.515972222223</v>
      </c>
      <c r="E2015" s="1" t="s">
        <v>772</v>
      </c>
      <c r="F2015" s="1"/>
      <c r="G2015" s="1"/>
      <c r="H2015" s="1"/>
      <c r="I2015" s="1"/>
      <c r="J2015" s="1"/>
      <c r="K2015" s="1"/>
      <c r="L2015" s="1"/>
      <c r="M2015" s="1"/>
      <c r="N2015" s="1"/>
      <c r="O2015" s="1"/>
      <c r="P2015" s="1"/>
      <c r="Q2015" s="1"/>
      <c r="R2015" s="1"/>
      <c r="S2015" s="1"/>
    </row>
    <row r="2016" spans="1:19" ht="33.75" customHeight="1">
      <c r="A2016" s="1" t="s">
        <v>5519</v>
      </c>
      <c r="B2016" s="1" t="s">
        <v>5514</v>
      </c>
      <c r="C2016" s="1">
        <v>28</v>
      </c>
      <c r="D2016" s="4">
        <v>40003.602083333331</v>
      </c>
      <c r="E2016" s="1" t="s">
        <v>54</v>
      </c>
      <c r="F2016" s="1"/>
      <c r="G2016" s="1"/>
      <c r="H2016" s="1"/>
      <c r="I2016" s="1"/>
      <c r="J2016" s="1"/>
      <c r="K2016" s="1"/>
      <c r="L2016" s="1"/>
      <c r="M2016" s="1"/>
      <c r="N2016" s="1"/>
      <c r="O2016" s="1"/>
      <c r="P2016" s="1"/>
      <c r="Q2016" s="1"/>
      <c r="R2016" s="1"/>
      <c r="S2016" s="1"/>
    </row>
    <row r="2017" spans="1:19" ht="33.75" customHeight="1">
      <c r="A2017" s="1" t="s">
        <v>12</v>
      </c>
      <c r="B2017" s="1" t="s">
        <v>5514</v>
      </c>
      <c r="C2017" s="1">
        <v>28</v>
      </c>
      <c r="D2017" s="4">
        <v>40003.686296296299</v>
      </c>
      <c r="E2017" s="1" t="s">
        <v>175</v>
      </c>
      <c r="F2017" s="1"/>
      <c r="G2017" s="1"/>
      <c r="H2017" s="1"/>
      <c r="I2017" s="1"/>
      <c r="J2017" s="1"/>
      <c r="K2017" s="1"/>
      <c r="L2017" s="1"/>
      <c r="M2017" s="1"/>
      <c r="N2017" s="1"/>
      <c r="O2017" s="1"/>
      <c r="P2017" s="1"/>
      <c r="Q2017" s="1"/>
      <c r="R2017" s="1"/>
      <c r="S2017" s="1"/>
    </row>
    <row r="2018" spans="1:19" ht="33.75" customHeight="1">
      <c r="A2018" s="1" t="s">
        <v>5524</v>
      </c>
      <c r="B2018" s="1" t="s">
        <v>5217</v>
      </c>
      <c r="C2018" s="1">
        <v>26</v>
      </c>
      <c r="D2018" s="4">
        <v>40003.843055555553</v>
      </c>
      <c r="E2018" s="1" t="s">
        <v>1089</v>
      </c>
      <c r="F2018" s="1"/>
      <c r="G2018" s="1"/>
      <c r="H2018" s="1"/>
      <c r="I2018" s="1"/>
      <c r="J2018" s="1"/>
      <c r="K2018" s="1"/>
      <c r="L2018" s="1"/>
      <c r="M2018" s="1"/>
      <c r="N2018" s="1"/>
      <c r="O2018" s="1"/>
      <c r="P2018" s="1"/>
      <c r="Q2018" s="1"/>
      <c r="R2018" s="1"/>
      <c r="S2018" s="1"/>
    </row>
    <row r="2019" spans="1:19" ht="33.75" customHeight="1">
      <c r="A2019" s="1" t="s">
        <v>5527</v>
      </c>
      <c r="B2019" s="1" t="s">
        <v>5514</v>
      </c>
      <c r="C2019" s="1">
        <v>28</v>
      </c>
      <c r="D2019" s="4">
        <v>40003.84652777778</v>
      </c>
      <c r="E2019" s="1" t="s">
        <v>1089</v>
      </c>
      <c r="F2019" s="1"/>
      <c r="G2019" s="1"/>
      <c r="H2019" s="1"/>
      <c r="I2019" s="1"/>
      <c r="J2019" s="1"/>
      <c r="K2019" s="1"/>
      <c r="L2019" s="1"/>
      <c r="M2019" s="1"/>
      <c r="N2019" s="1"/>
      <c r="O2019" s="1"/>
      <c r="P2019" s="1"/>
      <c r="Q2019" s="1"/>
      <c r="R2019" s="1"/>
      <c r="S2019" s="1"/>
    </row>
    <row r="2020" spans="1:19" ht="33.75" customHeight="1">
      <c r="A2020" s="1" t="s">
        <v>5530</v>
      </c>
      <c r="B2020" s="1" t="s">
        <v>5514</v>
      </c>
      <c r="C2020" s="1">
        <v>28</v>
      </c>
      <c r="D2020" s="4">
        <v>40003.954861111109</v>
      </c>
      <c r="E2020" s="1" t="s">
        <v>54</v>
      </c>
      <c r="F2020" s="1"/>
      <c r="G2020" s="1"/>
      <c r="H2020" s="1"/>
      <c r="I2020" s="1"/>
      <c r="J2020" s="1"/>
      <c r="K2020" s="1"/>
      <c r="L2020" s="1"/>
      <c r="M2020" s="1"/>
      <c r="N2020" s="1"/>
      <c r="O2020" s="1"/>
      <c r="P2020" s="1"/>
      <c r="Q2020" s="1"/>
      <c r="R2020" s="1"/>
      <c r="S2020" s="1"/>
    </row>
    <row r="2021" spans="1:19" ht="33.75" customHeight="1">
      <c r="A2021" s="1" t="s">
        <v>5532</v>
      </c>
      <c r="B2021" s="1" t="s">
        <v>5514</v>
      </c>
      <c r="C2021" s="1">
        <v>28</v>
      </c>
      <c r="D2021" s="4">
        <v>40004.465277777781</v>
      </c>
      <c r="E2021" s="1" t="s">
        <v>772</v>
      </c>
      <c r="F2021" s="1"/>
      <c r="G2021" s="1"/>
      <c r="H2021" s="1"/>
      <c r="I2021" s="1"/>
      <c r="J2021" s="1"/>
      <c r="K2021" s="1"/>
      <c r="L2021" s="1"/>
      <c r="M2021" s="1"/>
      <c r="N2021" s="1"/>
      <c r="O2021" s="1"/>
      <c r="P2021" s="1"/>
      <c r="Q2021" s="1"/>
      <c r="R2021" s="1"/>
      <c r="S2021" s="1"/>
    </row>
    <row r="2022" spans="1:19" ht="33.75" customHeight="1">
      <c r="A2022" s="1" t="s">
        <v>5535</v>
      </c>
      <c r="B2022" s="1" t="s">
        <v>5514</v>
      </c>
      <c r="C2022" s="1">
        <v>28</v>
      </c>
      <c r="D2022" s="4">
        <v>40004.804166666669</v>
      </c>
      <c r="E2022" s="1" t="s">
        <v>772</v>
      </c>
      <c r="F2022" s="1"/>
      <c r="G2022" s="1"/>
      <c r="H2022" s="1"/>
      <c r="I2022" s="1"/>
      <c r="J2022" s="1"/>
      <c r="K2022" s="1"/>
      <c r="L2022" s="1"/>
      <c r="M2022" s="1"/>
      <c r="N2022" s="1"/>
      <c r="O2022" s="1"/>
      <c r="P2022" s="1"/>
      <c r="Q2022" s="1"/>
      <c r="R2022" s="1"/>
      <c r="S2022" s="1"/>
    </row>
    <row r="2023" spans="1:19" ht="33.75" customHeight="1">
      <c r="A2023" s="1" t="s">
        <v>5538</v>
      </c>
      <c r="B2023" s="1" t="s">
        <v>5514</v>
      </c>
      <c r="C2023" s="1">
        <v>28</v>
      </c>
      <c r="D2023" s="4">
        <v>40004.872916666667</v>
      </c>
      <c r="E2023" s="1" t="s">
        <v>54</v>
      </c>
      <c r="F2023" s="1"/>
      <c r="G2023" s="1"/>
      <c r="H2023" s="1"/>
      <c r="I2023" s="1"/>
      <c r="J2023" s="1"/>
      <c r="K2023" s="1"/>
      <c r="L2023" s="1"/>
      <c r="M2023" s="1"/>
      <c r="N2023" s="1"/>
      <c r="O2023" s="1"/>
      <c r="P2023" s="1"/>
      <c r="Q2023" s="1"/>
      <c r="R2023" s="1"/>
      <c r="S2023" s="1"/>
    </row>
    <row r="2024" spans="1:19" ht="33.75" customHeight="1">
      <c r="A2024" s="1" t="s">
        <v>5540</v>
      </c>
      <c r="B2024" s="1" t="s">
        <v>5514</v>
      </c>
      <c r="C2024" s="1">
        <v>28</v>
      </c>
      <c r="D2024" s="4">
        <v>40005.379861111112</v>
      </c>
      <c r="E2024" s="1" t="s">
        <v>772</v>
      </c>
      <c r="F2024" s="1"/>
      <c r="G2024" s="1"/>
      <c r="H2024" s="1"/>
      <c r="I2024" s="1"/>
      <c r="J2024" s="1"/>
      <c r="K2024" s="1"/>
      <c r="L2024" s="1"/>
      <c r="M2024" s="1"/>
      <c r="N2024" s="1"/>
      <c r="O2024" s="1"/>
      <c r="P2024" s="1"/>
      <c r="Q2024" s="1"/>
      <c r="R2024" s="1"/>
      <c r="S2024" s="1"/>
    </row>
    <row r="2025" spans="1:19" ht="33.75" customHeight="1">
      <c r="A2025" s="1" t="s">
        <v>5542</v>
      </c>
      <c r="B2025" s="1" t="s">
        <v>5514</v>
      </c>
      <c r="C2025" s="1">
        <v>28</v>
      </c>
      <c r="D2025" s="4">
        <v>40014.205555555556</v>
      </c>
      <c r="E2025" s="1" t="s">
        <v>1089</v>
      </c>
      <c r="F2025" s="1"/>
      <c r="G2025" s="1"/>
      <c r="H2025" s="1"/>
      <c r="I2025" s="1"/>
      <c r="J2025" s="1"/>
      <c r="K2025" s="1"/>
      <c r="L2025" s="1"/>
      <c r="M2025" s="1"/>
      <c r="N2025" s="1"/>
      <c r="O2025" s="1"/>
      <c r="P2025" s="1"/>
      <c r="Q2025" s="1"/>
      <c r="R2025" s="1"/>
      <c r="S2025" s="1"/>
    </row>
    <row r="2026" spans="1:19" ht="33.75" customHeight="1">
      <c r="A2026" s="1" t="s">
        <v>5544</v>
      </c>
      <c r="B2026" s="1" t="s">
        <v>5514</v>
      </c>
      <c r="C2026" s="1">
        <v>28</v>
      </c>
      <c r="D2026" s="4">
        <v>40014.223611111112</v>
      </c>
      <c r="E2026" s="1" t="s">
        <v>54</v>
      </c>
      <c r="F2026" s="1"/>
      <c r="G2026" s="1"/>
      <c r="H2026" s="1"/>
      <c r="I2026" s="1"/>
      <c r="J2026" s="1"/>
      <c r="K2026" s="1"/>
      <c r="L2026" s="1"/>
      <c r="M2026" s="1"/>
      <c r="N2026" s="1"/>
      <c r="O2026" s="1"/>
      <c r="P2026" s="1"/>
      <c r="Q2026" s="1"/>
      <c r="R2026" s="1"/>
      <c r="S2026" s="1"/>
    </row>
    <row r="2027" spans="1:19" ht="33.75" customHeight="1">
      <c r="A2027" s="1" t="s">
        <v>5546</v>
      </c>
      <c r="B2027" s="1" t="s">
        <v>5514</v>
      </c>
      <c r="C2027" s="1">
        <v>28</v>
      </c>
      <c r="D2027" s="4">
        <v>40019.637499999997</v>
      </c>
      <c r="E2027" s="1" t="s">
        <v>54</v>
      </c>
      <c r="F2027" s="1"/>
      <c r="G2027" s="1"/>
      <c r="H2027" s="1"/>
      <c r="I2027" s="1"/>
      <c r="J2027" s="1"/>
      <c r="K2027" s="1"/>
      <c r="L2027" s="1"/>
      <c r="M2027" s="1"/>
      <c r="N2027" s="1"/>
      <c r="O2027" s="1"/>
      <c r="P2027" s="1"/>
      <c r="Q2027" s="1"/>
      <c r="R2027" s="1"/>
      <c r="S2027" s="1"/>
    </row>
    <row r="2028" spans="1:19" ht="33.75" customHeight="1">
      <c r="A2028" s="1" t="s">
        <v>5549</v>
      </c>
      <c r="B2028" s="1" t="s">
        <v>5514</v>
      </c>
      <c r="C2028" s="1">
        <v>28</v>
      </c>
      <c r="D2028" s="4">
        <v>40020.529861111114</v>
      </c>
      <c r="E2028" s="1" t="s">
        <v>772</v>
      </c>
      <c r="F2028" s="1"/>
      <c r="G2028" s="1"/>
      <c r="H2028" s="1"/>
      <c r="I2028" s="1"/>
      <c r="J2028" s="1"/>
      <c r="K2028" s="1"/>
      <c r="L2028" s="1"/>
      <c r="M2028" s="1"/>
      <c r="N2028" s="1"/>
      <c r="O2028" s="1"/>
      <c r="P2028" s="1"/>
      <c r="Q2028" s="1"/>
      <c r="R2028" s="1"/>
      <c r="S2028" s="1"/>
    </row>
    <row r="2029" spans="1:19" ht="33.75" customHeight="1">
      <c r="A2029" s="1" t="s">
        <v>5551</v>
      </c>
      <c r="B2029" s="1" t="s">
        <v>5514</v>
      </c>
      <c r="C2029" s="1">
        <v>28</v>
      </c>
      <c r="D2029" s="4">
        <v>40021.450694444444</v>
      </c>
      <c r="E2029" s="1" t="s">
        <v>772</v>
      </c>
      <c r="F2029" s="1"/>
      <c r="G2029" s="1"/>
      <c r="H2029" s="1"/>
      <c r="I2029" s="1"/>
      <c r="J2029" s="1"/>
      <c r="K2029" s="1"/>
      <c r="L2029" s="1"/>
      <c r="M2029" s="1"/>
      <c r="N2029" s="1"/>
      <c r="O2029" s="1"/>
      <c r="P2029" s="1"/>
      <c r="Q2029" s="1"/>
      <c r="R2029" s="1"/>
      <c r="S2029" s="1"/>
    </row>
    <row r="2030" spans="1:19" ht="33.75" customHeight="1">
      <c r="A2030" s="1" t="s">
        <v>5554</v>
      </c>
      <c r="B2030" s="1" t="s">
        <v>5514</v>
      </c>
      <c r="C2030" s="1">
        <v>28</v>
      </c>
      <c r="D2030" s="4">
        <v>40021.587500000001</v>
      </c>
      <c r="E2030" s="1" t="s">
        <v>772</v>
      </c>
      <c r="F2030" s="1"/>
      <c r="G2030" s="1"/>
      <c r="H2030" s="1"/>
      <c r="I2030" s="1"/>
      <c r="J2030" s="1"/>
      <c r="K2030" s="1"/>
      <c r="L2030" s="1"/>
      <c r="M2030" s="1"/>
      <c r="N2030" s="1"/>
      <c r="O2030" s="1"/>
      <c r="P2030" s="1"/>
      <c r="Q2030" s="1"/>
      <c r="R2030" s="1"/>
      <c r="S2030" s="1"/>
    </row>
    <row r="2031" spans="1:19" ht="33.75" customHeight="1">
      <c r="A2031" s="1" t="s">
        <v>5558</v>
      </c>
      <c r="B2031" s="1" t="s">
        <v>5514</v>
      </c>
      <c r="C2031" s="1">
        <v>28</v>
      </c>
      <c r="D2031" s="4">
        <v>40021.789583333331</v>
      </c>
      <c r="E2031" s="1" t="s">
        <v>1089</v>
      </c>
      <c r="F2031" s="1"/>
      <c r="G2031" s="1"/>
      <c r="H2031" s="1"/>
      <c r="I2031" s="1"/>
      <c r="J2031" s="1"/>
      <c r="K2031" s="1"/>
      <c r="L2031" s="1"/>
      <c r="M2031" s="1"/>
      <c r="N2031" s="1"/>
      <c r="O2031" s="1"/>
      <c r="P2031" s="1"/>
      <c r="Q2031" s="1"/>
      <c r="R2031" s="1"/>
      <c r="S2031" s="1"/>
    </row>
    <row r="2032" spans="1:19" ht="33.75" customHeight="1">
      <c r="A2032" s="1" t="s">
        <v>5561</v>
      </c>
      <c r="B2032" s="1" t="s">
        <v>5514</v>
      </c>
      <c r="C2032" s="1">
        <v>28</v>
      </c>
      <c r="D2032" s="4">
        <v>40021.845833333333</v>
      </c>
      <c r="E2032" s="1" t="s">
        <v>54</v>
      </c>
      <c r="F2032" s="1"/>
      <c r="G2032" s="1"/>
      <c r="H2032" s="1"/>
      <c r="I2032" s="1"/>
      <c r="J2032" s="1"/>
      <c r="K2032" s="1"/>
      <c r="L2032" s="1"/>
      <c r="M2032" s="1"/>
      <c r="N2032" s="1"/>
      <c r="O2032" s="1"/>
      <c r="P2032" s="1"/>
      <c r="Q2032" s="1"/>
      <c r="R2032" s="1"/>
      <c r="S2032" s="1"/>
    </row>
    <row r="2033" spans="1:19" ht="33.75" customHeight="1">
      <c r="A2033" s="1" t="s">
        <v>5565</v>
      </c>
      <c r="B2033" s="1" t="s">
        <v>5412</v>
      </c>
      <c r="C2033" s="1">
        <v>27</v>
      </c>
      <c r="D2033" s="4">
        <v>40042.280555555553</v>
      </c>
      <c r="E2033" s="1" t="s">
        <v>760</v>
      </c>
      <c r="F2033" s="1"/>
      <c r="G2033" s="1"/>
      <c r="H2033" s="1"/>
      <c r="I2033" s="1"/>
      <c r="J2033" s="1"/>
      <c r="K2033" s="1"/>
      <c r="L2033" s="1"/>
      <c r="M2033" s="1"/>
      <c r="N2033" s="1"/>
      <c r="O2033" s="1"/>
      <c r="P2033" s="1"/>
      <c r="Q2033" s="1"/>
      <c r="R2033" s="1"/>
      <c r="S2033" s="1"/>
    </row>
    <row r="2034" spans="1:19" ht="33.75" customHeight="1">
      <c r="A2034" s="1" t="s">
        <v>5568</v>
      </c>
      <c r="B2034" s="1" t="s">
        <v>5412</v>
      </c>
      <c r="C2034" s="1">
        <v>27</v>
      </c>
      <c r="D2034" s="4">
        <v>40105.620138888888</v>
      </c>
      <c r="E2034" s="1" t="s">
        <v>320</v>
      </c>
      <c r="F2034" s="1"/>
      <c r="G2034" s="1"/>
      <c r="H2034" s="1"/>
      <c r="I2034" s="1"/>
      <c r="J2034" s="1"/>
      <c r="K2034" s="1"/>
      <c r="L2034" s="1"/>
      <c r="M2034" s="1"/>
      <c r="N2034" s="1"/>
      <c r="O2034" s="1"/>
      <c r="P2034" s="1"/>
      <c r="Q2034" s="1"/>
      <c r="R2034" s="1"/>
      <c r="S2034" s="1"/>
    </row>
    <row r="2035" spans="1:19" ht="33.75" customHeight="1">
      <c r="A2035" s="1" t="s">
        <v>12</v>
      </c>
      <c r="B2035" s="1" t="s">
        <v>5570</v>
      </c>
      <c r="C2035" s="1">
        <v>29</v>
      </c>
      <c r="D2035" s="4">
        <v>40106.569826388892</v>
      </c>
      <c r="E2035" s="1" t="s">
        <v>14</v>
      </c>
      <c r="F2035" s="1"/>
      <c r="G2035" s="1"/>
      <c r="H2035" s="1"/>
      <c r="I2035" s="1"/>
      <c r="J2035" s="1"/>
      <c r="K2035" s="1"/>
      <c r="L2035" s="1"/>
      <c r="M2035" s="1"/>
      <c r="N2035" s="1"/>
      <c r="O2035" s="1"/>
      <c r="P2035" s="1"/>
      <c r="Q2035" s="1"/>
      <c r="R2035" s="1"/>
      <c r="S2035" s="1"/>
    </row>
    <row r="2036" spans="1:19" ht="33.75" customHeight="1">
      <c r="A2036" s="1" t="s">
        <v>5572</v>
      </c>
      <c r="B2036" s="1" t="s">
        <v>5412</v>
      </c>
      <c r="C2036" s="1">
        <v>27</v>
      </c>
      <c r="D2036" s="4">
        <v>40107.409722222219</v>
      </c>
      <c r="E2036" s="1" t="s">
        <v>381</v>
      </c>
      <c r="F2036" s="1"/>
      <c r="G2036" s="1"/>
      <c r="H2036" s="1"/>
      <c r="I2036" s="1"/>
      <c r="J2036" s="1"/>
      <c r="K2036" s="1"/>
      <c r="L2036" s="1"/>
      <c r="M2036" s="1"/>
      <c r="N2036" s="1"/>
      <c r="O2036" s="1"/>
      <c r="P2036" s="1"/>
      <c r="Q2036" s="1"/>
      <c r="R2036" s="1"/>
      <c r="S2036" s="1"/>
    </row>
    <row r="2037" spans="1:19" ht="33.75" customHeight="1">
      <c r="A2037" s="1" t="s">
        <v>5574</v>
      </c>
      <c r="B2037" s="1" t="s">
        <v>5412</v>
      </c>
      <c r="C2037" s="1">
        <v>27</v>
      </c>
      <c r="D2037" s="4">
        <v>40107.701388888891</v>
      </c>
      <c r="E2037" s="1" t="s">
        <v>320</v>
      </c>
      <c r="F2037" s="1"/>
      <c r="G2037" s="1"/>
      <c r="H2037" s="1"/>
      <c r="I2037" s="1"/>
      <c r="J2037" s="1"/>
      <c r="K2037" s="1"/>
      <c r="L2037" s="1"/>
      <c r="M2037" s="1"/>
      <c r="N2037" s="1"/>
      <c r="O2037" s="1"/>
      <c r="P2037" s="1"/>
      <c r="Q2037" s="1"/>
      <c r="R2037" s="1"/>
      <c r="S2037" s="1"/>
    </row>
    <row r="2038" spans="1:19" ht="33.75" customHeight="1">
      <c r="A2038" s="1" t="s">
        <v>5576</v>
      </c>
      <c r="B2038" s="1" t="s">
        <v>4151</v>
      </c>
      <c r="C2038" s="1">
        <v>22</v>
      </c>
      <c r="D2038" s="4">
        <v>40107.832638888889</v>
      </c>
      <c r="E2038" s="1" t="s">
        <v>5577</v>
      </c>
      <c r="F2038" s="1"/>
      <c r="G2038" s="1"/>
      <c r="H2038" s="1"/>
      <c r="I2038" s="1"/>
      <c r="J2038" s="1"/>
      <c r="K2038" s="1"/>
      <c r="L2038" s="1"/>
      <c r="M2038" s="1"/>
      <c r="N2038" s="1"/>
      <c r="O2038" s="1"/>
      <c r="P2038" s="1"/>
      <c r="Q2038" s="1"/>
      <c r="R2038" s="1"/>
      <c r="S2038" s="1"/>
    </row>
    <row r="2039" spans="1:19" ht="33.75" customHeight="1">
      <c r="A2039" s="1" t="s">
        <v>5579</v>
      </c>
      <c r="B2039" s="1" t="s">
        <v>5580</v>
      </c>
      <c r="C2039" s="1">
        <v>30</v>
      </c>
      <c r="D2039" s="4">
        <v>40108.63958333333</v>
      </c>
      <c r="E2039" s="1" t="s">
        <v>1768</v>
      </c>
      <c r="F2039" s="1"/>
      <c r="G2039" s="1"/>
      <c r="H2039" s="1"/>
      <c r="I2039" s="1"/>
      <c r="J2039" s="1"/>
      <c r="K2039" s="1"/>
      <c r="L2039" s="1"/>
      <c r="M2039" s="1"/>
      <c r="N2039" s="1"/>
      <c r="O2039" s="1"/>
      <c r="P2039" s="1"/>
      <c r="Q2039" s="1"/>
      <c r="R2039" s="1"/>
      <c r="S2039" s="1"/>
    </row>
    <row r="2040" spans="1:19" ht="33.75" customHeight="1">
      <c r="A2040" s="1" t="s">
        <v>5583</v>
      </c>
      <c r="B2040" s="1" t="s">
        <v>5580</v>
      </c>
      <c r="C2040" s="1">
        <v>30</v>
      </c>
      <c r="D2040" s="4">
        <v>40108.645833333336</v>
      </c>
      <c r="E2040" s="1" t="s">
        <v>1768</v>
      </c>
      <c r="F2040" s="1"/>
      <c r="G2040" s="1"/>
      <c r="H2040" s="1"/>
      <c r="I2040" s="1"/>
      <c r="J2040" s="1"/>
      <c r="K2040" s="1"/>
      <c r="L2040" s="1"/>
      <c r="M2040" s="1"/>
      <c r="N2040" s="1"/>
      <c r="O2040" s="1"/>
      <c r="P2040" s="1"/>
      <c r="Q2040" s="1"/>
      <c r="R2040" s="1"/>
      <c r="S2040" s="1"/>
    </row>
    <row r="2041" spans="1:19" ht="33.75" customHeight="1">
      <c r="A2041" s="1" t="s">
        <v>5585</v>
      </c>
      <c r="B2041" s="1" t="s">
        <v>5580</v>
      </c>
      <c r="C2041" s="1">
        <v>30</v>
      </c>
      <c r="D2041" s="4">
        <v>40108.686805555553</v>
      </c>
      <c r="E2041" s="1" t="s">
        <v>1887</v>
      </c>
      <c r="F2041" s="1"/>
      <c r="G2041" s="1"/>
      <c r="H2041" s="1"/>
      <c r="I2041" s="1"/>
      <c r="J2041" s="1"/>
      <c r="K2041" s="1"/>
      <c r="L2041" s="1"/>
      <c r="M2041" s="1"/>
      <c r="N2041" s="1"/>
      <c r="O2041" s="1"/>
      <c r="P2041" s="1"/>
      <c r="Q2041" s="1"/>
      <c r="R2041" s="1"/>
      <c r="S2041" s="1"/>
    </row>
    <row r="2042" spans="1:19" ht="33.75" customHeight="1">
      <c r="A2042" s="1" t="s">
        <v>5587</v>
      </c>
      <c r="B2042" s="1" t="s">
        <v>5580</v>
      </c>
      <c r="C2042" s="1">
        <v>30</v>
      </c>
      <c r="D2042" s="4">
        <v>40108.746527777781</v>
      </c>
      <c r="E2042" s="1" t="s">
        <v>54</v>
      </c>
      <c r="F2042" s="1"/>
      <c r="G2042" s="1"/>
      <c r="H2042" s="1"/>
      <c r="I2042" s="1"/>
      <c r="J2042" s="1"/>
      <c r="K2042" s="1"/>
      <c r="L2042" s="1"/>
      <c r="M2042" s="1"/>
      <c r="N2042" s="1"/>
      <c r="O2042" s="1"/>
      <c r="P2042" s="1"/>
      <c r="Q2042" s="1"/>
      <c r="R2042" s="1"/>
      <c r="S2042" s="1"/>
    </row>
    <row r="2043" spans="1:19" ht="33.75" customHeight="1">
      <c r="A2043" s="1" t="s">
        <v>5589</v>
      </c>
      <c r="B2043" s="1" t="s">
        <v>5580</v>
      </c>
      <c r="C2043" s="1">
        <v>30</v>
      </c>
      <c r="D2043" s="4">
        <v>40108.747916666667</v>
      </c>
      <c r="E2043" s="1" t="s">
        <v>320</v>
      </c>
      <c r="F2043" s="1"/>
      <c r="G2043" s="1"/>
      <c r="H2043" s="1"/>
      <c r="I2043" s="1"/>
      <c r="J2043" s="1"/>
      <c r="K2043" s="1"/>
      <c r="L2043" s="1"/>
      <c r="M2043" s="1"/>
      <c r="N2043" s="1"/>
      <c r="O2043" s="1"/>
      <c r="P2043" s="1"/>
      <c r="Q2043" s="1"/>
      <c r="R2043" s="1"/>
      <c r="S2043" s="1"/>
    </row>
    <row r="2044" spans="1:19" ht="33.75" customHeight="1">
      <c r="A2044" s="1" t="s">
        <v>5591</v>
      </c>
      <c r="B2044" s="1" t="s">
        <v>5580</v>
      </c>
      <c r="C2044" s="1">
        <v>30</v>
      </c>
      <c r="D2044" s="4">
        <v>40108.750694444447</v>
      </c>
      <c r="E2044" s="1" t="s">
        <v>320</v>
      </c>
      <c r="F2044" s="1"/>
      <c r="G2044" s="1"/>
      <c r="H2044" s="1"/>
      <c r="I2044" s="1"/>
      <c r="J2044" s="1"/>
      <c r="K2044" s="1"/>
      <c r="L2044" s="1"/>
      <c r="M2044" s="1"/>
      <c r="N2044" s="1"/>
      <c r="O2044" s="1"/>
      <c r="P2044" s="1"/>
      <c r="Q2044" s="1"/>
      <c r="R2044" s="1"/>
      <c r="S2044" s="1"/>
    </row>
    <row r="2045" spans="1:19" ht="33.75" customHeight="1">
      <c r="A2045" s="1" t="s">
        <v>12</v>
      </c>
      <c r="B2045" s="1" t="s">
        <v>5580</v>
      </c>
      <c r="C2045" s="1">
        <v>30</v>
      </c>
      <c r="D2045" s="4">
        <v>40108.936168981483</v>
      </c>
      <c r="E2045" s="1" t="s">
        <v>175</v>
      </c>
      <c r="F2045" s="1"/>
      <c r="G2045" s="1"/>
      <c r="H2045" s="1"/>
      <c r="I2045" s="1"/>
      <c r="J2045" s="1"/>
      <c r="K2045" s="1"/>
      <c r="L2045" s="1"/>
      <c r="M2045" s="1"/>
      <c r="N2045" s="1"/>
      <c r="O2045" s="1"/>
      <c r="P2045" s="1"/>
      <c r="Q2045" s="1"/>
      <c r="R2045" s="1"/>
      <c r="S2045" s="1"/>
    </row>
    <row r="2046" spans="1:19" ht="33.75" customHeight="1">
      <c r="A2046" s="1" t="s">
        <v>5594</v>
      </c>
      <c r="B2046" s="1" t="s">
        <v>5580</v>
      </c>
      <c r="C2046" s="1">
        <v>30</v>
      </c>
      <c r="D2046" s="4">
        <v>40109.531944444447</v>
      </c>
      <c r="E2046" s="1" t="s">
        <v>5595</v>
      </c>
      <c r="F2046" s="1"/>
      <c r="G2046" s="1"/>
      <c r="H2046" s="1"/>
      <c r="I2046" s="1"/>
      <c r="J2046" s="1"/>
      <c r="K2046" s="1"/>
      <c r="L2046" s="1"/>
      <c r="M2046" s="1"/>
      <c r="N2046" s="1"/>
      <c r="O2046" s="1"/>
      <c r="P2046" s="1"/>
      <c r="Q2046" s="1"/>
      <c r="R2046" s="1"/>
      <c r="S2046" s="1"/>
    </row>
    <row r="2047" spans="1:19" ht="33.75" customHeight="1">
      <c r="A2047" s="1" t="s">
        <v>5599</v>
      </c>
      <c r="B2047" s="1" t="s">
        <v>5514</v>
      </c>
      <c r="C2047" s="1">
        <v>28</v>
      </c>
      <c r="D2047" s="4">
        <v>40122.979861111111</v>
      </c>
      <c r="E2047" s="1" t="s">
        <v>760</v>
      </c>
      <c r="F2047" s="1"/>
      <c r="G2047" s="1"/>
      <c r="H2047" s="1"/>
      <c r="I2047" s="1"/>
      <c r="J2047" s="1"/>
      <c r="K2047" s="1"/>
      <c r="L2047" s="1"/>
      <c r="M2047" s="1"/>
      <c r="N2047" s="1"/>
      <c r="O2047" s="1"/>
      <c r="P2047" s="1"/>
      <c r="Q2047" s="1"/>
      <c r="R2047" s="1"/>
      <c r="S2047" s="1"/>
    </row>
    <row r="2048" spans="1:19" ht="33.75" customHeight="1">
      <c r="A2048" s="1" t="s">
        <v>5601</v>
      </c>
      <c r="B2048" s="1" t="s">
        <v>5514</v>
      </c>
      <c r="C2048" s="1">
        <v>28</v>
      </c>
      <c r="D2048" s="4">
        <v>40123.702777777777</v>
      </c>
      <c r="E2048" s="1" t="s">
        <v>54</v>
      </c>
      <c r="F2048" s="1"/>
      <c r="G2048" s="1"/>
      <c r="H2048" s="1"/>
      <c r="I2048" s="1"/>
      <c r="J2048" s="1"/>
      <c r="K2048" s="1"/>
      <c r="L2048" s="1"/>
      <c r="M2048" s="1"/>
      <c r="N2048" s="1"/>
      <c r="O2048" s="1"/>
      <c r="P2048" s="1"/>
      <c r="Q2048" s="1"/>
      <c r="R2048" s="1"/>
      <c r="S2048" s="1"/>
    </row>
    <row r="2049" spans="1:19" ht="33.75" customHeight="1">
      <c r="A2049" s="1" t="s">
        <v>5603</v>
      </c>
      <c r="B2049" s="1" t="s">
        <v>5514</v>
      </c>
      <c r="C2049" s="1">
        <v>28</v>
      </c>
      <c r="D2049" s="4">
        <v>40124.419444444444</v>
      </c>
      <c r="E2049" s="1" t="s">
        <v>772</v>
      </c>
      <c r="F2049" s="1"/>
      <c r="G2049" s="1"/>
      <c r="H2049" s="1"/>
      <c r="I2049" s="1"/>
      <c r="J2049" s="1"/>
      <c r="K2049" s="1"/>
      <c r="L2049" s="1"/>
      <c r="M2049" s="1"/>
      <c r="N2049" s="1"/>
      <c r="O2049" s="1"/>
      <c r="P2049" s="1"/>
      <c r="Q2049" s="1"/>
      <c r="R2049" s="1"/>
      <c r="S2049" s="1"/>
    </row>
    <row r="2050" spans="1:19" ht="33.75" customHeight="1">
      <c r="A2050" s="1" t="s">
        <v>5605</v>
      </c>
      <c r="B2050" s="1" t="s">
        <v>5514</v>
      </c>
      <c r="C2050" s="1">
        <v>28</v>
      </c>
      <c r="D2050" s="4">
        <v>40124.714583333334</v>
      </c>
      <c r="E2050" s="1" t="s">
        <v>760</v>
      </c>
      <c r="F2050" s="1"/>
      <c r="G2050" s="1"/>
      <c r="H2050" s="1"/>
      <c r="I2050" s="1"/>
      <c r="J2050" s="1"/>
      <c r="K2050" s="1"/>
      <c r="L2050" s="1"/>
      <c r="M2050" s="1"/>
      <c r="N2050" s="1"/>
      <c r="O2050" s="1"/>
      <c r="P2050" s="1"/>
      <c r="Q2050" s="1"/>
      <c r="R2050" s="1"/>
      <c r="S2050" s="1"/>
    </row>
    <row r="2051" spans="1:19" ht="33.75" customHeight="1">
      <c r="A2051" s="1" t="s">
        <v>5607</v>
      </c>
      <c r="B2051" s="1" t="s">
        <v>5514</v>
      </c>
      <c r="C2051" s="1">
        <v>28</v>
      </c>
      <c r="D2051" s="4">
        <v>40125.057638888888</v>
      </c>
      <c r="E2051" s="1" t="s">
        <v>1887</v>
      </c>
      <c r="F2051" s="1"/>
      <c r="G2051" s="1"/>
      <c r="H2051" s="1"/>
      <c r="I2051" s="1"/>
      <c r="J2051" s="1"/>
      <c r="K2051" s="1"/>
      <c r="L2051" s="1"/>
      <c r="M2051" s="1"/>
      <c r="N2051" s="1"/>
      <c r="O2051" s="1"/>
      <c r="P2051" s="1"/>
      <c r="Q2051" s="1"/>
      <c r="R2051" s="1"/>
      <c r="S2051" s="1"/>
    </row>
    <row r="2052" spans="1:19" ht="33.75" customHeight="1">
      <c r="A2052" s="1" t="s">
        <v>5609</v>
      </c>
      <c r="B2052" s="1" t="s">
        <v>5514</v>
      </c>
      <c r="C2052" s="1">
        <v>28</v>
      </c>
      <c r="D2052" s="4">
        <v>40152.821527777778</v>
      </c>
      <c r="E2052" s="1" t="s">
        <v>760</v>
      </c>
      <c r="F2052" s="1"/>
      <c r="G2052" s="1"/>
      <c r="H2052" s="1"/>
      <c r="I2052" s="1"/>
      <c r="J2052" s="1"/>
      <c r="K2052" s="1"/>
      <c r="L2052" s="1"/>
      <c r="M2052" s="1"/>
      <c r="N2052" s="1"/>
      <c r="O2052" s="1"/>
      <c r="P2052" s="1"/>
      <c r="Q2052" s="1"/>
      <c r="R2052" s="1"/>
      <c r="S2052" s="1"/>
    </row>
    <row r="2053" spans="1:19" ht="33.75" customHeight="1">
      <c r="A2053" s="1" t="s">
        <v>5611</v>
      </c>
      <c r="B2053" s="1" t="s">
        <v>4151</v>
      </c>
      <c r="C2053" s="1">
        <v>22</v>
      </c>
      <c r="D2053" s="4">
        <v>40175.927083333336</v>
      </c>
      <c r="E2053" s="1" t="s">
        <v>5612</v>
      </c>
      <c r="F2053" s="1"/>
      <c r="G2053" s="1"/>
      <c r="H2053" s="1"/>
      <c r="I2053" s="1"/>
      <c r="J2053" s="1"/>
      <c r="K2053" s="1"/>
      <c r="L2053" s="1"/>
      <c r="M2053" s="1"/>
      <c r="N2053" s="1"/>
      <c r="O2053" s="1"/>
      <c r="P2053" s="1"/>
      <c r="Q2053" s="1"/>
      <c r="R2053" s="1"/>
      <c r="S2053" s="1"/>
    </row>
    <row r="2054" spans="1:19" ht="33.75" customHeight="1">
      <c r="A2054" s="1" t="s">
        <v>5614</v>
      </c>
      <c r="B2054" s="1" t="s">
        <v>5615</v>
      </c>
      <c r="C2054" s="1">
        <v>31</v>
      </c>
      <c r="D2054" s="4">
        <v>40194.015972222223</v>
      </c>
      <c r="E2054" s="1" t="s">
        <v>59</v>
      </c>
      <c r="F2054" s="1"/>
      <c r="G2054" s="1"/>
      <c r="H2054" s="1"/>
      <c r="I2054" s="1"/>
      <c r="J2054" s="1"/>
      <c r="K2054" s="1"/>
      <c r="L2054" s="1"/>
      <c r="M2054" s="1"/>
      <c r="N2054" s="1"/>
      <c r="O2054" s="1"/>
      <c r="P2054" s="1"/>
      <c r="Q2054" s="1"/>
      <c r="R2054" s="1"/>
      <c r="S2054" s="1"/>
    </row>
    <row r="2055" spans="1:19" ht="33.75" customHeight="1">
      <c r="A2055" s="1" t="s">
        <v>5617</v>
      </c>
      <c r="B2055" s="1" t="s">
        <v>5615</v>
      </c>
      <c r="C2055" s="1">
        <v>31</v>
      </c>
      <c r="D2055" s="4">
        <v>40194.038194444445</v>
      </c>
      <c r="E2055" s="1" t="s">
        <v>5618</v>
      </c>
      <c r="F2055" s="1"/>
      <c r="G2055" s="1"/>
      <c r="H2055" s="1"/>
      <c r="I2055" s="1"/>
      <c r="J2055" s="1"/>
      <c r="K2055" s="1"/>
      <c r="L2055" s="1"/>
      <c r="M2055" s="1"/>
      <c r="N2055" s="1"/>
      <c r="O2055" s="1"/>
      <c r="P2055" s="1"/>
      <c r="Q2055" s="1"/>
      <c r="R2055" s="1"/>
      <c r="S2055" s="1"/>
    </row>
    <row r="2056" spans="1:19" ht="33.75" customHeight="1">
      <c r="A2056" s="1" t="s">
        <v>5620</v>
      </c>
      <c r="B2056" s="1" t="s">
        <v>5615</v>
      </c>
      <c r="C2056" s="1">
        <v>31</v>
      </c>
      <c r="D2056" s="4">
        <v>40194.147222222222</v>
      </c>
      <c r="E2056" s="1" t="s">
        <v>5621</v>
      </c>
      <c r="F2056" s="1"/>
      <c r="G2056" s="1"/>
      <c r="H2056" s="1"/>
      <c r="I2056" s="1"/>
      <c r="J2056" s="1"/>
      <c r="K2056" s="1"/>
      <c r="L2056" s="1"/>
      <c r="M2056" s="1"/>
      <c r="N2056" s="1"/>
      <c r="O2056" s="1"/>
      <c r="P2056" s="1"/>
      <c r="Q2056" s="1"/>
      <c r="R2056" s="1"/>
      <c r="S2056" s="1"/>
    </row>
    <row r="2057" spans="1:19" ht="33.75" customHeight="1">
      <c r="A2057" s="1" t="s">
        <v>12</v>
      </c>
      <c r="B2057" s="1" t="s">
        <v>5615</v>
      </c>
      <c r="C2057" s="1">
        <v>31</v>
      </c>
      <c r="D2057" s="4">
        <v>40194.307453703703</v>
      </c>
      <c r="E2057" s="1" t="s">
        <v>175</v>
      </c>
      <c r="F2057" s="1"/>
      <c r="G2057" s="1"/>
      <c r="H2057" s="1"/>
      <c r="I2057" s="1"/>
      <c r="J2057" s="1"/>
      <c r="K2057" s="1"/>
      <c r="L2057" s="1"/>
      <c r="M2057" s="1"/>
      <c r="N2057" s="1"/>
      <c r="O2057" s="1"/>
      <c r="P2057" s="1"/>
      <c r="Q2057" s="1"/>
      <c r="R2057" s="1"/>
      <c r="S2057" s="1"/>
    </row>
    <row r="2058" spans="1:19" ht="33.75" customHeight="1">
      <c r="A2058" s="1" t="s">
        <v>5624</v>
      </c>
      <c r="B2058" s="1" t="s">
        <v>5615</v>
      </c>
      <c r="C2058" s="1">
        <v>31</v>
      </c>
      <c r="D2058" s="4">
        <v>40194.38958333333</v>
      </c>
      <c r="E2058" s="1" t="s">
        <v>196</v>
      </c>
      <c r="F2058" s="1"/>
      <c r="G2058" s="1"/>
      <c r="H2058" s="1"/>
      <c r="I2058" s="1"/>
      <c r="J2058" s="1"/>
      <c r="K2058" s="1"/>
      <c r="L2058" s="1"/>
      <c r="M2058" s="1"/>
      <c r="N2058" s="1"/>
      <c r="O2058" s="1"/>
      <c r="P2058" s="1"/>
      <c r="Q2058" s="1"/>
      <c r="R2058" s="1"/>
      <c r="S2058" s="1"/>
    </row>
    <row r="2059" spans="1:19" ht="33.75" customHeight="1">
      <c r="A2059" s="1" t="s">
        <v>5626</v>
      </c>
      <c r="B2059" s="1" t="s">
        <v>5615</v>
      </c>
      <c r="C2059" s="1">
        <v>31</v>
      </c>
      <c r="D2059" s="4">
        <v>40194.51458333333</v>
      </c>
      <c r="E2059" s="1" t="s">
        <v>772</v>
      </c>
      <c r="F2059" s="1"/>
      <c r="G2059" s="1"/>
      <c r="H2059" s="1"/>
      <c r="I2059" s="1"/>
      <c r="J2059" s="1"/>
      <c r="K2059" s="1"/>
      <c r="L2059" s="1"/>
      <c r="M2059" s="1"/>
      <c r="N2059" s="1"/>
      <c r="O2059" s="1"/>
      <c r="P2059" s="1"/>
      <c r="Q2059" s="1"/>
      <c r="R2059" s="1"/>
      <c r="S2059" s="1"/>
    </row>
    <row r="2060" spans="1:19" ht="33.75" customHeight="1">
      <c r="A2060" s="1" t="s">
        <v>5628</v>
      </c>
      <c r="B2060" s="1" t="s">
        <v>5615</v>
      </c>
      <c r="C2060" s="1">
        <v>31</v>
      </c>
      <c r="D2060" s="4">
        <v>40195.592361111114</v>
      </c>
      <c r="E2060" s="1" t="s">
        <v>772</v>
      </c>
      <c r="F2060" s="1"/>
      <c r="G2060" s="1"/>
      <c r="H2060" s="1"/>
      <c r="I2060" s="1"/>
      <c r="J2060" s="1"/>
      <c r="K2060" s="1"/>
      <c r="L2060" s="1"/>
      <c r="M2060" s="1"/>
      <c r="N2060" s="1"/>
      <c r="O2060" s="1"/>
      <c r="P2060" s="1"/>
      <c r="Q2060" s="1"/>
      <c r="R2060" s="1"/>
      <c r="S2060" s="1"/>
    </row>
    <row r="2061" spans="1:19" ht="33.75" customHeight="1">
      <c r="A2061" s="1" t="s">
        <v>5630</v>
      </c>
      <c r="B2061" s="1" t="s">
        <v>5615</v>
      </c>
      <c r="C2061" s="1">
        <v>31</v>
      </c>
      <c r="D2061" s="4">
        <v>40196.040972222225</v>
      </c>
      <c r="E2061" s="1" t="s">
        <v>1887</v>
      </c>
      <c r="F2061" s="1"/>
      <c r="G2061" s="1"/>
      <c r="H2061" s="1"/>
      <c r="I2061" s="1"/>
      <c r="J2061" s="1"/>
      <c r="K2061" s="1"/>
      <c r="L2061" s="1"/>
      <c r="M2061" s="1"/>
      <c r="N2061" s="1"/>
      <c r="O2061" s="1"/>
      <c r="P2061" s="1"/>
      <c r="Q2061" s="1"/>
      <c r="R2061" s="1"/>
      <c r="S2061" s="1"/>
    </row>
    <row r="2062" spans="1:19" ht="33.75" customHeight="1">
      <c r="A2062" s="1" t="s">
        <v>5632</v>
      </c>
      <c r="B2062" s="1" t="s">
        <v>5615</v>
      </c>
      <c r="C2062" s="1">
        <v>31</v>
      </c>
      <c r="D2062" s="4">
        <v>40196.794444444444</v>
      </c>
      <c r="E2062" s="1" t="s">
        <v>772</v>
      </c>
      <c r="F2062" s="1"/>
      <c r="G2062" s="1"/>
      <c r="H2062" s="1"/>
      <c r="I2062" s="1"/>
      <c r="J2062" s="1"/>
      <c r="K2062" s="1"/>
      <c r="L2062" s="1"/>
      <c r="M2062" s="1"/>
      <c r="N2062" s="1"/>
      <c r="O2062" s="1"/>
      <c r="P2062" s="1"/>
      <c r="Q2062" s="1"/>
      <c r="R2062" s="1"/>
      <c r="S2062" s="1"/>
    </row>
    <row r="2063" spans="1:19" ht="33.75" customHeight="1">
      <c r="A2063" s="1" t="s">
        <v>5634</v>
      </c>
      <c r="B2063" s="1" t="s">
        <v>5615</v>
      </c>
      <c r="C2063" s="1">
        <v>31</v>
      </c>
      <c r="D2063" s="4">
        <v>40196.867361111108</v>
      </c>
      <c r="E2063" s="1" t="s">
        <v>5635</v>
      </c>
      <c r="F2063" s="1"/>
      <c r="G2063" s="1"/>
      <c r="H2063" s="1"/>
      <c r="I2063" s="1"/>
      <c r="J2063" s="1"/>
      <c r="K2063" s="1"/>
      <c r="L2063" s="1"/>
      <c r="M2063" s="1"/>
      <c r="N2063" s="1"/>
      <c r="O2063" s="1"/>
      <c r="P2063" s="1"/>
      <c r="Q2063" s="1"/>
      <c r="R2063" s="1"/>
      <c r="S2063" s="1"/>
    </row>
    <row r="2064" spans="1:19" ht="33.75" customHeight="1">
      <c r="A2064" s="1" t="s">
        <v>5637</v>
      </c>
      <c r="B2064" s="1" t="s">
        <v>5615</v>
      </c>
      <c r="C2064" s="1">
        <v>31</v>
      </c>
      <c r="D2064" s="4">
        <v>40196.875</v>
      </c>
      <c r="E2064" s="1" t="s">
        <v>5635</v>
      </c>
      <c r="F2064" s="1"/>
      <c r="G2064" s="1"/>
      <c r="H2064" s="1"/>
      <c r="I2064" s="1"/>
      <c r="J2064" s="1"/>
      <c r="K2064" s="1"/>
      <c r="L2064" s="1"/>
      <c r="M2064" s="1"/>
      <c r="N2064" s="1"/>
      <c r="O2064" s="1"/>
      <c r="P2064" s="1"/>
      <c r="Q2064" s="1"/>
      <c r="R2064" s="1"/>
      <c r="S2064" s="1"/>
    </row>
    <row r="2065" spans="1:19" ht="33.75" customHeight="1">
      <c r="A2065" s="1" t="s">
        <v>5639</v>
      </c>
      <c r="B2065" s="1" t="s">
        <v>5615</v>
      </c>
      <c r="C2065" s="1">
        <v>31</v>
      </c>
      <c r="D2065" s="4">
        <v>40196.876388888886</v>
      </c>
      <c r="E2065" s="1" t="s">
        <v>5635</v>
      </c>
      <c r="F2065" s="1"/>
      <c r="G2065" s="1"/>
      <c r="H2065" s="1"/>
      <c r="I2065" s="1"/>
      <c r="J2065" s="1"/>
      <c r="K2065" s="1"/>
      <c r="L2065" s="1"/>
      <c r="M2065" s="1"/>
      <c r="N2065" s="1"/>
      <c r="O2065" s="1"/>
      <c r="P2065" s="1"/>
      <c r="Q2065" s="1"/>
      <c r="R2065" s="1"/>
      <c r="S2065" s="1"/>
    </row>
    <row r="2066" spans="1:19" ht="33.75" customHeight="1">
      <c r="A2066" s="1" t="s">
        <v>5641</v>
      </c>
      <c r="B2066" s="1" t="s">
        <v>5615</v>
      </c>
      <c r="C2066" s="1">
        <v>31</v>
      </c>
      <c r="D2066" s="4">
        <v>40196.879166666666</v>
      </c>
      <c r="E2066" s="1" t="s">
        <v>5635</v>
      </c>
      <c r="F2066" s="1"/>
      <c r="G2066" s="1"/>
      <c r="H2066" s="1"/>
      <c r="I2066" s="1"/>
      <c r="J2066" s="1"/>
      <c r="K2066" s="1"/>
      <c r="L2066" s="1"/>
      <c r="M2066" s="1"/>
      <c r="N2066" s="1"/>
      <c r="O2066" s="1"/>
      <c r="P2066" s="1"/>
      <c r="Q2066" s="1"/>
      <c r="R2066" s="1"/>
      <c r="S2066" s="1"/>
    </row>
    <row r="2067" spans="1:19" ht="33.75" customHeight="1">
      <c r="A2067" s="1" t="s">
        <v>5643</v>
      </c>
      <c r="B2067" s="1" t="s">
        <v>5615</v>
      </c>
      <c r="C2067" s="1">
        <v>31</v>
      </c>
      <c r="D2067" s="4">
        <v>40196.881249999999</v>
      </c>
      <c r="E2067" s="1" t="s">
        <v>5635</v>
      </c>
      <c r="F2067" s="1"/>
      <c r="G2067" s="1"/>
      <c r="H2067" s="1"/>
      <c r="I2067" s="1"/>
      <c r="J2067" s="1"/>
      <c r="K2067" s="1"/>
      <c r="L2067" s="1"/>
      <c r="M2067" s="1"/>
      <c r="N2067" s="1"/>
      <c r="O2067" s="1"/>
      <c r="P2067" s="1"/>
      <c r="Q2067" s="1"/>
      <c r="R2067" s="1"/>
      <c r="S2067" s="1"/>
    </row>
    <row r="2068" spans="1:19" ht="33.75" customHeight="1">
      <c r="A2068" s="1" t="s">
        <v>5645</v>
      </c>
      <c r="B2068" s="1" t="s">
        <v>5615</v>
      </c>
      <c r="C2068" s="1">
        <v>31</v>
      </c>
      <c r="D2068" s="4">
        <v>40196.883333333331</v>
      </c>
      <c r="E2068" s="1" t="s">
        <v>5635</v>
      </c>
      <c r="F2068" s="1"/>
      <c r="G2068" s="1"/>
      <c r="H2068" s="1"/>
      <c r="I2068" s="1"/>
      <c r="J2068" s="1"/>
      <c r="K2068" s="1"/>
      <c r="L2068" s="1"/>
      <c r="M2068" s="1"/>
      <c r="N2068" s="1"/>
      <c r="O2068" s="1"/>
      <c r="P2068" s="1"/>
      <c r="Q2068" s="1"/>
      <c r="R2068" s="1"/>
      <c r="S2068" s="1"/>
    </row>
    <row r="2069" spans="1:19" ht="33.75" customHeight="1">
      <c r="A2069" s="1" t="s">
        <v>5648</v>
      </c>
      <c r="B2069" s="1" t="s">
        <v>5615</v>
      </c>
      <c r="C2069" s="1">
        <v>31</v>
      </c>
      <c r="D2069" s="4">
        <v>40196.914583333331</v>
      </c>
      <c r="E2069" s="1" t="s">
        <v>5635</v>
      </c>
      <c r="F2069" s="1"/>
      <c r="G2069" s="1"/>
      <c r="H2069" s="1"/>
      <c r="I2069" s="1"/>
      <c r="J2069" s="1"/>
      <c r="K2069" s="1"/>
      <c r="L2069" s="1"/>
      <c r="M2069" s="1"/>
      <c r="N2069" s="1"/>
      <c r="O2069" s="1"/>
      <c r="P2069" s="1"/>
      <c r="Q2069" s="1"/>
      <c r="R2069" s="1"/>
      <c r="S2069" s="1"/>
    </row>
    <row r="2070" spans="1:19" ht="33.75" customHeight="1">
      <c r="A2070" s="1" t="s">
        <v>5650</v>
      </c>
      <c r="B2070" s="1" t="s">
        <v>5615</v>
      </c>
      <c r="C2070" s="1">
        <v>31</v>
      </c>
      <c r="D2070" s="4">
        <v>40196.915972222225</v>
      </c>
      <c r="E2070" s="1" t="s">
        <v>5635</v>
      </c>
      <c r="F2070" s="1"/>
      <c r="G2070" s="1"/>
      <c r="H2070" s="1"/>
      <c r="I2070" s="1"/>
      <c r="J2070" s="1"/>
      <c r="K2070" s="1"/>
      <c r="L2070" s="1"/>
      <c r="M2070" s="1"/>
      <c r="N2070" s="1"/>
      <c r="O2070" s="1"/>
      <c r="P2070" s="1"/>
      <c r="Q2070" s="1"/>
      <c r="R2070" s="1"/>
      <c r="S2070" s="1"/>
    </row>
    <row r="2071" spans="1:19" ht="33.75" customHeight="1">
      <c r="A2071" s="1" t="s">
        <v>5652</v>
      </c>
      <c r="B2071" s="1" t="s">
        <v>5615</v>
      </c>
      <c r="C2071" s="1">
        <v>31</v>
      </c>
      <c r="D2071" s="4">
        <v>40197.48541666667</v>
      </c>
      <c r="E2071" s="1" t="s">
        <v>772</v>
      </c>
      <c r="F2071" s="1"/>
      <c r="G2071" s="1"/>
      <c r="H2071" s="1"/>
      <c r="I2071" s="1"/>
      <c r="J2071" s="1"/>
      <c r="K2071" s="1"/>
      <c r="L2071" s="1"/>
      <c r="M2071" s="1"/>
      <c r="N2071" s="1"/>
      <c r="O2071" s="1"/>
      <c r="P2071" s="1"/>
      <c r="Q2071" s="1"/>
      <c r="R2071" s="1"/>
      <c r="S2071" s="1"/>
    </row>
    <row r="2072" spans="1:19" ht="33.75" customHeight="1">
      <c r="A2072" s="1" t="s">
        <v>5654</v>
      </c>
      <c r="B2072" s="1" t="s">
        <v>5615</v>
      </c>
      <c r="C2072" s="1">
        <v>31</v>
      </c>
      <c r="D2072" s="4">
        <v>40197.78125</v>
      </c>
      <c r="E2072" s="1" t="s">
        <v>54</v>
      </c>
      <c r="F2072" s="1"/>
      <c r="G2072" s="1"/>
      <c r="H2072" s="1"/>
      <c r="I2072" s="1"/>
      <c r="J2072" s="1"/>
      <c r="K2072" s="1"/>
      <c r="L2072" s="1"/>
      <c r="M2072" s="1"/>
      <c r="N2072" s="1"/>
      <c r="O2072" s="1"/>
      <c r="P2072" s="1"/>
      <c r="Q2072" s="1"/>
      <c r="R2072" s="1"/>
      <c r="S2072" s="1"/>
    </row>
    <row r="2073" spans="1:19" ht="33.75" customHeight="1">
      <c r="A2073" s="1" t="s">
        <v>5656</v>
      </c>
      <c r="B2073" s="1" t="s">
        <v>5615</v>
      </c>
      <c r="C2073" s="1">
        <v>31</v>
      </c>
      <c r="D2073" s="4">
        <v>40198.447222222225</v>
      </c>
      <c r="E2073" s="1" t="s">
        <v>772</v>
      </c>
      <c r="F2073" s="1"/>
      <c r="G2073" s="1"/>
      <c r="H2073" s="1"/>
      <c r="I2073" s="1"/>
      <c r="J2073" s="1"/>
      <c r="K2073" s="1"/>
      <c r="L2073" s="1"/>
      <c r="M2073" s="1"/>
      <c r="N2073" s="1"/>
      <c r="O2073" s="1"/>
      <c r="P2073" s="1"/>
      <c r="Q2073" s="1"/>
      <c r="R2073" s="1"/>
      <c r="S2073" s="1"/>
    </row>
    <row r="2074" spans="1:19" ht="33.75" customHeight="1">
      <c r="A2074" s="1" t="s">
        <v>5658</v>
      </c>
      <c r="B2074" s="1" t="s">
        <v>5615</v>
      </c>
      <c r="C2074" s="1">
        <v>31</v>
      </c>
      <c r="D2074" s="4">
        <v>40199.038888888892</v>
      </c>
      <c r="E2074" s="1" t="s">
        <v>5635</v>
      </c>
      <c r="F2074" s="1"/>
      <c r="G2074" s="1"/>
      <c r="H2074" s="1"/>
      <c r="I2074" s="1"/>
      <c r="J2074" s="1"/>
      <c r="K2074" s="1"/>
      <c r="L2074" s="1"/>
      <c r="M2074" s="1"/>
      <c r="N2074" s="1"/>
      <c r="O2074" s="1"/>
      <c r="P2074" s="1"/>
      <c r="Q2074" s="1"/>
      <c r="R2074" s="1"/>
      <c r="S2074" s="1"/>
    </row>
    <row r="2075" spans="1:19" ht="33.75" customHeight="1">
      <c r="A2075" s="1" t="s">
        <v>5660</v>
      </c>
      <c r="B2075" s="1" t="s">
        <v>5615</v>
      </c>
      <c r="C2075" s="1">
        <v>31</v>
      </c>
      <c r="D2075" s="4">
        <v>40201</v>
      </c>
      <c r="E2075" s="1" t="s">
        <v>54</v>
      </c>
      <c r="F2075" s="1"/>
      <c r="G2075" s="1"/>
      <c r="H2075" s="1"/>
      <c r="I2075" s="1"/>
      <c r="J2075" s="1"/>
      <c r="K2075" s="1"/>
      <c r="L2075" s="1"/>
      <c r="M2075" s="1"/>
      <c r="N2075" s="1"/>
      <c r="O2075" s="1"/>
      <c r="P2075" s="1"/>
      <c r="Q2075" s="1"/>
      <c r="R2075" s="1"/>
      <c r="S2075" s="1"/>
    </row>
    <row r="2076" spans="1:19" ht="33.75" customHeight="1">
      <c r="A2076" s="1" t="s">
        <v>5662</v>
      </c>
      <c r="B2076" s="1" t="s">
        <v>5615</v>
      </c>
      <c r="C2076" s="1">
        <v>31</v>
      </c>
      <c r="D2076" s="4">
        <v>40201.356944444444</v>
      </c>
      <c r="E2076" s="1" t="s">
        <v>54</v>
      </c>
      <c r="F2076" s="1"/>
      <c r="G2076" s="1"/>
      <c r="H2076" s="1"/>
      <c r="I2076" s="1"/>
      <c r="J2076" s="1"/>
      <c r="K2076" s="1"/>
      <c r="L2076" s="1"/>
      <c r="M2076" s="1"/>
      <c r="N2076" s="1"/>
      <c r="O2076" s="1"/>
      <c r="P2076" s="1"/>
      <c r="Q2076" s="1"/>
      <c r="R2076" s="1"/>
      <c r="S2076" s="1"/>
    </row>
    <row r="2077" spans="1:19" ht="33.75" customHeight="1">
      <c r="A2077" s="1" t="s">
        <v>5664</v>
      </c>
      <c r="B2077" s="1" t="s">
        <v>5615</v>
      </c>
      <c r="C2077" s="1">
        <v>31</v>
      </c>
      <c r="D2077" s="4">
        <v>40201.379861111112</v>
      </c>
      <c r="E2077" s="1" t="s">
        <v>5665</v>
      </c>
      <c r="F2077" s="1"/>
      <c r="G2077" s="1"/>
      <c r="H2077" s="1"/>
      <c r="I2077" s="1"/>
      <c r="J2077" s="1"/>
      <c r="K2077" s="1"/>
      <c r="L2077" s="1"/>
      <c r="M2077" s="1"/>
      <c r="N2077" s="1"/>
      <c r="O2077" s="1"/>
      <c r="P2077" s="1"/>
      <c r="Q2077" s="1"/>
      <c r="R2077" s="1"/>
      <c r="S2077" s="1"/>
    </row>
    <row r="2078" spans="1:19" ht="33.75" customHeight="1">
      <c r="A2078" s="1" t="s">
        <v>5667</v>
      </c>
      <c r="B2078" s="1" t="s">
        <v>5615</v>
      </c>
      <c r="C2078" s="1">
        <v>31</v>
      </c>
      <c r="D2078" s="4">
        <v>40203.824999999997</v>
      </c>
      <c r="E2078" s="1" t="s">
        <v>54</v>
      </c>
      <c r="F2078" s="1"/>
      <c r="G2078" s="1"/>
      <c r="H2078" s="1"/>
      <c r="I2078" s="1"/>
      <c r="J2078" s="1"/>
      <c r="K2078" s="1"/>
      <c r="L2078" s="1"/>
      <c r="M2078" s="1"/>
      <c r="N2078" s="1"/>
      <c r="O2078" s="1"/>
      <c r="P2078" s="1"/>
      <c r="Q2078" s="1"/>
      <c r="R2078" s="1"/>
      <c r="S2078" s="1"/>
    </row>
    <row r="2079" spans="1:19" ht="33.75" customHeight="1">
      <c r="A2079" s="1" t="s">
        <v>5669</v>
      </c>
      <c r="B2079" s="1" t="s">
        <v>5615</v>
      </c>
      <c r="C2079" s="1">
        <v>31</v>
      </c>
      <c r="D2079" s="4">
        <v>40206.426388888889</v>
      </c>
      <c r="E2079" s="1" t="s">
        <v>5665</v>
      </c>
      <c r="F2079" s="1"/>
      <c r="G2079" s="1"/>
      <c r="H2079" s="1"/>
      <c r="I2079" s="1"/>
      <c r="J2079" s="1"/>
      <c r="K2079" s="1"/>
      <c r="L2079" s="1"/>
      <c r="M2079" s="1"/>
      <c r="N2079" s="1"/>
      <c r="O2079" s="1"/>
      <c r="P2079" s="1"/>
      <c r="Q2079" s="1"/>
      <c r="R2079" s="1"/>
      <c r="S2079" s="1"/>
    </row>
    <row r="2080" spans="1:19" ht="33.75" customHeight="1">
      <c r="A2080" s="1" t="s">
        <v>5671</v>
      </c>
      <c r="B2080" s="1" t="s">
        <v>5615</v>
      </c>
      <c r="C2080" s="1">
        <v>31</v>
      </c>
      <c r="D2080" s="4">
        <v>40206.615972222222</v>
      </c>
      <c r="E2080" s="1" t="s">
        <v>5672</v>
      </c>
      <c r="F2080" s="1"/>
      <c r="G2080" s="1"/>
      <c r="H2080" s="1"/>
      <c r="I2080" s="1"/>
      <c r="J2080" s="1"/>
      <c r="K2080" s="1"/>
      <c r="L2080" s="1"/>
      <c r="M2080" s="1"/>
      <c r="N2080" s="1"/>
      <c r="O2080" s="1"/>
      <c r="P2080" s="1"/>
      <c r="Q2080" s="1"/>
      <c r="R2080" s="1"/>
      <c r="S2080" s="1"/>
    </row>
    <row r="2081" spans="1:19" ht="33.75" customHeight="1">
      <c r="A2081" s="1" t="s">
        <v>5674</v>
      </c>
      <c r="B2081" s="1" t="s">
        <v>5615</v>
      </c>
      <c r="C2081" s="1">
        <v>31</v>
      </c>
      <c r="D2081" s="4">
        <v>40206.770833333336</v>
      </c>
      <c r="E2081" s="1" t="s">
        <v>54</v>
      </c>
      <c r="F2081" s="1"/>
      <c r="G2081" s="1"/>
      <c r="H2081" s="1"/>
      <c r="I2081" s="1"/>
      <c r="J2081" s="1"/>
      <c r="K2081" s="1"/>
      <c r="L2081" s="1"/>
      <c r="M2081" s="1"/>
      <c r="N2081" s="1"/>
      <c r="O2081" s="1"/>
      <c r="P2081" s="1"/>
      <c r="Q2081" s="1"/>
      <c r="R2081" s="1"/>
      <c r="S2081" s="1"/>
    </row>
    <row r="2082" spans="1:19" ht="33.75" customHeight="1">
      <c r="A2082" s="1" t="s">
        <v>5676</v>
      </c>
      <c r="B2082" s="1" t="s">
        <v>5615</v>
      </c>
      <c r="C2082" s="1">
        <v>31</v>
      </c>
      <c r="D2082" s="4">
        <v>40206.77847222222</v>
      </c>
      <c r="E2082" s="1" t="s">
        <v>3610</v>
      </c>
      <c r="F2082" s="1"/>
      <c r="G2082" s="1"/>
      <c r="H2082" s="1"/>
      <c r="I2082" s="1"/>
      <c r="J2082" s="1"/>
      <c r="K2082" s="1"/>
      <c r="L2082" s="1"/>
      <c r="M2082" s="1"/>
      <c r="N2082" s="1"/>
      <c r="O2082" s="1"/>
      <c r="P2082" s="1"/>
      <c r="Q2082" s="1"/>
      <c r="R2082" s="1"/>
      <c r="S2082" s="1"/>
    </row>
    <row r="2083" spans="1:19" ht="33.75" customHeight="1">
      <c r="A2083" s="1" t="s">
        <v>5678</v>
      </c>
      <c r="B2083" s="1" t="s">
        <v>5615</v>
      </c>
      <c r="C2083" s="1">
        <v>31</v>
      </c>
      <c r="D2083" s="4">
        <v>40206.794444444444</v>
      </c>
      <c r="E2083" s="1" t="s">
        <v>5672</v>
      </c>
      <c r="F2083" s="1"/>
      <c r="G2083" s="1"/>
      <c r="H2083" s="1"/>
      <c r="I2083" s="1"/>
      <c r="J2083" s="1"/>
      <c r="K2083" s="1"/>
      <c r="L2083" s="1"/>
      <c r="M2083" s="1"/>
      <c r="N2083" s="1"/>
      <c r="O2083" s="1"/>
      <c r="P2083" s="1"/>
      <c r="Q2083" s="1"/>
      <c r="R2083" s="1"/>
      <c r="S2083" s="1"/>
    </row>
    <row r="2084" spans="1:19" ht="33.75" customHeight="1">
      <c r="A2084" s="1" t="s">
        <v>5680</v>
      </c>
      <c r="B2084" s="1" t="s">
        <v>5615</v>
      </c>
      <c r="C2084" s="1">
        <v>31</v>
      </c>
      <c r="D2084" s="4">
        <v>40209.395833333336</v>
      </c>
      <c r="E2084" s="1" t="s">
        <v>54</v>
      </c>
      <c r="F2084" s="1"/>
      <c r="G2084" s="1"/>
      <c r="H2084" s="1"/>
      <c r="I2084" s="1"/>
      <c r="J2084" s="1"/>
      <c r="K2084" s="1"/>
      <c r="L2084" s="1"/>
      <c r="M2084" s="1"/>
      <c r="N2084" s="1"/>
      <c r="O2084" s="1"/>
      <c r="P2084" s="1"/>
      <c r="Q2084" s="1"/>
      <c r="R2084" s="1"/>
      <c r="S2084" s="1"/>
    </row>
    <row r="2085" spans="1:19" ht="33.75" customHeight="1">
      <c r="A2085" s="1" t="s">
        <v>5682</v>
      </c>
      <c r="B2085" s="1" t="s">
        <v>5615</v>
      </c>
      <c r="C2085" s="1">
        <v>31</v>
      </c>
      <c r="D2085" s="4">
        <v>40209.443055555559</v>
      </c>
      <c r="E2085" s="1" t="s">
        <v>84</v>
      </c>
      <c r="F2085" s="1"/>
      <c r="G2085" s="1"/>
      <c r="H2085" s="1"/>
      <c r="I2085" s="1"/>
      <c r="J2085" s="1"/>
      <c r="K2085" s="1"/>
      <c r="L2085" s="1"/>
      <c r="M2085" s="1"/>
      <c r="N2085" s="1"/>
      <c r="O2085" s="1"/>
      <c r="P2085" s="1"/>
      <c r="Q2085" s="1"/>
      <c r="R2085" s="1"/>
      <c r="S2085" s="1"/>
    </row>
    <row r="2086" spans="1:19" ht="33.75" customHeight="1">
      <c r="A2086" s="1" t="s">
        <v>5684</v>
      </c>
      <c r="B2086" s="1" t="s">
        <v>5615</v>
      </c>
      <c r="C2086" s="1">
        <v>31</v>
      </c>
      <c r="D2086" s="4">
        <v>40209.506249999999</v>
      </c>
      <c r="E2086" s="1" t="s">
        <v>1887</v>
      </c>
      <c r="F2086" s="1"/>
      <c r="G2086" s="1"/>
      <c r="H2086" s="1"/>
      <c r="I2086" s="1"/>
      <c r="J2086" s="1"/>
      <c r="K2086" s="1"/>
      <c r="L2086" s="1"/>
      <c r="M2086" s="1"/>
      <c r="N2086" s="1"/>
      <c r="O2086" s="1"/>
      <c r="P2086" s="1"/>
      <c r="Q2086" s="1"/>
      <c r="R2086" s="1"/>
      <c r="S2086" s="1"/>
    </row>
    <row r="2087" spans="1:19" ht="33.75" customHeight="1">
      <c r="A2087" s="1" t="s">
        <v>5686</v>
      </c>
      <c r="B2087" s="1" t="s">
        <v>5615</v>
      </c>
      <c r="C2087" s="1">
        <v>31</v>
      </c>
      <c r="D2087" s="4">
        <v>40210.273611111108</v>
      </c>
      <c r="E2087" s="1" t="s">
        <v>5687</v>
      </c>
      <c r="F2087" s="1"/>
      <c r="G2087" s="1"/>
      <c r="H2087" s="1"/>
      <c r="I2087" s="1"/>
      <c r="J2087" s="1"/>
      <c r="K2087" s="1"/>
      <c r="L2087" s="1"/>
      <c r="M2087" s="1"/>
      <c r="N2087" s="1"/>
      <c r="O2087" s="1"/>
      <c r="P2087" s="1"/>
      <c r="Q2087" s="1"/>
      <c r="R2087" s="1"/>
      <c r="S2087" s="1"/>
    </row>
    <row r="2088" spans="1:19" ht="33.75" customHeight="1">
      <c r="A2088" s="1" t="s">
        <v>5689</v>
      </c>
      <c r="B2088" s="1" t="s">
        <v>5615</v>
      </c>
      <c r="C2088" s="1">
        <v>31</v>
      </c>
      <c r="D2088" s="4">
        <v>40210.286805555559</v>
      </c>
      <c r="E2088" s="1" t="s">
        <v>1887</v>
      </c>
      <c r="F2088" s="1"/>
      <c r="G2088" s="1"/>
      <c r="H2088" s="1"/>
      <c r="I2088" s="1"/>
      <c r="J2088" s="1"/>
      <c r="K2088" s="1"/>
      <c r="L2088" s="1"/>
      <c r="M2088" s="1"/>
      <c r="N2088" s="1"/>
      <c r="O2088" s="1"/>
      <c r="P2088" s="1"/>
      <c r="Q2088" s="1"/>
      <c r="R2088" s="1"/>
      <c r="S2088" s="1"/>
    </row>
    <row r="2089" spans="1:19" ht="33.75" customHeight="1">
      <c r="A2089" s="1" t="s">
        <v>5691</v>
      </c>
      <c r="B2089" s="1" t="s">
        <v>5615</v>
      </c>
      <c r="C2089" s="1">
        <v>31</v>
      </c>
      <c r="D2089" s="4">
        <v>40212.297222222223</v>
      </c>
      <c r="E2089" s="1" t="s">
        <v>5687</v>
      </c>
      <c r="F2089" s="1"/>
      <c r="G2089" s="1"/>
      <c r="H2089" s="1"/>
      <c r="I2089" s="1"/>
      <c r="J2089" s="1"/>
      <c r="K2089" s="1"/>
      <c r="L2089" s="1"/>
      <c r="M2089" s="1"/>
      <c r="N2089" s="1"/>
      <c r="O2089" s="1"/>
      <c r="P2089" s="1"/>
      <c r="Q2089" s="1"/>
      <c r="R2089" s="1"/>
      <c r="S2089" s="1"/>
    </row>
    <row r="2090" spans="1:19" ht="33.75" customHeight="1">
      <c r="A2090" s="1" t="s">
        <v>5693</v>
      </c>
      <c r="B2090" s="3" t="s">
        <v>13</v>
      </c>
      <c r="C2090" s="3">
        <v>1</v>
      </c>
      <c r="D2090" s="4">
        <v>40216.932638888888</v>
      </c>
      <c r="E2090" s="1" t="s">
        <v>5694</v>
      </c>
      <c r="F2090" s="1"/>
      <c r="G2090" s="1"/>
      <c r="H2090" s="1"/>
      <c r="I2090" s="1"/>
      <c r="J2090" s="1"/>
      <c r="K2090" s="1"/>
      <c r="L2090" s="1"/>
      <c r="M2090" s="1"/>
      <c r="N2090" s="1"/>
      <c r="O2090" s="1"/>
      <c r="P2090" s="1"/>
      <c r="Q2090" s="1"/>
      <c r="R2090" s="1"/>
      <c r="S2090" s="1"/>
    </row>
    <row r="2091" spans="1:19" ht="33.75" customHeight="1">
      <c r="A2091" s="1" t="s">
        <v>12</v>
      </c>
      <c r="B2091" s="1" t="s">
        <v>5697</v>
      </c>
      <c r="C2091" s="1">
        <v>32</v>
      </c>
      <c r="D2091" s="4">
        <v>40226.009918981479</v>
      </c>
      <c r="E2091" s="1" t="s">
        <v>14</v>
      </c>
      <c r="F2091" s="1"/>
      <c r="G2091" s="1"/>
      <c r="H2091" s="1"/>
      <c r="I2091" s="1"/>
      <c r="J2091" s="1"/>
      <c r="K2091" s="1"/>
      <c r="L2091" s="1"/>
      <c r="M2091" s="1"/>
      <c r="N2091" s="1"/>
      <c r="O2091" s="1"/>
      <c r="P2091" s="1"/>
      <c r="Q2091" s="1"/>
      <c r="R2091" s="1"/>
      <c r="S2091" s="1"/>
    </row>
    <row r="2092" spans="1:19" ht="33.75" customHeight="1">
      <c r="A2092" s="1" t="s">
        <v>5699</v>
      </c>
      <c r="B2092" s="1" t="s">
        <v>5697</v>
      </c>
      <c r="C2092" s="1">
        <v>32</v>
      </c>
      <c r="D2092" s="4">
        <v>40226.177777777775</v>
      </c>
      <c r="E2092" s="1" t="s">
        <v>3610</v>
      </c>
      <c r="F2092" s="1"/>
      <c r="G2092" s="1"/>
      <c r="H2092" s="1"/>
      <c r="I2092" s="1"/>
      <c r="J2092" s="1"/>
      <c r="K2092" s="1"/>
      <c r="L2092" s="1"/>
      <c r="M2092" s="1"/>
      <c r="N2092" s="1"/>
      <c r="O2092" s="1"/>
      <c r="P2092" s="1"/>
      <c r="Q2092" s="1"/>
      <c r="R2092" s="1"/>
      <c r="S2092" s="1"/>
    </row>
    <row r="2093" spans="1:19" ht="33.75" customHeight="1">
      <c r="A2093" s="1" t="s">
        <v>5701</v>
      </c>
      <c r="B2093" s="1" t="s">
        <v>5697</v>
      </c>
      <c r="C2093" s="1">
        <v>32</v>
      </c>
      <c r="D2093" s="4">
        <v>40226.37777777778</v>
      </c>
      <c r="E2093" s="1" t="s">
        <v>14</v>
      </c>
      <c r="F2093" s="1"/>
      <c r="G2093" s="1"/>
      <c r="H2093" s="1"/>
      <c r="I2093" s="1"/>
      <c r="J2093" s="1"/>
      <c r="K2093" s="1"/>
      <c r="L2093" s="1"/>
      <c r="M2093" s="1"/>
      <c r="N2093" s="1"/>
      <c r="O2093" s="1"/>
      <c r="P2093" s="1"/>
      <c r="Q2093" s="1"/>
      <c r="R2093" s="1"/>
      <c r="S2093" s="1"/>
    </row>
    <row r="2094" spans="1:19" ht="33.75" customHeight="1">
      <c r="A2094" s="1" t="s">
        <v>5703</v>
      </c>
      <c r="B2094" s="1" t="s">
        <v>5704</v>
      </c>
      <c r="C2094" s="1">
        <v>34</v>
      </c>
      <c r="D2094" s="4">
        <v>40290.411805555559</v>
      </c>
      <c r="E2094" s="1" t="s">
        <v>84</v>
      </c>
      <c r="F2094" s="1"/>
      <c r="G2094" s="1"/>
      <c r="H2094" s="1"/>
      <c r="I2094" s="1"/>
      <c r="J2094" s="1"/>
      <c r="K2094" s="1"/>
      <c r="L2094" s="1"/>
      <c r="M2094" s="1"/>
      <c r="N2094" s="1"/>
      <c r="O2094" s="1"/>
      <c r="P2094" s="1"/>
      <c r="Q2094" s="1"/>
      <c r="R2094" s="1"/>
      <c r="S2094" s="1"/>
    </row>
    <row r="2095" spans="1:19" ht="33.75" customHeight="1">
      <c r="A2095" s="1" t="s">
        <v>5706</v>
      </c>
      <c r="B2095" s="1" t="s">
        <v>5704</v>
      </c>
      <c r="C2095" s="1">
        <v>34</v>
      </c>
      <c r="D2095" s="4">
        <v>40290.454861111109</v>
      </c>
      <c r="E2095" s="1" t="s">
        <v>4170</v>
      </c>
      <c r="F2095" s="1"/>
      <c r="G2095" s="1"/>
      <c r="H2095" s="1"/>
      <c r="I2095" s="1"/>
      <c r="J2095" s="1"/>
      <c r="K2095" s="1"/>
      <c r="L2095" s="1"/>
      <c r="M2095" s="1"/>
      <c r="N2095" s="1"/>
      <c r="O2095" s="1"/>
      <c r="P2095" s="1"/>
      <c r="Q2095" s="1"/>
      <c r="R2095" s="1"/>
      <c r="S2095" s="1"/>
    </row>
    <row r="2096" spans="1:19" ht="33.75" customHeight="1">
      <c r="A2096" s="1" t="s">
        <v>5708</v>
      </c>
      <c r="B2096" s="1" t="s">
        <v>5704</v>
      </c>
      <c r="C2096" s="1">
        <v>34</v>
      </c>
      <c r="D2096" s="4">
        <v>40290.54583333333</v>
      </c>
      <c r="E2096" s="1" t="s">
        <v>2893</v>
      </c>
      <c r="F2096" s="1"/>
      <c r="G2096" s="1"/>
      <c r="H2096" s="1"/>
      <c r="I2096" s="1"/>
      <c r="J2096" s="1"/>
      <c r="K2096" s="1"/>
      <c r="L2096" s="1"/>
      <c r="M2096" s="1"/>
      <c r="N2096" s="1"/>
      <c r="O2096" s="1"/>
      <c r="P2096" s="1"/>
      <c r="Q2096" s="1"/>
      <c r="R2096" s="1"/>
      <c r="S2096" s="1"/>
    </row>
    <row r="2097" spans="1:19" ht="33.75" customHeight="1">
      <c r="A2097" s="1" t="s">
        <v>12</v>
      </c>
      <c r="B2097" s="1" t="s">
        <v>5704</v>
      </c>
      <c r="C2097" s="1">
        <v>34</v>
      </c>
      <c r="D2097" s="4">
        <v>40290.726840277777</v>
      </c>
      <c r="E2097" s="1" t="s">
        <v>175</v>
      </c>
      <c r="F2097" s="1"/>
      <c r="G2097" s="1"/>
      <c r="H2097" s="1"/>
      <c r="I2097" s="1"/>
      <c r="J2097" s="1"/>
      <c r="K2097" s="1"/>
      <c r="L2097" s="1"/>
      <c r="M2097" s="1"/>
      <c r="N2097" s="1"/>
      <c r="O2097" s="1"/>
      <c r="P2097" s="1"/>
      <c r="Q2097" s="1"/>
      <c r="R2097" s="1"/>
      <c r="S2097" s="1"/>
    </row>
    <row r="2098" spans="1:19" ht="33.75" customHeight="1">
      <c r="A2098" s="1" t="s">
        <v>5712</v>
      </c>
      <c r="B2098" s="1" t="s">
        <v>5704</v>
      </c>
      <c r="C2098" s="1">
        <v>34</v>
      </c>
      <c r="D2098" s="4">
        <v>40291.01666666667</v>
      </c>
      <c r="E2098" s="1" t="s">
        <v>381</v>
      </c>
      <c r="F2098" s="1"/>
      <c r="G2098" s="1"/>
      <c r="H2098" s="1"/>
      <c r="I2098" s="1"/>
      <c r="J2098" s="1"/>
      <c r="K2098" s="1"/>
      <c r="L2098" s="1"/>
      <c r="M2098" s="1"/>
      <c r="N2098" s="1"/>
      <c r="O2098" s="1"/>
      <c r="P2098" s="1"/>
      <c r="Q2098" s="1"/>
      <c r="R2098" s="1"/>
      <c r="S2098" s="1"/>
    </row>
    <row r="2099" spans="1:19" ht="33.75" customHeight="1">
      <c r="A2099" s="1" t="s">
        <v>5714</v>
      </c>
      <c r="B2099" s="1" t="s">
        <v>5704</v>
      </c>
      <c r="C2099" s="1">
        <v>34</v>
      </c>
      <c r="D2099" s="4">
        <v>40291.49722222222</v>
      </c>
      <c r="E2099" s="1" t="s">
        <v>1768</v>
      </c>
      <c r="F2099" s="1"/>
      <c r="G2099" s="1"/>
      <c r="H2099" s="1"/>
      <c r="I2099" s="1"/>
      <c r="J2099" s="1"/>
      <c r="K2099" s="1"/>
      <c r="L2099" s="1"/>
      <c r="M2099" s="1"/>
      <c r="N2099" s="1"/>
      <c r="O2099" s="1"/>
      <c r="P2099" s="1"/>
      <c r="Q2099" s="1"/>
      <c r="R2099" s="1"/>
      <c r="S2099" s="1"/>
    </row>
    <row r="2100" spans="1:19" ht="33.75" customHeight="1">
      <c r="A2100" s="1" t="s">
        <v>5716</v>
      </c>
      <c r="B2100" s="1" t="s">
        <v>5704</v>
      </c>
      <c r="C2100" s="1">
        <v>34</v>
      </c>
      <c r="D2100" s="4">
        <v>40291.53402777778</v>
      </c>
      <c r="E2100" s="1" t="s">
        <v>5717</v>
      </c>
      <c r="F2100" s="1"/>
      <c r="G2100" s="1"/>
      <c r="H2100" s="1"/>
      <c r="I2100" s="1"/>
      <c r="J2100" s="1"/>
      <c r="K2100" s="1"/>
      <c r="L2100" s="1"/>
      <c r="M2100" s="1"/>
      <c r="N2100" s="1"/>
      <c r="O2100" s="1"/>
      <c r="P2100" s="1"/>
      <c r="Q2100" s="1"/>
      <c r="R2100" s="1"/>
      <c r="S2100" s="1"/>
    </row>
    <row r="2101" spans="1:19" ht="33.75" customHeight="1">
      <c r="A2101" s="1" t="s">
        <v>5719</v>
      </c>
      <c r="B2101" s="1" t="s">
        <v>5704</v>
      </c>
      <c r="C2101" s="1">
        <v>34</v>
      </c>
      <c r="D2101" s="4">
        <v>40291.544444444444</v>
      </c>
      <c r="E2101" s="1" t="s">
        <v>54</v>
      </c>
      <c r="F2101" s="1"/>
      <c r="G2101" s="1"/>
      <c r="H2101" s="1"/>
      <c r="I2101" s="1"/>
      <c r="J2101" s="1"/>
      <c r="K2101" s="1"/>
      <c r="L2101" s="1"/>
      <c r="M2101" s="1"/>
      <c r="N2101" s="1"/>
      <c r="O2101" s="1"/>
      <c r="P2101" s="1"/>
      <c r="Q2101" s="1"/>
      <c r="R2101" s="1"/>
      <c r="S2101" s="1"/>
    </row>
    <row r="2102" spans="1:19" ht="33.75" customHeight="1">
      <c r="A2102" s="1" t="s">
        <v>5721</v>
      </c>
      <c r="B2102" s="1" t="s">
        <v>5704</v>
      </c>
      <c r="C2102" s="1">
        <v>34</v>
      </c>
      <c r="D2102" s="4">
        <v>40291.768750000003</v>
      </c>
      <c r="E2102" s="1" t="s">
        <v>110</v>
      </c>
      <c r="F2102" s="1"/>
      <c r="G2102" s="1"/>
      <c r="H2102" s="1"/>
      <c r="I2102" s="1"/>
      <c r="J2102" s="1"/>
      <c r="K2102" s="1"/>
      <c r="L2102" s="1"/>
      <c r="M2102" s="1"/>
      <c r="N2102" s="1"/>
      <c r="O2102" s="1"/>
      <c r="P2102" s="1"/>
      <c r="Q2102" s="1"/>
      <c r="R2102" s="1"/>
      <c r="S2102" s="1"/>
    </row>
    <row r="2103" spans="1:19" ht="33.75" customHeight="1">
      <c r="A2103" s="1" t="s">
        <v>5724</v>
      </c>
      <c r="B2103" s="1" t="s">
        <v>5704</v>
      </c>
      <c r="C2103" s="1">
        <v>34</v>
      </c>
      <c r="D2103" s="4">
        <v>40291.770138888889</v>
      </c>
      <c r="E2103" s="1" t="s">
        <v>110</v>
      </c>
      <c r="F2103" s="1"/>
      <c r="G2103" s="1"/>
      <c r="H2103" s="1"/>
      <c r="I2103" s="1"/>
      <c r="J2103" s="1"/>
      <c r="K2103" s="1"/>
      <c r="L2103" s="1"/>
      <c r="M2103" s="1"/>
      <c r="N2103" s="1"/>
      <c r="O2103" s="1"/>
      <c r="P2103" s="1"/>
      <c r="Q2103" s="1"/>
      <c r="R2103" s="1"/>
      <c r="S2103" s="1"/>
    </row>
    <row r="2104" spans="1:19" ht="33.75" customHeight="1">
      <c r="A2104" s="1" t="s">
        <v>5727</v>
      </c>
      <c r="B2104" s="1" t="s">
        <v>5704</v>
      </c>
      <c r="C2104" s="1">
        <v>34</v>
      </c>
      <c r="D2104" s="4">
        <v>40292.338888888888</v>
      </c>
      <c r="E2104" s="1" t="s">
        <v>1768</v>
      </c>
      <c r="F2104" s="1"/>
      <c r="G2104" s="1"/>
      <c r="H2104" s="1"/>
      <c r="I2104" s="1"/>
      <c r="J2104" s="1"/>
      <c r="K2104" s="1"/>
      <c r="L2104" s="1"/>
      <c r="M2104" s="1"/>
      <c r="N2104" s="1"/>
      <c r="O2104" s="1"/>
      <c r="P2104" s="1"/>
      <c r="Q2104" s="1"/>
      <c r="R2104" s="1"/>
      <c r="S2104" s="1"/>
    </row>
    <row r="2105" spans="1:19" ht="33.75" customHeight="1">
      <c r="A2105" s="1" t="s">
        <v>5729</v>
      </c>
      <c r="B2105" s="1" t="s">
        <v>5704</v>
      </c>
      <c r="C2105" s="1">
        <v>34</v>
      </c>
      <c r="D2105" s="4">
        <v>40293.058333333334</v>
      </c>
      <c r="E2105" s="1" t="s">
        <v>3610</v>
      </c>
      <c r="F2105" s="1"/>
      <c r="G2105" s="1"/>
      <c r="H2105" s="1"/>
      <c r="I2105" s="1"/>
      <c r="J2105" s="1"/>
      <c r="K2105" s="1"/>
      <c r="L2105" s="1"/>
      <c r="M2105" s="1"/>
      <c r="N2105" s="1"/>
      <c r="O2105" s="1"/>
      <c r="P2105" s="1"/>
      <c r="Q2105" s="1"/>
      <c r="R2105" s="1"/>
      <c r="S2105" s="1"/>
    </row>
    <row r="2106" spans="1:19" ht="33.75" customHeight="1">
      <c r="A2106" s="1" t="s">
        <v>5731</v>
      </c>
      <c r="B2106" s="1" t="s">
        <v>5704</v>
      </c>
      <c r="C2106" s="1">
        <v>34</v>
      </c>
      <c r="D2106" s="4">
        <v>40293.060416666667</v>
      </c>
      <c r="E2106" s="1" t="s">
        <v>1887</v>
      </c>
      <c r="F2106" s="1"/>
      <c r="G2106" s="1"/>
      <c r="H2106" s="1"/>
      <c r="I2106" s="1"/>
      <c r="J2106" s="1"/>
      <c r="K2106" s="1"/>
      <c r="L2106" s="1"/>
      <c r="M2106" s="1"/>
      <c r="N2106" s="1"/>
      <c r="O2106" s="1"/>
      <c r="P2106" s="1"/>
      <c r="Q2106" s="1"/>
      <c r="R2106" s="1"/>
      <c r="S2106" s="1"/>
    </row>
    <row r="2107" spans="1:19" ht="33.75" customHeight="1">
      <c r="A2107" s="1" t="s">
        <v>5733</v>
      </c>
      <c r="B2107" s="1" t="s">
        <v>5704</v>
      </c>
      <c r="C2107" s="1">
        <v>34</v>
      </c>
      <c r="D2107" s="4">
        <v>40293.456250000003</v>
      </c>
      <c r="E2107" s="1" t="s">
        <v>54</v>
      </c>
      <c r="F2107" s="1"/>
      <c r="G2107" s="1"/>
      <c r="H2107" s="1"/>
      <c r="I2107" s="1"/>
      <c r="J2107" s="1"/>
      <c r="K2107" s="1"/>
      <c r="L2107" s="1"/>
      <c r="M2107" s="1"/>
      <c r="N2107" s="1"/>
      <c r="O2107" s="1"/>
      <c r="P2107" s="1"/>
      <c r="Q2107" s="1"/>
      <c r="R2107" s="1"/>
      <c r="S2107" s="1"/>
    </row>
    <row r="2108" spans="1:19" ht="33.75" customHeight="1">
      <c r="A2108" s="1" t="s">
        <v>5736</v>
      </c>
      <c r="B2108" s="1" t="s">
        <v>5704</v>
      </c>
      <c r="C2108" s="1">
        <v>34</v>
      </c>
      <c r="D2108" s="4">
        <v>40294.30972222222</v>
      </c>
      <c r="E2108" s="1" t="s">
        <v>416</v>
      </c>
      <c r="F2108" s="1"/>
      <c r="G2108" s="1"/>
      <c r="H2108" s="1"/>
      <c r="I2108" s="1"/>
      <c r="J2108" s="1"/>
      <c r="K2108" s="1"/>
      <c r="L2108" s="1"/>
      <c r="M2108" s="1"/>
      <c r="N2108" s="1"/>
      <c r="O2108" s="1"/>
      <c r="P2108" s="1"/>
      <c r="Q2108" s="1"/>
      <c r="R2108" s="1"/>
      <c r="S2108" s="1"/>
    </row>
    <row r="2109" spans="1:19" ht="33.75" customHeight="1">
      <c r="A2109" s="1" t="s">
        <v>5739</v>
      </c>
      <c r="B2109" s="1" t="s">
        <v>5704</v>
      </c>
      <c r="C2109" s="1">
        <v>34</v>
      </c>
      <c r="D2109" s="4">
        <v>40294.45416666667</v>
      </c>
      <c r="E2109" s="1" t="s">
        <v>54</v>
      </c>
      <c r="F2109" s="1"/>
      <c r="G2109" s="1"/>
      <c r="H2109" s="1"/>
      <c r="I2109" s="1"/>
      <c r="J2109" s="1"/>
      <c r="K2109" s="1"/>
      <c r="L2109" s="1"/>
      <c r="M2109" s="1"/>
      <c r="N2109" s="1"/>
      <c r="O2109" s="1"/>
      <c r="P2109" s="1"/>
      <c r="Q2109" s="1"/>
      <c r="R2109" s="1"/>
      <c r="S2109" s="1"/>
    </row>
    <row r="2110" spans="1:19" ht="33.75" customHeight="1">
      <c r="A2110" s="1" t="s">
        <v>5741</v>
      </c>
      <c r="B2110" s="1" t="s">
        <v>5704</v>
      </c>
      <c r="C2110" s="1">
        <v>34</v>
      </c>
      <c r="D2110" s="4">
        <v>40294.455555555556</v>
      </c>
      <c r="E2110" s="1" t="s">
        <v>54</v>
      </c>
      <c r="F2110" s="1"/>
      <c r="G2110" s="1"/>
      <c r="H2110" s="1"/>
      <c r="I2110" s="1"/>
      <c r="J2110" s="1"/>
      <c r="K2110" s="1"/>
      <c r="L2110" s="1"/>
      <c r="M2110" s="1"/>
      <c r="N2110" s="1"/>
      <c r="O2110" s="1"/>
      <c r="P2110" s="1"/>
      <c r="Q2110" s="1"/>
      <c r="R2110" s="1"/>
      <c r="S2110" s="1"/>
    </row>
    <row r="2111" spans="1:19" ht="33.75" customHeight="1">
      <c r="A2111" s="1" t="s">
        <v>5743</v>
      </c>
      <c r="B2111" s="1" t="s">
        <v>5704</v>
      </c>
      <c r="C2111" s="1">
        <v>34</v>
      </c>
      <c r="D2111" s="4">
        <v>40294.633333333331</v>
      </c>
      <c r="E2111" s="1" t="s">
        <v>772</v>
      </c>
      <c r="F2111" s="1"/>
      <c r="G2111" s="1"/>
      <c r="H2111" s="1"/>
      <c r="I2111" s="1"/>
      <c r="J2111" s="1"/>
      <c r="K2111" s="1"/>
      <c r="L2111" s="1"/>
      <c r="M2111" s="1"/>
      <c r="N2111" s="1"/>
      <c r="O2111" s="1"/>
      <c r="P2111" s="1"/>
      <c r="Q2111" s="1"/>
      <c r="R2111" s="1"/>
      <c r="S2111" s="1"/>
    </row>
    <row r="2112" spans="1:19" ht="33.75" customHeight="1">
      <c r="A2112" s="1" t="s">
        <v>5745</v>
      </c>
      <c r="B2112" s="1" t="s">
        <v>5704</v>
      </c>
      <c r="C2112" s="1">
        <v>34</v>
      </c>
      <c r="D2112" s="4">
        <v>40297.019444444442</v>
      </c>
      <c r="E2112" s="1" t="s">
        <v>3610</v>
      </c>
      <c r="F2112" s="1"/>
      <c r="G2112" s="1"/>
      <c r="H2112" s="1"/>
      <c r="I2112" s="1"/>
      <c r="J2112" s="1"/>
      <c r="K2112" s="1"/>
      <c r="L2112" s="1"/>
      <c r="M2112" s="1"/>
      <c r="N2112" s="1"/>
      <c r="O2112" s="1"/>
      <c r="P2112" s="1"/>
      <c r="Q2112" s="1"/>
      <c r="R2112" s="1"/>
      <c r="S2112" s="1"/>
    </row>
    <row r="2113" spans="1:19" ht="33.75" customHeight="1">
      <c r="A2113" s="1" t="s">
        <v>5747</v>
      </c>
      <c r="B2113" s="3" t="s">
        <v>13</v>
      </c>
      <c r="C2113" s="3">
        <v>1</v>
      </c>
      <c r="D2113" s="4">
        <v>40410.534722222219</v>
      </c>
      <c r="E2113" s="1" t="s">
        <v>5748</v>
      </c>
      <c r="F2113" s="1"/>
      <c r="G2113" s="1"/>
      <c r="H2113" s="1"/>
      <c r="I2113" s="1"/>
      <c r="J2113" s="1"/>
      <c r="K2113" s="1"/>
      <c r="L2113" s="1"/>
      <c r="M2113" s="1"/>
      <c r="N2113" s="1"/>
      <c r="O2113" s="1"/>
      <c r="P2113" s="1"/>
      <c r="Q2113" s="1"/>
      <c r="R2113" s="1"/>
      <c r="S2113" s="1"/>
    </row>
    <row r="2114" spans="1:19" ht="33.75" customHeight="1">
      <c r="A2114" s="1" t="s">
        <v>5750</v>
      </c>
      <c r="B2114" s="3" t="s">
        <v>13</v>
      </c>
      <c r="C2114" s="3">
        <v>1</v>
      </c>
      <c r="D2114" s="4">
        <v>40596.852777777778</v>
      </c>
      <c r="E2114" s="1" t="s">
        <v>5751</v>
      </c>
      <c r="F2114" s="1"/>
      <c r="G2114" s="1"/>
      <c r="H2114" s="1"/>
      <c r="I2114" s="1"/>
      <c r="J2114" s="1"/>
      <c r="K2114" s="1"/>
      <c r="L2114" s="1"/>
      <c r="M2114" s="1"/>
      <c r="N2114" s="1"/>
      <c r="O2114" s="1"/>
      <c r="P2114" s="1"/>
      <c r="Q2114" s="1"/>
      <c r="R2114" s="1"/>
      <c r="S2114" s="1"/>
    </row>
    <row r="2115" spans="1:19" ht="33.75" customHeight="1">
      <c r="A2115" s="1" t="s">
        <v>5753</v>
      </c>
      <c r="B2115" s="1" t="s">
        <v>4460</v>
      </c>
      <c r="C2115" s="1">
        <v>23</v>
      </c>
      <c r="D2115" s="4">
        <v>40600.204861111109</v>
      </c>
      <c r="E2115" s="1" t="s">
        <v>5687</v>
      </c>
      <c r="F2115" s="1"/>
      <c r="G2115" s="1"/>
      <c r="H2115" s="1"/>
      <c r="I2115" s="1"/>
      <c r="J2115" s="1"/>
      <c r="K2115" s="1"/>
      <c r="L2115" s="1"/>
      <c r="M2115" s="1"/>
      <c r="N2115" s="1"/>
      <c r="O2115" s="1"/>
      <c r="P2115" s="1"/>
      <c r="Q2115" s="1"/>
      <c r="R2115" s="1"/>
      <c r="S2115" s="1"/>
    </row>
    <row r="2116" spans="1:19" ht="33.75" customHeight="1">
      <c r="A2116" s="1" t="s">
        <v>5755</v>
      </c>
      <c r="B2116" s="3" t="s">
        <v>13</v>
      </c>
      <c r="C2116" s="3">
        <v>1</v>
      </c>
      <c r="D2116" s="4">
        <v>40641.808333333334</v>
      </c>
      <c r="E2116" s="1" t="s">
        <v>5756</v>
      </c>
      <c r="F2116" s="1"/>
      <c r="G2116" s="1"/>
      <c r="H2116" s="1"/>
      <c r="I2116" s="1"/>
      <c r="J2116" s="1"/>
      <c r="K2116" s="1"/>
      <c r="L2116" s="1"/>
      <c r="M2116" s="1"/>
      <c r="N2116" s="1"/>
      <c r="O2116" s="1"/>
      <c r="P2116" s="1"/>
      <c r="Q2116" s="1"/>
      <c r="R2116" s="1"/>
      <c r="S2116" s="1"/>
    </row>
    <row r="2117" spans="1:19" ht="33.75" customHeight="1">
      <c r="A2117" s="1" t="s">
        <v>5759</v>
      </c>
      <c r="B2117" s="3" t="s">
        <v>13</v>
      </c>
      <c r="C2117" s="3">
        <v>1</v>
      </c>
      <c r="D2117" s="4">
        <v>40642.52847222222</v>
      </c>
      <c r="E2117" s="1" t="s">
        <v>5760</v>
      </c>
      <c r="F2117" s="1"/>
      <c r="G2117" s="1"/>
      <c r="H2117" s="1"/>
      <c r="I2117" s="1"/>
      <c r="J2117" s="1"/>
      <c r="K2117" s="1"/>
      <c r="L2117" s="1"/>
      <c r="M2117" s="1"/>
      <c r="N2117" s="1"/>
      <c r="O2117" s="1"/>
      <c r="P2117" s="1"/>
      <c r="Q2117" s="1"/>
      <c r="R2117" s="1"/>
      <c r="S2117" s="1"/>
    </row>
    <row r="2118" spans="1:19" ht="33.75" customHeight="1">
      <c r="A2118" s="1" t="s">
        <v>5762</v>
      </c>
      <c r="B2118" s="1" t="s">
        <v>1696</v>
      </c>
      <c r="C2118" s="1">
        <v>12</v>
      </c>
      <c r="D2118" s="4">
        <v>40643.35</v>
      </c>
      <c r="E2118" s="1" t="s">
        <v>314</v>
      </c>
      <c r="F2118" s="1"/>
      <c r="G2118" s="1"/>
      <c r="H2118" s="1"/>
      <c r="I2118" s="1"/>
      <c r="J2118" s="1"/>
      <c r="K2118" s="1"/>
      <c r="L2118" s="1"/>
      <c r="M2118" s="1"/>
      <c r="N2118" s="1"/>
      <c r="O2118" s="1"/>
      <c r="P2118" s="1"/>
      <c r="Q2118" s="1"/>
      <c r="R2118" s="1"/>
      <c r="S2118" s="1"/>
    </row>
    <row r="2119" spans="1:19" ht="33.75" customHeight="1">
      <c r="A2119" s="1" t="s">
        <v>5766</v>
      </c>
      <c r="B2119" s="1" t="s">
        <v>926</v>
      </c>
      <c r="C2119" s="1">
        <v>9</v>
      </c>
      <c r="D2119" s="4">
        <v>40851.024305555555</v>
      </c>
      <c r="E2119" s="1" t="s">
        <v>5767</v>
      </c>
      <c r="F2119" s="1"/>
      <c r="G2119" s="1"/>
      <c r="H2119" s="1"/>
      <c r="I2119" s="1"/>
      <c r="J2119" s="1"/>
      <c r="K2119" s="1"/>
      <c r="L2119" s="1"/>
      <c r="M2119" s="1"/>
      <c r="N2119" s="1"/>
      <c r="O2119" s="1"/>
      <c r="P2119" s="1"/>
      <c r="Q2119" s="1"/>
      <c r="R2119" s="1"/>
      <c r="S2119" s="1"/>
    </row>
    <row r="2120" spans="1:19" ht="33.75" customHeight="1">
      <c r="A2120" s="1" t="s">
        <v>12</v>
      </c>
      <c r="B2120" s="1" t="s">
        <v>5771</v>
      </c>
      <c r="C2120" s="1">
        <v>33</v>
      </c>
      <c r="D2120" s="4">
        <v>41022.836909722224</v>
      </c>
      <c r="E2120" s="1" t="s">
        <v>14</v>
      </c>
      <c r="F2120" s="1"/>
      <c r="G2120" s="1"/>
      <c r="H2120" s="1"/>
      <c r="I2120" s="1"/>
      <c r="J2120" s="1"/>
      <c r="K2120" s="1"/>
      <c r="L2120" s="1"/>
      <c r="M2120" s="1"/>
      <c r="N2120" s="1"/>
      <c r="O2120" s="1"/>
      <c r="P2120" s="1"/>
      <c r="Q2120" s="1"/>
      <c r="R2120" s="1"/>
      <c r="S2120" s="1"/>
    </row>
    <row r="2121" spans="1:19" ht="33.75" customHeight="1">
      <c r="A2121" s="1" t="s">
        <v>5773</v>
      </c>
      <c r="B2121" s="1" t="s">
        <v>5771</v>
      </c>
      <c r="C2121" s="1">
        <v>33</v>
      </c>
      <c r="D2121" s="4">
        <v>41023.146527777775</v>
      </c>
      <c r="E2121" s="1" t="s">
        <v>5774</v>
      </c>
      <c r="F2121" s="1"/>
      <c r="G2121" s="1"/>
      <c r="H2121" s="1"/>
      <c r="I2121" s="1"/>
      <c r="J2121" s="1"/>
      <c r="K2121" s="1"/>
      <c r="L2121" s="1"/>
      <c r="M2121" s="1"/>
      <c r="N2121" s="1"/>
      <c r="O2121" s="1"/>
      <c r="P2121" s="1"/>
      <c r="Q2121" s="1"/>
      <c r="R2121" s="1"/>
      <c r="S2121" s="1"/>
    </row>
    <row r="2122" spans="1:19" ht="33.75" customHeight="1">
      <c r="A2122" s="1" t="s">
        <v>5778</v>
      </c>
      <c r="B2122" s="1" t="s">
        <v>5771</v>
      </c>
      <c r="C2122" s="1">
        <v>33</v>
      </c>
      <c r="D2122" s="4">
        <v>41023.398611111108</v>
      </c>
      <c r="E2122" s="1" t="s">
        <v>3610</v>
      </c>
      <c r="F2122" s="1"/>
      <c r="G2122" s="1"/>
      <c r="H2122" s="1"/>
      <c r="I2122" s="1"/>
      <c r="J2122" s="1"/>
      <c r="K2122" s="1"/>
      <c r="L2122" s="1"/>
      <c r="M2122" s="1"/>
      <c r="N2122" s="1"/>
      <c r="O2122" s="1"/>
      <c r="P2122" s="1"/>
      <c r="Q2122" s="1"/>
      <c r="R2122" s="1"/>
      <c r="S2122" s="1"/>
    </row>
    <row r="2123" spans="1:19" ht="33.75" customHeight="1">
      <c r="A2123" s="1" t="s">
        <v>5780</v>
      </c>
      <c r="B2123" s="1" t="s">
        <v>5771</v>
      </c>
      <c r="C2123" s="1">
        <v>33</v>
      </c>
      <c r="D2123" s="4">
        <v>41023.850694444445</v>
      </c>
      <c r="E2123" s="1" t="s">
        <v>5781</v>
      </c>
      <c r="F2123" s="1"/>
      <c r="G2123" s="1"/>
      <c r="H2123" s="1"/>
      <c r="I2123" s="1"/>
      <c r="J2123" s="1"/>
      <c r="K2123" s="1"/>
      <c r="L2123" s="1"/>
      <c r="M2123" s="1"/>
      <c r="N2123" s="1"/>
      <c r="O2123" s="1"/>
      <c r="P2123" s="1"/>
      <c r="Q2123" s="1"/>
      <c r="R2123" s="1"/>
      <c r="S2123" s="1"/>
    </row>
    <row r="2124" spans="1:19" ht="33.75" customHeight="1">
      <c r="A2124" s="1" t="s">
        <v>5783</v>
      </c>
      <c r="B2124" s="1" t="s">
        <v>5771</v>
      </c>
      <c r="C2124" s="1">
        <v>33</v>
      </c>
      <c r="D2124" s="4">
        <v>41024.164583333331</v>
      </c>
      <c r="E2124" s="1" t="s">
        <v>5784</v>
      </c>
      <c r="F2124" s="1"/>
      <c r="G2124" s="1"/>
      <c r="H2124" s="1"/>
      <c r="I2124" s="1"/>
      <c r="J2124" s="1"/>
      <c r="K2124" s="1"/>
      <c r="L2124" s="1"/>
      <c r="M2124" s="1"/>
      <c r="N2124" s="1"/>
      <c r="O2124" s="1"/>
      <c r="P2124" s="1"/>
      <c r="Q2124" s="1"/>
      <c r="R2124" s="1"/>
      <c r="S2124" s="1"/>
    </row>
    <row r="2125" spans="1:19" ht="33.75" customHeight="1">
      <c r="A2125" s="1" t="s">
        <v>5786</v>
      </c>
      <c r="B2125" s="1" t="s">
        <v>5771</v>
      </c>
      <c r="C2125" s="1">
        <v>33</v>
      </c>
      <c r="D2125" s="4">
        <v>41024.915277777778</v>
      </c>
      <c r="E2125" s="1" t="s">
        <v>84</v>
      </c>
      <c r="F2125" s="1"/>
      <c r="G2125" s="1"/>
      <c r="H2125" s="1"/>
      <c r="I2125" s="1"/>
      <c r="J2125" s="1"/>
      <c r="K2125" s="1"/>
      <c r="L2125" s="1"/>
      <c r="M2125" s="1"/>
      <c r="N2125" s="1"/>
      <c r="O2125" s="1"/>
      <c r="P2125" s="1"/>
      <c r="Q2125" s="1"/>
      <c r="R2125" s="1"/>
      <c r="S2125" s="1"/>
    </row>
    <row r="2126" spans="1:19" ht="33.75" customHeight="1">
      <c r="A2126" s="1" t="s">
        <v>5789</v>
      </c>
      <c r="B2126" s="1" t="s">
        <v>5771</v>
      </c>
      <c r="C2126" s="1">
        <v>33</v>
      </c>
      <c r="D2126" s="4">
        <v>41025.086805555555</v>
      </c>
      <c r="E2126" s="1" t="s">
        <v>5784</v>
      </c>
      <c r="F2126" s="1"/>
      <c r="G2126" s="1"/>
      <c r="H2126" s="1"/>
      <c r="I2126" s="1"/>
      <c r="J2126" s="1"/>
      <c r="K2126" s="1"/>
      <c r="L2126" s="1"/>
      <c r="M2126" s="1"/>
      <c r="N2126" s="1"/>
      <c r="O2126" s="1"/>
      <c r="P2126" s="1"/>
      <c r="Q2126" s="1"/>
      <c r="R2126" s="1"/>
      <c r="S2126" s="1"/>
    </row>
    <row r="2127" spans="1:19" ht="33.75" customHeight="1">
      <c r="A2127" s="1" t="s">
        <v>5791</v>
      </c>
      <c r="B2127" s="3" t="s">
        <v>13</v>
      </c>
      <c r="C2127" s="3">
        <v>1</v>
      </c>
      <c r="D2127" s="4">
        <v>41152.790972222225</v>
      </c>
      <c r="E2127" s="1" t="s">
        <v>5792</v>
      </c>
      <c r="F2127" s="1"/>
      <c r="G2127" s="1"/>
      <c r="H2127" s="1"/>
      <c r="I2127" s="1"/>
      <c r="J2127" s="1"/>
      <c r="K2127" s="1"/>
      <c r="L2127" s="1"/>
      <c r="M2127" s="1"/>
      <c r="N2127" s="1"/>
      <c r="O2127" s="1"/>
      <c r="P2127" s="1"/>
      <c r="Q2127" s="1"/>
      <c r="R2127" s="1"/>
      <c r="S2127" s="1"/>
    </row>
    <row r="2128" spans="1:19" ht="33.75" customHeight="1">
      <c r="A2128" s="1" t="s">
        <v>5794</v>
      </c>
      <c r="B2128" s="1" t="s">
        <v>5771</v>
      </c>
      <c r="C2128" s="1">
        <v>33</v>
      </c>
      <c r="D2128" s="4">
        <v>41269.109722222223</v>
      </c>
      <c r="E2128" s="1" t="s">
        <v>5795</v>
      </c>
      <c r="F2128" s="1"/>
      <c r="G2128" s="1"/>
      <c r="H2128" s="1"/>
      <c r="I2128" s="1"/>
      <c r="J2128" s="1"/>
      <c r="K2128" s="1"/>
      <c r="L2128" s="1"/>
      <c r="M2128" s="1"/>
      <c r="N2128" s="1"/>
      <c r="O2128" s="1"/>
      <c r="P2128" s="1"/>
      <c r="Q2128" s="1"/>
      <c r="R2128" s="1"/>
      <c r="S2128" s="1"/>
    </row>
    <row r="2129" spans="1:19" ht="33.75" customHeight="1">
      <c r="A2129" s="1" t="s">
        <v>5797</v>
      </c>
      <c r="B2129" s="1" t="s">
        <v>5771</v>
      </c>
      <c r="C2129" s="1">
        <v>33</v>
      </c>
      <c r="D2129" s="4">
        <v>41269.715277777781</v>
      </c>
      <c r="E2129" s="1" t="s">
        <v>14</v>
      </c>
      <c r="F2129" s="1"/>
      <c r="G2129" s="1"/>
      <c r="H2129" s="1"/>
      <c r="I2129" s="1"/>
      <c r="J2129" s="1"/>
      <c r="K2129" s="1"/>
      <c r="L2129" s="1"/>
      <c r="M2129" s="1"/>
      <c r="N2129" s="1"/>
      <c r="O2129" s="1"/>
      <c r="P2129" s="1"/>
      <c r="Q2129" s="1"/>
      <c r="R2129" s="1"/>
      <c r="S2129" s="1"/>
    </row>
  </sheetData>
  <autoFilter ref="A1:S2129" xr:uid="{00000000-0009-0000-0000-000002000000}"/>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E1001"/>
  <sheetViews>
    <sheetView workbookViewId="0"/>
  </sheetViews>
  <sheetFormatPr baseColWidth="10" defaultColWidth="14.5" defaultRowHeight="15" customHeight="1"/>
  <cols>
    <col min="1" max="2" width="19" customWidth="1"/>
    <col min="3" max="3" width="37.5" customWidth="1"/>
    <col min="4" max="4" width="36.33203125" customWidth="1"/>
  </cols>
  <sheetData>
    <row r="1" spans="1:5">
      <c r="A1" s="5" t="s">
        <v>5802</v>
      </c>
      <c r="B1" s="5" t="s">
        <v>5803</v>
      </c>
      <c r="C1" s="5" t="s">
        <v>5804</v>
      </c>
      <c r="D1" s="5" t="s">
        <v>5805</v>
      </c>
      <c r="E1" s="5" t="s">
        <v>5806</v>
      </c>
    </row>
    <row r="2" spans="1:5">
      <c r="A2" s="5" t="s">
        <v>5807</v>
      </c>
      <c r="B2" s="5" t="s">
        <v>26</v>
      </c>
      <c r="C2" s="5" t="s">
        <v>133</v>
      </c>
      <c r="E2" s="11" t="s">
        <v>5808</v>
      </c>
    </row>
    <row r="3" spans="1:5">
      <c r="A3" s="5" t="s">
        <v>5807</v>
      </c>
      <c r="B3" s="5" t="s">
        <v>26</v>
      </c>
      <c r="C3" s="5" t="s">
        <v>27</v>
      </c>
      <c r="D3" s="12" t="s">
        <v>5809</v>
      </c>
      <c r="E3" s="12" t="s">
        <v>1015</v>
      </c>
    </row>
    <row r="4" spans="1:5">
      <c r="A4" s="5" t="s">
        <v>5807</v>
      </c>
      <c r="B4" s="5" t="s">
        <v>26</v>
      </c>
      <c r="C4" s="5" t="s">
        <v>1010</v>
      </c>
      <c r="D4" s="5" t="s">
        <v>5810</v>
      </c>
      <c r="E4" s="12" t="s">
        <v>5811</v>
      </c>
    </row>
    <row r="5" spans="1:5">
      <c r="A5" s="5" t="s">
        <v>5807</v>
      </c>
      <c r="B5" s="5" t="s">
        <v>26</v>
      </c>
      <c r="C5" s="5" t="s">
        <v>3856</v>
      </c>
      <c r="D5" s="5"/>
      <c r="E5" s="1" t="s">
        <v>5584</v>
      </c>
    </row>
    <row r="6" spans="1:5">
      <c r="A6" s="5" t="s">
        <v>5807</v>
      </c>
      <c r="B6" s="5" t="s">
        <v>64</v>
      </c>
      <c r="C6" s="5" t="s">
        <v>375</v>
      </c>
      <c r="D6" s="5" t="s">
        <v>5812</v>
      </c>
      <c r="E6" s="12" t="s">
        <v>3151</v>
      </c>
    </row>
    <row r="7" spans="1:5">
      <c r="A7" s="5" t="s">
        <v>5807</v>
      </c>
      <c r="B7" s="5" t="s">
        <v>64</v>
      </c>
      <c r="C7" s="5" t="s">
        <v>65</v>
      </c>
      <c r="E7" s="12" t="s">
        <v>5813</v>
      </c>
    </row>
    <row r="8" spans="1:5">
      <c r="A8" s="5" t="s">
        <v>5807</v>
      </c>
      <c r="B8" s="5" t="s">
        <v>64</v>
      </c>
      <c r="C8" s="5" t="s">
        <v>5147</v>
      </c>
      <c r="D8" s="5"/>
      <c r="E8" s="1" t="s">
        <v>5149</v>
      </c>
    </row>
    <row r="9" spans="1:5">
      <c r="A9" s="5" t="s">
        <v>5807</v>
      </c>
      <c r="B9" s="5" t="s">
        <v>64</v>
      </c>
      <c r="C9" s="5" t="s">
        <v>684</v>
      </c>
      <c r="D9" s="5" t="s">
        <v>5814</v>
      </c>
      <c r="E9" s="13" t="s">
        <v>3326</v>
      </c>
    </row>
    <row r="10" spans="1:5">
      <c r="A10" s="5" t="s">
        <v>5807</v>
      </c>
      <c r="B10" s="5" t="s">
        <v>64</v>
      </c>
      <c r="C10" s="5" t="s">
        <v>179</v>
      </c>
      <c r="E10" s="13" t="s">
        <v>4773</v>
      </c>
    </row>
    <row r="11" spans="1:5">
      <c r="A11" s="5" t="s">
        <v>5807</v>
      </c>
      <c r="B11" s="5" t="s">
        <v>64</v>
      </c>
      <c r="C11" s="5" t="s">
        <v>263</v>
      </c>
      <c r="D11" s="5" t="s">
        <v>5815</v>
      </c>
      <c r="E11" s="1" t="s">
        <v>1856</v>
      </c>
    </row>
    <row r="12" spans="1:5">
      <c r="A12" s="5" t="s">
        <v>5807</v>
      </c>
      <c r="B12" s="5" t="s">
        <v>64</v>
      </c>
      <c r="C12" s="5" t="s">
        <v>218</v>
      </c>
      <c r="E12" s="14" t="s">
        <v>5816</v>
      </c>
    </row>
    <row r="13" spans="1:5">
      <c r="A13" s="5" t="s">
        <v>5807</v>
      </c>
      <c r="B13" s="5" t="s">
        <v>64</v>
      </c>
      <c r="C13" s="5" t="s">
        <v>3663</v>
      </c>
      <c r="E13" s="1" t="s">
        <v>5588</v>
      </c>
    </row>
    <row r="14" spans="1:5">
      <c r="A14" s="5" t="s">
        <v>5807</v>
      </c>
      <c r="B14" s="5" t="s">
        <v>64</v>
      </c>
      <c r="C14" s="5" t="s">
        <v>282</v>
      </c>
      <c r="E14" s="12" t="s">
        <v>5817</v>
      </c>
    </row>
    <row r="15" spans="1:5">
      <c r="A15" s="5" t="s">
        <v>5807</v>
      </c>
      <c r="B15" s="5" t="s">
        <v>64</v>
      </c>
      <c r="C15" s="5" t="s">
        <v>431</v>
      </c>
      <c r="E15" s="12" t="s">
        <v>5818</v>
      </c>
    </row>
    <row r="16" spans="1:5">
      <c r="A16" s="5" t="s">
        <v>5807</v>
      </c>
      <c r="B16" s="5" t="s">
        <v>64</v>
      </c>
      <c r="C16" s="5" t="s">
        <v>1053</v>
      </c>
      <c r="D16" s="5" t="s">
        <v>5819</v>
      </c>
      <c r="E16" s="1" t="s">
        <v>1654</v>
      </c>
    </row>
    <row r="17" spans="1:5">
      <c r="A17" s="5" t="s">
        <v>5807</v>
      </c>
      <c r="B17" s="5" t="s">
        <v>33</v>
      </c>
      <c r="C17" s="5" t="s">
        <v>34</v>
      </c>
      <c r="E17" s="13" t="s">
        <v>3389</v>
      </c>
    </row>
    <row r="18" spans="1:5">
      <c r="A18" s="5" t="s">
        <v>5807</v>
      </c>
      <c r="B18" s="5" t="s">
        <v>33</v>
      </c>
      <c r="C18" s="5" t="s">
        <v>5007</v>
      </c>
      <c r="E18" s="12" t="s">
        <v>5820</v>
      </c>
    </row>
    <row r="19" spans="1:5">
      <c r="A19" s="5" t="s">
        <v>5807</v>
      </c>
      <c r="B19" s="5" t="s">
        <v>15</v>
      </c>
      <c r="C19" s="5" t="s">
        <v>792</v>
      </c>
      <c r="D19" s="5" t="s">
        <v>5821</v>
      </c>
      <c r="E19" s="11" t="s">
        <v>5822</v>
      </c>
    </row>
    <row r="20" spans="1:5">
      <c r="A20" s="5" t="s">
        <v>5807</v>
      </c>
      <c r="B20" s="5" t="s">
        <v>15</v>
      </c>
      <c r="C20" s="5" t="s">
        <v>150</v>
      </c>
      <c r="D20" s="5" t="s">
        <v>5823</v>
      </c>
      <c r="E20" s="11" t="s">
        <v>5824</v>
      </c>
    </row>
    <row r="21" spans="1:5">
      <c r="A21" s="5" t="s">
        <v>5807</v>
      </c>
      <c r="B21" s="5" t="s">
        <v>15</v>
      </c>
      <c r="C21" s="5" t="s">
        <v>55</v>
      </c>
      <c r="D21" s="5" t="s">
        <v>5825</v>
      </c>
      <c r="E21" s="12" t="s">
        <v>5826</v>
      </c>
    </row>
    <row r="22" spans="1:5">
      <c r="A22" s="5" t="s">
        <v>5807</v>
      </c>
      <c r="B22" s="5" t="s">
        <v>15</v>
      </c>
      <c r="C22" s="5" t="s">
        <v>22</v>
      </c>
      <c r="E22" s="12" t="s">
        <v>3672</v>
      </c>
    </row>
    <row r="23" spans="1:5">
      <c r="A23" s="5" t="s">
        <v>5807</v>
      </c>
      <c r="B23" s="5" t="s">
        <v>15</v>
      </c>
      <c r="C23" s="5" t="s">
        <v>16</v>
      </c>
      <c r="E23" s="12" t="s">
        <v>5827</v>
      </c>
    </row>
    <row r="24" spans="1:5">
      <c r="A24" s="5" t="s">
        <v>5807</v>
      </c>
      <c r="B24" s="5" t="s">
        <v>15</v>
      </c>
      <c r="C24" s="5" t="s">
        <v>50</v>
      </c>
      <c r="D24" s="5" t="s">
        <v>5828</v>
      </c>
      <c r="E24" s="12" t="s">
        <v>5829</v>
      </c>
    </row>
    <row r="25" spans="1:5">
      <c r="A25" s="5" t="s">
        <v>5807</v>
      </c>
      <c r="B25" s="5" t="s">
        <v>15</v>
      </c>
      <c r="C25" s="5" t="s">
        <v>140</v>
      </c>
      <c r="E25" s="12" t="s">
        <v>3417</v>
      </c>
    </row>
    <row r="26" spans="1:5">
      <c r="A26" s="5" t="s">
        <v>5807</v>
      </c>
      <c r="B26" s="5" t="s">
        <v>15</v>
      </c>
      <c r="C26" s="5" t="s">
        <v>402</v>
      </c>
      <c r="E26" s="12" t="s">
        <v>1591</v>
      </c>
    </row>
    <row r="27" spans="1:5">
      <c r="A27" s="5" t="s">
        <v>5807</v>
      </c>
      <c r="B27" s="6" t="s">
        <v>15</v>
      </c>
      <c r="C27" s="5" t="s">
        <v>5775</v>
      </c>
      <c r="E27" s="1" t="s">
        <v>5796</v>
      </c>
    </row>
    <row r="28" spans="1:5">
      <c r="A28" s="5" t="s">
        <v>5807</v>
      </c>
      <c r="B28" s="6" t="s">
        <v>78</v>
      </c>
      <c r="C28" s="5" t="s">
        <v>479</v>
      </c>
      <c r="E28" s="12" t="s">
        <v>5830</v>
      </c>
    </row>
    <row r="29" spans="1:5">
      <c r="A29" s="5" t="s">
        <v>5807</v>
      </c>
      <c r="B29" s="6" t="s">
        <v>78</v>
      </c>
      <c r="C29" s="5" t="s">
        <v>870</v>
      </c>
      <c r="E29" s="12" t="s">
        <v>5831</v>
      </c>
    </row>
    <row r="30" spans="1:5">
      <c r="A30" s="5" t="s">
        <v>5807</v>
      </c>
      <c r="B30" s="6" t="s">
        <v>78</v>
      </c>
      <c r="C30" s="5" t="s">
        <v>79</v>
      </c>
      <c r="E30" s="12" t="s">
        <v>5832</v>
      </c>
    </row>
    <row r="31" spans="1:5">
      <c r="A31" s="5" t="s">
        <v>5807</v>
      </c>
      <c r="B31" s="6" t="s">
        <v>78</v>
      </c>
      <c r="C31" s="5" t="s">
        <v>197</v>
      </c>
      <c r="E31" s="12" t="s">
        <v>5833</v>
      </c>
    </row>
    <row r="32" spans="1:5">
      <c r="A32" s="5" t="s">
        <v>5807</v>
      </c>
      <c r="B32" s="6" t="s">
        <v>78</v>
      </c>
      <c r="C32" s="5" t="s">
        <v>223</v>
      </c>
      <c r="E32" s="12" t="s">
        <v>5834</v>
      </c>
    </row>
    <row r="33" spans="1:5">
      <c r="A33" s="5" t="s">
        <v>5807</v>
      </c>
      <c r="B33" s="6" t="s">
        <v>78</v>
      </c>
      <c r="C33" s="5" t="s">
        <v>555</v>
      </c>
      <c r="E33" s="15" t="s">
        <v>5835</v>
      </c>
    </row>
    <row r="34" spans="1:5">
      <c r="A34" s="5" t="s">
        <v>5807</v>
      </c>
      <c r="B34" s="6" t="s">
        <v>78</v>
      </c>
      <c r="C34" s="5" t="s">
        <v>88</v>
      </c>
      <c r="E34" s="12" t="s">
        <v>5836</v>
      </c>
    </row>
    <row r="35" spans="1:5">
      <c r="A35" s="5" t="s">
        <v>5807</v>
      </c>
      <c r="B35" s="5" t="s">
        <v>39</v>
      </c>
      <c r="C35" s="5" t="s">
        <v>3453</v>
      </c>
      <c r="D35" s="5" t="s">
        <v>5837</v>
      </c>
      <c r="E35" s="13" t="s">
        <v>4019</v>
      </c>
    </row>
    <row r="36" spans="1:5">
      <c r="A36" s="5" t="s">
        <v>5807</v>
      </c>
      <c r="B36" s="5" t="s">
        <v>39</v>
      </c>
      <c r="C36" s="5" t="s">
        <v>3499</v>
      </c>
      <c r="E36" s="1" t="s">
        <v>3501</v>
      </c>
    </row>
    <row r="37" spans="1:5">
      <c r="A37" s="5" t="s">
        <v>5807</v>
      </c>
      <c r="B37" s="5" t="s">
        <v>39</v>
      </c>
      <c r="C37" s="5" t="s">
        <v>3354</v>
      </c>
      <c r="E37" s="1" t="s">
        <v>3440</v>
      </c>
    </row>
    <row r="38" spans="1:5">
      <c r="A38" s="5" t="s">
        <v>5807</v>
      </c>
      <c r="B38" s="5" t="s">
        <v>39</v>
      </c>
      <c r="C38" s="5" t="s">
        <v>40</v>
      </c>
      <c r="E38" s="1" t="s">
        <v>1339</v>
      </c>
    </row>
    <row r="39" spans="1:5">
      <c r="A39" s="5"/>
      <c r="C39" s="5"/>
      <c r="E39" s="12"/>
    </row>
    <row r="40" spans="1:5">
      <c r="A40" s="5" t="s">
        <v>5838</v>
      </c>
      <c r="C40" s="5" t="s">
        <v>2903</v>
      </c>
      <c r="E40" s="12" t="s">
        <v>5839</v>
      </c>
    </row>
    <row r="41" spans="1:5">
      <c r="A41" s="5" t="s">
        <v>5838</v>
      </c>
      <c r="C41" s="5" t="s">
        <v>5840</v>
      </c>
      <c r="D41" s="5" t="s">
        <v>5841</v>
      </c>
      <c r="E41" s="12" t="s">
        <v>5842</v>
      </c>
    </row>
    <row r="42" spans="1:5">
      <c r="A42" s="5" t="s">
        <v>5838</v>
      </c>
      <c r="C42" s="5" t="s">
        <v>5843</v>
      </c>
      <c r="E42" s="12" t="s">
        <v>3110</v>
      </c>
    </row>
    <row r="43" spans="1:5">
      <c r="A43" s="5" t="s">
        <v>5838</v>
      </c>
      <c r="C43" s="5" t="s">
        <v>5844</v>
      </c>
      <c r="E43" s="12" t="s">
        <v>4900</v>
      </c>
    </row>
    <row r="44" spans="1:5">
      <c r="A44" s="5" t="s">
        <v>5838</v>
      </c>
      <c r="C44" s="5" t="s">
        <v>5845</v>
      </c>
      <c r="E44" s="13" t="s">
        <v>5287</v>
      </c>
    </row>
    <row r="45" spans="1:5">
      <c r="E45" s="5"/>
    </row>
    <row r="46" spans="1:5">
      <c r="E46" s="5"/>
    </row>
    <row r="47" spans="1:5">
      <c r="E47" s="5"/>
    </row>
    <row r="48" spans="1:5">
      <c r="E48" s="5"/>
    </row>
    <row r="49" spans="4:5">
      <c r="E49" s="5"/>
    </row>
    <row r="50" spans="4:5">
      <c r="E50" s="5"/>
    </row>
    <row r="51" spans="4:5">
      <c r="D51" s="5" t="s">
        <v>5846</v>
      </c>
      <c r="E51" s="5"/>
    </row>
    <row r="52" spans="4:5">
      <c r="D52" s="5" t="s">
        <v>5847</v>
      </c>
      <c r="E52" s="5"/>
    </row>
    <row r="53" spans="4:5">
      <c r="D53" s="5" t="s">
        <v>5848</v>
      </c>
      <c r="E53" s="5"/>
    </row>
    <row r="54" spans="4:5">
      <c r="E54" s="5"/>
    </row>
    <row r="55" spans="4:5">
      <c r="E55" s="5"/>
    </row>
    <row r="56" spans="4:5">
      <c r="E56" s="5"/>
    </row>
    <row r="57" spans="4:5">
      <c r="E57" s="5"/>
    </row>
    <row r="58" spans="4:5">
      <c r="E58" s="5"/>
    </row>
    <row r="59" spans="4:5">
      <c r="E59" s="5"/>
    </row>
    <row r="60" spans="4:5">
      <c r="E60" s="5"/>
    </row>
    <row r="61" spans="4:5">
      <c r="E61" s="5"/>
    </row>
    <row r="62" spans="4:5">
      <c r="E62" s="5"/>
    </row>
    <row r="63" spans="4:5">
      <c r="E63" s="5"/>
    </row>
    <row r="64" spans="4:5">
      <c r="E64" s="5"/>
    </row>
    <row r="65" spans="5:5">
      <c r="E65" s="5"/>
    </row>
    <row r="66" spans="5:5">
      <c r="E66" s="5"/>
    </row>
    <row r="67" spans="5:5">
      <c r="E67" s="5"/>
    </row>
    <row r="68" spans="5:5">
      <c r="E68" s="5"/>
    </row>
    <row r="69" spans="5:5">
      <c r="E69" s="5"/>
    </row>
    <row r="70" spans="5:5">
      <c r="E70" s="5"/>
    </row>
    <row r="71" spans="5:5">
      <c r="E71" s="5"/>
    </row>
    <row r="72" spans="5:5">
      <c r="E72" s="5"/>
    </row>
    <row r="73" spans="5:5">
      <c r="E73" s="5"/>
    </row>
    <row r="74" spans="5:5">
      <c r="E74" s="5"/>
    </row>
    <row r="75" spans="5:5">
      <c r="E75" s="5"/>
    </row>
    <row r="76" spans="5:5">
      <c r="E76" s="5"/>
    </row>
    <row r="77" spans="5:5">
      <c r="E77" s="5"/>
    </row>
    <row r="78" spans="5:5">
      <c r="E78" s="5"/>
    </row>
    <row r="79" spans="5:5">
      <c r="E79" s="5"/>
    </row>
    <row r="80" spans="5:5">
      <c r="E80" s="5"/>
    </row>
    <row r="81" spans="5:5">
      <c r="E81" s="5"/>
    </row>
    <row r="82" spans="5:5">
      <c r="E82" s="5"/>
    </row>
    <row r="83" spans="5:5">
      <c r="E83" s="5"/>
    </row>
    <row r="84" spans="5:5">
      <c r="E84" s="5"/>
    </row>
    <row r="85" spans="5:5">
      <c r="E85" s="5"/>
    </row>
    <row r="86" spans="5:5">
      <c r="E86" s="5"/>
    </row>
    <row r="87" spans="5:5">
      <c r="E87" s="5"/>
    </row>
    <row r="88" spans="5:5">
      <c r="E88" s="5"/>
    </row>
    <row r="89" spans="5:5">
      <c r="E89" s="5"/>
    </row>
    <row r="90" spans="5:5">
      <c r="E90" s="5"/>
    </row>
    <row r="91" spans="5:5">
      <c r="E91" s="5"/>
    </row>
    <row r="92" spans="5:5">
      <c r="E92" s="5"/>
    </row>
    <row r="93" spans="5:5">
      <c r="E93" s="5"/>
    </row>
    <row r="94" spans="5:5">
      <c r="E94" s="5"/>
    </row>
    <row r="95" spans="5:5">
      <c r="E95" s="5"/>
    </row>
    <row r="96" spans="5:5">
      <c r="E96" s="5"/>
    </row>
    <row r="97" spans="5:5">
      <c r="E97" s="5"/>
    </row>
    <row r="98" spans="5:5">
      <c r="E98" s="5"/>
    </row>
    <row r="99" spans="5:5">
      <c r="E99" s="5"/>
    </row>
    <row r="100" spans="5:5">
      <c r="E100" s="5"/>
    </row>
    <row r="101" spans="5:5">
      <c r="E101" s="5"/>
    </row>
    <row r="102" spans="5:5">
      <c r="E102" s="5"/>
    </row>
    <row r="103" spans="5:5">
      <c r="E103" s="5"/>
    </row>
    <row r="104" spans="5:5">
      <c r="E104" s="5"/>
    </row>
    <row r="105" spans="5:5">
      <c r="E105" s="5"/>
    </row>
    <row r="106" spans="5:5">
      <c r="E106" s="5"/>
    </row>
    <row r="107" spans="5:5">
      <c r="E107" s="5"/>
    </row>
    <row r="108" spans="5:5">
      <c r="E108" s="5"/>
    </row>
    <row r="109" spans="5:5">
      <c r="E109" s="5"/>
    </row>
    <row r="110" spans="5:5">
      <c r="E110" s="5"/>
    </row>
    <row r="111" spans="5:5">
      <c r="E111" s="5"/>
    </row>
    <row r="112" spans="5:5">
      <c r="E112" s="5"/>
    </row>
    <row r="113" spans="5:5">
      <c r="E113" s="5"/>
    </row>
    <row r="114" spans="5:5">
      <c r="E114" s="5"/>
    </row>
    <row r="115" spans="5:5">
      <c r="E115" s="5"/>
    </row>
    <row r="116" spans="5:5">
      <c r="E116" s="5"/>
    </row>
    <row r="117" spans="5:5">
      <c r="E117" s="5"/>
    </row>
    <row r="118" spans="5:5">
      <c r="E118" s="5"/>
    </row>
    <row r="119" spans="5:5">
      <c r="E119" s="5"/>
    </row>
    <row r="120" spans="5:5">
      <c r="E120" s="5"/>
    </row>
    <row r="121" spans="5:5">
      <c r="E121" s="5"/>
    </row>
    <row r="122" spans="5:5">
      <c r="E122" s="5"/>
    </row>
    <row r="123" spans="5:5">
      <c r="E123" s="5"/>
    </row>
    <row r="124" spans="5:5">
      <c r="E124" s="5"/>
    </row>
    <row r="125" spans="5:5">
      <c r="E125" s="5"/>
    </row>
    <row r="126" spans="5:5">
      <c r="E126" s="5"/>
    </row>
    <row r="127" spans="5:5">
      <c r="E127" s="5"/>
    </row>
    <row r="128" spans="5:5">
      <c r="E128" s="5"/>
    </row>
    <row r="129" spans="5:5">
      <c r="E129" s="5"/>
    </row>
    <row r="130" spans="5:5">
      <c r="E130" s="5"/>
    </row>
    <row r="131" spans="5:5">
      <c r="E131" s="5"/>
    </row>
    <row r="132" spans="5:5">
      <c r="E132" s="5"/>
    </row>
    <row r="133" spans="5:5">
      <c r="E133" s="5"/>
    </row>
    <row r="134" spans="5:5">
      <c r="E134" s="5"/>
    </row>
    <row r="135" spans="5:5">
      <c r="E135" s="5"/>
    </row>
    <row r="136" spans="5:5">
      <c r="E136" s="5"/>
    </row>
    <row r="137" spans="5:5">
      <c r="E137" s="5"/>
    </row>
    <row r="138" spans="5:5">
      <c r="E138" s="5"/>
    </row>
    <row r="139" spans="5:5">
      <c r="E139" s="5"/>
    </row>
    <row r="140" spans="5:5">
      <c r="E140" s="5"/>
    </row>
    <row r="141" spans="5:5">
      <c r="E141" s="5"/>
    </row>
    <row r="142" spans="5:5">
      <c r="E142" s="5"/>
    </row>
    <row r="143" spans="5:5">
      <c r="E143" s="5"/>
    </row>
    <row r="144" spans="5:5">
      <c r="E144" s="5"/>
    </row>
    <row r="145" spans="5:5">
      <c r="E145" s="5"/>
    </row>
    <row r="146" spans="5:5">
      <c r="E146" s="5"/>
    </row>
    <row r="147" spans="5:5">
      <c r="E147" s="5"/>
    </row>
    <row r="148" spans="5:5">
      <c r="E148" s="5"/>
    </row>
    <row r="149" spans="5:5">
      <c r="E149" s="5"/>
    </row>
    <row r="150" spans="5:5">
      <c r="E150" s="5"/>
    </row>
    <row r="151" spans="5:5">
      <c r="E151" s="5"/>
    </row>
    <row r="152" spans="5:5">
      <c r="E152" s="5"/>
    </row>
    <row r="153" spans="5:5">
      <c r="E153" s="5"/>
    </row>
    <row r="154" spans="5:5">
      <c r="E154" s="5"/>
    </row>
    <row r="155" spans="5:5">
      <c r="E155" s="5"/>
    </row>
    <row r="156" spans="5:5">
      <c r="E156" s="5"/>
    </row>
    <row r="157" spans="5:5">
      <c r="E157" s="5"/>
    </row>
    <row r="158" spans="5:5">
      <c r="E158" s="5"/>
    </row>
    <row r="159" spans="5:5">
      <c r="E159" s="5"/>
    </row>
    <row r="160" spans="5:5">
      <c r="E160" s="5"/>
    </row>
    <row r="161" spans="5:5">
      <c r="E161" s="5"/>
    </row>
    <row r="162" spans="5:5">
      <c r="E162" s="5"/>
    </row>
    <row r="163" spans="5:5">
      <c r="E163" s="5"/>
    </row>
    <row r="164" spans="5:5">
      <c r="E164" s="5"/>
    </row>
    <row r="165" spans="5:5">
      <c r="E165" s="5"/>
    </row>
    <row r="166" spans="5:5">
      <c r="E166" s="5"/>
    </row>
    <row r="167" spans="5:5">
      <c r="E167" s="5"/>
    </row>
    <row r="168" spans="5:5">
      <c r="E168" s="5"/>
    </row>
    <row r="169" spans="5:5">
      <c r="E169" s="5"/>
    </row>
    <row r="170" spans="5:5">
      <c r="E170" s="5"/>
    </row>
    <row r="171" spans="5:5">
      <c r="E171" s="5"/>
    </row>
    <row r="172" spans="5:5">
      <c r="E172" s="5"/>
    </row>
    <row r="173" spans="5:5">
      <c r="E173" s="5"/>
    </row>
    <row r="174" spans="5:5">
      <c r="E174" s="5"/>
    </row>
    <row r="175" spans="5:5">
      <c r="E175" s="5"/>
    </row>
    <row r="176" spans="5:5">
      <c r="E176" s="5"/>
    </row>
    <row r="177" spans="5:5">
      <c r="E177" s="5"/>
    </row>
    <row r="178" spans="5:5">
      <c r="E178" s="5"/>
    </row>
    <row r="179" spans="5:5">
      <c r="E179" s="5"/>
    </row>
    <row r="180" spans="5:5">
      <c r="E180" s="5"/>
    </row>
    <row r="181" spans="5:5">
      <c r="E181" s="5"/>
    </row>
    <row r="182" spans="5:5">
      <c r="E182" s="5"/>
    </row>
    <row r="183" spans="5:5">
      <c r="E183" s="5"/>
    </row>
    <row r="184" spans="5:5">
      <c r="E184" s="5"/>
    </row>
    <row r="185" spans="5:5">
      <c r="E185" s="5"/>
    </row>
    <row r="186" spans="5:5">
      <c r="E186" s="5"/>
    </row>
    <row r="187" spans="5:5">
      <c r="E187" s="5"/>
    </row>
    <row r="188" spans="5:5">
      <c r="E188" s="5"/>
    </row>
    <row r="189" spans="5:5">
      <c r="E189" s="5"/>
    </row>
    <row r="190" spans="5:5">
      <c r="E190" s="5"/>
    </row>
    <row r="191" spans="5:5">
      <c r="E191" s="5"/>
    </row>
    <row r="192" spans="5:5">
      <c r="E192" s="5"/>
    </row>
    <row r="193" spans="5:5">
      <c r="E193" s="5"/>
    </row>
    <row r="194" spans="5:5">
      <c r="E194" s="5"/>
    </row>
    <row r="195" spans="5:5">
      <c r="E195" s="5"/>
    </row>
    <row r="196" spans="5:5">
      <c r="E196" s="5"/>
    </row>
    <row r="197" spans="5:5">
      <c r="E197" s="5"/>
    </row>
    <row r="198" spans="5:5">
      <c r="E198" s="5"/>
    </row>
    <row r="199" spans="5:5">
      <c r="E199" s="5"/>
    </row>
    <row r="200" spans="5:5">
      <c r="E200" s="5"/>
    </row>
    <row r="201" spans="5:5">
      <c r="E201" s="5"/>
    </row>
    <row r="202" spans="5:5">
      <c r="E202" s="5"/>
    </row>
    <row r="203" spans="5:5">
      <c r="E203" s="5"/>
    </row>
    <row r="204" spans="5:5">
      <c r="E204" s="5"/>
    </row>
    <row r="205" spans="5:5">
      <c r="E205" s="5"/>
    </row>
    <row r="206" spans="5:5">
      <c r="E206" s="5"/>
    </row>
    <row r="207" spans="5:5">
      <c r="E207" s="5"/>
    </row>
    <row r="208" spans="5:5">
      <c r="E208" s="5"/>
    </row>
    <row r="209" spans="5:5">
      <c r="E209" s="5"/>
    </row>
    <row r="210" spans="5:5">
      <c r="E210" s="5"/>
    </row>
    <row r="211" spans="5:5">
      <c r="E211" s="5"/>
    </row>
    <row r="212" spans="5:5">
      <c r="E212" s="5"/>
    </row>
    <row r="213" spans="5:5">
      <c r="E213" s="5"/>
    </row>
    <row r="214" spans="5:5">
      <c r="E214" s="5"/>
    </row>
    <row r="215" spans="5:5">
      <c r="E215" s="5"/>
    </row>
    <row r="216" spans="5:5">
      <c r="E216" s="5"/>
    </row>
    <row r="217" spans="5:5">
      <c r="E217" s="5"/>
    </row>
    <row r="218" spans="5:5">
      <c r="E218" s="5"/>
    </row>
    <row r="219" spans="5:5">
      <c r="E219" s="5"/>
    </row>
    <row r="220" spans="5:5">
      <c r="E220" s="5"/>
    </row>
    <row r="221" spans="5:5">
      <c r="E221" s="5"/>
    </row>
    <row r="222" spans="5:5">
      <c r="E222" s="5"/>
    </row>
    <row r="223" spans="5:5">
      <c r="E223" s="5"/>
    </row>
    <row r="224" spans="5:5">
      <c r="E224" s="5"/>
    </row>
    <row r="225" spans="5:5">
      <c r="E225" s="5"/>
    </row>
    <row r="226" spans="5:5">
      <c r="E226" s="5"/>
    </row>
    <row r="227" spans="5:5">
      <c r="E227" s="5"/>
    </row>
    <row r="228" spans="5:5">
      <c r="E228" s="5"/>
    </row>
    <row r="229" spans="5:5">
      <c r="E229" s="5"/>
    </row>
    <row r="230" spans="5:5">
      <c r="E230" s="5"/>
    </row>
    <row r="231" spans="5:5">
      <c r="E231" s="5"/>
    </row>
    <row r="232" spans="5:5">
      <c r="E232" s="5"/>
    </row>
    <row r="233" spans="5:5">
      <c r="E233" s="5"/>
    </row>
    <row r="234" spans="5:5">
      <c r="E234" s="5"/>
    </row>
    <row r="235" spans="5:5">
      <c r="E235" s="5"/>
    </row>
    <row r="236" spans="5:5">
      <c r="E236" s="5"/>
    </row>
    <row r="237" spans="5:5">
      <c r="E237" s="5"/>
    </row>
    <row r="238" spans="5:5">
      <c r="E238" s="5"/>
    </row>
    <row r="239" spans="5:5">
      <c r="E239" s="5"/>
    </row>
    <row r="240" spans="5:5">
      <c r="E240" s="5"/>
    </row>
    <row r="241" spans="5:5">
      <c r="E241" s="5"/>
    </row>
    <row r="242" spans="5:5">
      <c r="E242" s="5"/>
    </row>
    <row r="243" spans="5:5">
      <c r="E243" s="5"/>
    </row>
    <row r="244" spans="5:5">
      <c r="E244" s="5"/>
    </row>
    <row r="245" spans="5:5">
      <c r="E245" s="5"/>
    </row>
    <row r="246" spans="5:5">
      <c r="E246" s="5"/>
    </row>
    <row r="247" spans="5:5">
      <c r="E247" s="5"/>
    </row>
    <row r="248" spans="5:5">
      <c r="E248" s="5"/>
    </row>
    <row r="249" spans="5:5">
      <c r="E249" s="5"/>
    </row>
    <row r="250" spans="5:5">
      <c r="E250" s="5"/>
    </row>
    <row r="251" spans="5:5">
      <c r="E251" s="5"/>
    </row>
    <row r="252" spans="5:5">
      <c r="E252" s="5"/>
    </row>
    <row r="253" spans="5:5">
      <c r="E253" s="5"/>
    </row>
    <row r="254" spans="5:5">
      <c r="E254" s="5"/>
    </row>
    <row r="255" spans="5:5">
      <c r="E255" s="5"/>
    </row>
    <row r="256" spans="5:5">
      <c r="E256" s="5"/>
    </row>
    <row r="257" spans="5:5">
      <c r="E257" s="5"/>
    </row>
    <row r="258" spans="5:5">
      <c r="E258" s="5"/>
    </row>
    <row r="259" spans="5:5">
      <c r="E259" s="5"/>
    </row>
    <row r="260" spans="5:5">
      <c r="E260" s="5"/>
    </row>
    <row r="261" spans="5:5">
      <c r="E261" s="5"/>
    </row>
    <row r="262" spans="5:5">
      <c r="E262" s="5"/>
    </row>
    <row r="263" spans="5:5">
      <c r="E263" s="5"/>
    </row>
    <row r="264" spans="5:5">
      <c r="E264" s="5"/>
    </row>
    <row r="265" spans="5:5">
      <c r="E265" s="5"/>
    </row>
    <row r="266" spans="5:5">
      <c r="E266" s="5"/>
    </row>
    <row r="267" spans="5:5">
      <c r="E267" s="5"/>
    </row>
    <row r="268" spans="5:5">
      <c r="E268" s="5"/>
    </row>
    <row r="269" spans="5:5">
      <c r="E269" s="5"/>
    </row>
    <row r="270" spans="5:5">
      <c r="E270" s="5"/>
    </row>
    <row r="271" spans="5:5">
      <c r="E271" s="5"/>
    </row>
    <row r="272" spans="5:5">
      <c r="E272" s="5"/>
    </row>
    <row r="273" spans="5:5">
      <c r="E273" s="5"/>
    </row>
    <row r="274" spans="5:5">
      <c r="E274" s="5"/>
    </row>
    <row r="275" spans="5:5">
      <c r="E275" s="5"/>
    </row>
    <row r="276" spans="5:5">
      <c r="E276" s="5"/>
    </row>
    <row r="277" spans="5:5">
      <c r="E277" s="5"/>
    </row>
    <row r="278" spans="5:5">
      <c r="E278" s="5"/>
    </row>
    <row r="279" spans="5:5">
      <c r="E279" s="5"/>
    </row>
    <row r="280" spans="5:5">
      <c r="E280" s="5"/>
    </row>
    <row r="281" spans="5:5">
      <c r="E281" s="5"/>
    </row>
    <row r="282" spans="5:5">
      <c r="E282" s="5"/>
    </row>
    <row r="283" spans="5:5">
      <c r="E283" s="5"/>
    </row>
    <row r="284" spans="5:5">
      <c r="E284" s="5"/>
    </row>
    <row r="285" spans="5:5">
      <c r="E285" s="5"/>
    </row>
    <row r="286" spans="5:5">
      <c r="E286" s="5"/>
    </row>
    <row r="287" spans="5:5">
      <c r="E287" s="5"/>
    </row>
    <row r="288" spans="5:5">
      <c r="E288" s="5"/>
    </row>
    <row r="289" spans="5:5">
      <c r="E289" s="5"/>
    </row>
    <row r="290" spans="5:5">
      <c r="E290" s="5"/>
    </row>
    <row r="291" spans="5:5">
      <c r="E291" s="5"/>
    </row>
    <row r="292" spans="5:5">
      <c r="E292" s="5"/>
    </row>
    <row r="293" spans="5:5">
      <c r="E293" s="5"/>
    </row>
    <row r="294" spans="5:5">
      <c r="E294" s="5"/>
    </row>
    <row r="295" spans="5:5">
      <c r="E295" s="5"/>
    </row>
    <row r="296" spans="5:5">
      <c r="E296" s="5"/>
    </row>
    <row r="297" spans="5:5">
      <c r="E297" s="5"/>
    </row>
    <row r="298" spans="5:5">
      <c r="E298" s="5"/>
    </row>
    <row r="299" spans="5:5">
      <c r="E299" s="5"/>
    </row>
    <row r="300" spans="5:5">
      <c r="E300" s="5"/>
    </row>
    <row r="301" spans="5:5">
      <c r="E301" s="5"/>
    </row>
    <row r="302" spans="5:5">
      <c r="E302" s="5"/>
    </row>
    <row r="303" spans="5:5">
      <c r="E303" s="5"/>
    </row>
    <row r="304" spans="5:5">
      <c r="E304" s="5"/>
    </row>
    <row r="305" spans="5:5">
      <c r="E305" s="5"/>
    </row>
    <row r="306" spans="5:5">
      <c r="E306" s="5"/>
    </row>
    <row r="307" spans="5:5">
      <c r="E307" s="5"/>
    </row>
    <row r="308" spans="5:5">
      <c r="E308" s="5"/>
    </row>
    <row r="309" spans="5:5">
      <c r="E309" s="5"/>
    </row>
    <row r="310" spans="5:5">
      <c r="E310" s="5"/>
    </row>
    <row r="311" spans="5:5">
      <c r="E311" s="5"/>
    </row>
    <row r="312" spans="5:5">
      <c r="E312" s="5"/>
    </row>
    <row r="313" spans="5:5">
      <c r="E313" s="5"/>
    </row>
    <row r="314" spans="5:5">
      <c r="E314" s="5"/>
    </row>
    <row r="315" spans="5:5">
      <c r="E315" s="5"/>
    </row>
    <row r="316" spans="5:5">
      <c r="E316" s="5"/>
    </row>
    <row r="317" spans="5:5">
      <c r="E317" s="5"/>
    </row>
    <row r="318" spans="5:5">
      <c r="E318" s="5"/>
    </row>
    <row r="319" spans="5:5">
      <c r="E319" s="5"/>
    </row>
    <row r="320" spans="5:5">
      <c r="E320" s="5"/>
    </row>
    <row r="321" spans="5:5">
      <c r="E321" s="5"/>
    </row>
    <row r="322" spans="5:5">
      <c r="E322" s="5"/>
    </row>
    <row r="323" spans="5:5">
      <c r="E323" s="5"/>
    </row>
    <row r="324" spans="5:5">
      <c r="E324" s="5"/>
    </row>
    <row r="325" spans="5:5">
      <c r="E325" s="5"/>
    </row>
    <row r="326" spans="5:5">
      <c r="E326" s="5"/>
    </row>
    <row r="327" spans="5:5">
      <c r="E327" s="5"/>
    </row>
    <row r="328" spans="5:5">
      <c r="E328" s="5"/>
    </row>
    <row r="329" spans="5:5">
      <c r="E329" s="5"/>
    </row>
    <row r="330" spans="5:5">
      <c r="E330" s="5"/>
    </row>
    <row r="331" spans="5:5">
      <c r="E331" s="5"/>
    </row>
    <row r="332" spans="5:5">
      <c r="E332" s="5"/>
    </row>
    <row r="333" spans="5:5">
      <c r="E333" s="5"/>
    </row>
    <row r="334" spans="5:5">
      <c r="E334" s="5"/>
    </row>
    <row r="335" spans="5:5">
      <c r="E335" s="5"/>
    </row>
    <row r="336" spans="5:5">
      <c r="E336" s="5"/>
    </row>
    <row r="337" spans="5:5">
      <c r="E337" s="5"/>
    </row>
    <row r="338" spans="5:5">
      <c r="E338" s="5"/>
    </row>
    <row r="339" spans="5:5">
      <c r="E339" s="5"/>
    </row>
    <row r="340" spans="5:5">
      <c r="E340" s="5"/>
    </row>
    <row r="341" spans="5:5">
      <c r="E341" s="5"/>
    </row>
    <row r="342" spans="5:5">
      <c r="E342" s="5"/>
    </row>
    <row r="343" spans="5:5">
      <c r="E343" s="5"/>
    </row>
    <row r="344" spans="5:5">
      <c r="E344" s="5"/>
    </row>
    <row r="345" spans="5:5">
      <c r="E345" s="5"/>
    </row>
    <row r="346" spans="5:5">
      <c r="E346" s="5"/>
    </row>
    <row r="347" spans="5:5">
      <c r="E347" s="5"/>
    </row>
    <row r="348" spans="5:5">
      <c r="E348" s="5"/>
    </row>
    <row r="349" spans="5:5">
      <c r="E349" s="5"/>
    </row>
    <row r="350" spans="5:5">
      <c r="E350" s="5"/>
    </row>
    <row r="351" spans="5:5">
      <c r="E351" s="5"/>
    </row>
    <row r="352" spans="5:5">
      <c r="E352" s="5"/>
    </row>
    <row r="353" spans="5:5">
      <c r="E353" s="5"/>
    </row>
    <row r="354" spans="5:5">
      <c r="E354" s="5"/>
    </row>
    <row r="355" spans="5:5">
      <c r="E355" s="5"/>
    </row>
    <row r="356" spans="5:5">
      <c r="E356" s="5"/>
    </row>
    <row r="357" spans="5:5">
      <c r="E357" s="5"/>
    </row>
    <row r="358" spans="5:5">
      <c r="E358" s="5"/>
    </row>
    <row r="359" spans="5:5">
      <c r="E359" s="5"/>
    </row>
    <row r="360" spans="5:5">
      <c r="E360" s="5"/>
    </row>
    <row r="361" spans="5:5">
      <c r="E361" s="5"/>
    </row>
    <row r="362" spans="5:5">
      <c r="E362" s="5"/>
    </row>
    <row r="363" spans="5:5">
      <c r="E363" s="5"/>
    </row>
    <row r="364" spans="5:5">
      <c r="E364" s="5"/>
    </row>
    <row r="365" spans="5:5">
      <c r="E365" s="5"/>
    </row>
    <row r="366" spans="5:5">
      <c r="E366" s="5"/>
    </row>
    <row r="367" spans="5:5">
      <c r="E367" s="5"/>
    </row>
    <row r="368" spans="5:5">
      <c r="E368" s="5"/>
    </row>
    <row r="369" spans="5:5">
      <c r="E369" s="5"/>
    </row>
    <row r="370" spans="5:5">
      <c r="E370" s="5"/>
    </row>
    <row r="371" spans="5:5">
      <c r="E371" s="5"/>
    </row>
    <row r="372" spans="5:5">
      <c r="E372" s="5"/>
    </row>
    <row r="373" spans="5:5">
      <c r="E373" s="5"/>
    </row>
    <row r="374" spans="5:5">
      <c r="E374" s="5"/>
    </row>
    <row r="375" spans="5:5">
      <c r="E375" s="5"/>
    </row>
    <row r="376" spans="5:5">
      <c r="E376" s="5"/>
    </row>
    <row r="377" spans="5:5">
      <c r="E377" s="5"/>
    </row>
    <row r="378" spans="5:5">
      <c r="E378" s="5"/>
    </row>
    <row r="379" spans="5:5">
      <c r="E379" s="5"/>
    </row>
    <row r="380" spans="5:5">
      <c r="E380" s="5"/>
    </row>
    <row r="381" spans="5:5">
      <c r="E381" s="5"/>
    </row>
    <row r="382" spans="5:5">
      <c r="E382" s="5"/>
    </row>
    <row r="383" spans="5:5">
      <c r="E383" s="5"/>
    </row>
    <row r="384" spans="5:5">
      <c r="E384" s="5"/>
    </row>
    <row r="385" spans="5:5">
      <c r="E385" s="5"/>
    </row>
    <row r="386" spans="5:5">
      <c r="E386" s="5"/>
    </row>
    <row r="387" spans="5:5">
      <c r="E387" s="5"/>
    </row>
    <row r="388" spans="5:5">
      <c r="E388" s="5"/>
    </row>
    <row r="389" spans="5:5">
      <c r="E389" s="5"/>
    </row>
    <row r="390" spans="5:5">
      <c r="E390" s="5"/>
    </row>
    <row r="391" spans="5:5">
      <c r="E391" s="5"/>
    </row>
    <row r="392" spans="5:5">
      <c r="E392" s="5"/>
    </row>
    <row r="393" spans="5:5">
      <c r="E393" s="5"/>
    </row>
    <row r="394" spans="5:5">
      <c r="E394" s="5"/>
    </row>
    <row r="395" spans="5:5">
      <c r="E395" s="5"/>
    </row>
    <row r="396" spans="5:5">
      <c r="E396" s="5"/>
    </row>
    <row r="397" spans="5:5">
      <c r="E397" s="5"/>
    </row>
    <row r="398" spans="5:5">
      <c r="E398" s="5"/>
    </row>
    <row r="399" spans="5:5">
      <c r="E399" s="5"/>
    </row>
    <row r="400" spans="5:5">
      <c r="E400" s="5"/>
    </row>
    <row r="401" spans="5:5">
      <c r="E401" s="5"/>
    </row>
    <row r="402" spans="5:5">
      <c r="E402" s="5"/>
    </row>
    <row r="403" spans="5:5">
      <c r="E403" s="5"/>
    </row>
    <row r="404" spans="5:5">
      <c r="E404" s="5"/>
    </row>
    <row r="405" spans="5:5">
      <c r="E405" s="5"/>
    </row>
    <row r="406" spans="5:5">
      <c r="E406" s="5"/>
    </row>
    <row r="407" spans="5:5">
      <c r="E407" s="5"/>
    </row>
    <row r="408" spans="5:5">
      <c r="E408" s="5"/>
    </row>
    <row r="409" spans="5:5">
      <c r="E409" s="5"/>
    </row>
    <row r="410" spans="5:5">
      <c r="E410" s="5"/>
    </row>
    <row r="411" spans="5:5">
      <c r="E411" s="5"/>
    </row>
    <row r="412" spans="5:5">
      <c r="E412" s="5"/>
    </row>
    <row r="413" spans="5:5">
      <c r="E413" s="5"/>
    </row>
    <row r="414" spans="5:5">
      <c r="E414" s="5"/>
    </row>
    <row r="415" spans="5:5">
      <c r="E415" s="5"/>
    </row>
    <row r="416" spans="5:5">
      <c r="E416" s="5"/>
    </row>
    <row r="417" spans="5:5">
      <c r="E417" s="5"/>
    </row>
    <row r="418" spans="5:5">
      <c r="E418" s="5"/>
    </row>
    <row r="419" spans="5:5">
      <c r="E419" s="5"/>
    </row>
    <row r="420" spans="5:5">
      <c r="E420" s="5"/>
    </row>
    <row r="421" spans="5:5">
      <c r="E421" s="5"/>
    </row>
    <row r="422" spans="5:5">
      <c r="E422" s="5"/>
    </row>
    <row r="423" spans="5:5">
      <c r="E423" s="5"/>
    </row>
    <row r="424" spans="5:5">
      <c r="E424" s="5"/>
    </row>
    <row r="425" spans="5:5">
      <c r="E425" s="5"/>
    </row>
    <row r="426" spans="5:5">
      <c r="E426" s="5"/>
    </row>
    <row r="427" spans="5:5">
      <c r="E427" s="5"/>
    </row>
    <row r="428" spans="5:5">
      <c r="E428" s="5"/>
    </row>
    <row r="429" spans="5:5">
      <c r="E429" s="5"/>
    </row>
    <row r="430" spans="5:5">
      <c r="E430" s="5"/>
    </row>
    <row r="431" spans="5:5">
      <c r="E431" s="5"/>
    </row>
    <row r="432" spans="5:5">
      <c r="E432" s="5"/>
    </row>
    <row r="433" spans="5:5">
      <c r="E433" s="5"/>
    </row>
    <row r="434" spans="5:5">
      <c r="E434" s="5"/>
    </row>
    <row r="435" spans="5:5">
      <c r="E435" s="5"/>
    </row>
    <row r="436" spans="5:5">
      <c r="E436" s="5"/>
    </row>
    <row r="437" spans="5:5">
      <c r="E437" s="5"/>
    </row>
    <row r="438" spans="5:5">
      <c r="E438" s="5"/>
    </row>
    <row r="439" spans="5:5">
      <c r="E439" s="5"/>
    </row>
    <row r="440" spans="5:5">
      <c r="E440" s="5"/>
    </row>
    <row r="441" spans="5:5">
      <c r="E441" s="5"/>
    </row>
    <row r="442" spans="5:5">
      <c r="E442" s="5"/>
    </row>
    <row r="443" spans="5:5">
      <c r="E443" s="5"/>
    </row>
    <row r="444" spans="5:5">
      <c r="E444" s="5"/>
    </row>
    <row r="445" spans="5:5">
      <c r="E445" s="5"/>
    </row>
    <row r="446" spans="5:5">
      <c r="E446" s="5"/>
    </row>
    <row r="447" spans="5:5">
      <c r="E447" s="5"/>
    </row>
    <row r="448" spans="5:5">
      <c r="E448" s="5"/>
    </row>
    <row r="449" spans="5:5">
      <c r="E449" s="5"/>
    </row>
    <row r="450" spans="5:5">
      <c r="E450" s="5"/>
    </row>
    <row r="451" spans="5:5">
      <c r="E451" s="5"/>
    </row>
    <row r="452" spans="5:5">
      <c r="E452" s="5"/>
    </row>
    <row r="453" spans="5:5">
      <c r="E453" s="5"/>
    </row>
    <row r="454" spans="5:5">
      <c r="E454" s="5"/>
    </row>
    <row r="455" spans="5:5">
      <c r="E455" s="5"/>
    </row>
    <row r="456" spans="5:5">
      <c r="E456" s="5"/>
    </row>
    <row r="457" spans="5:5">
      <c r="E457" s="5"/>
    </row>
    <row r="458" spans="5:5">
      <c r="E458" s="5"/>
    </row>
    <row r="459" spans="5:5">
      <c r="E459" s="5"/>
    </row>
    <row r="460" spans="5:5">
      <c r="E460" s="5"/>
    </row>
    <row r="461" spans="5:5">
      <c r="E461" s="5"/>
    </row>
    <row r="462" spans="5:5">
      <c r="E462" s="5"/>
    </row>
    <row r="463" spans="5:5">
      <c r="E463" s="5"/>
    </row>
    <row r="464" spans="5:5">
      <c r="E464" s="5"/>
    </row>
    <row r="465" spans="5:5">
      <c r="E465" s="5"/>
    </row>
    <row r="466" spans="5:5">
      <c r="E466" s="5"/>
    </row>
    <row r="467" spans="5:5">
      <c r="E467" s="5"/>
    </row>
    <row r="468" spans="5:5">
      <c r="E468" s="5"/>
    </row>
    <row r="469" spans="5:5">
      <c r="E469" s="5"/>
    </row>
    <row r="470" spans="5:5">
      <c r="E470" s="5"/>
    </row>
    <row r="471" spans="5:5">
      <c r="E471" s="5"/>
    </row>
    <row r="472" spans="5:5">
      <c r="E472" s="5"/>
    </row>
    <row r="473" spans="5:5">
      <c r="E473" s="5"/>
    </row>
    <row r="474" spans="5:5">
      <c r="E474" s="5"/>
    </row>
    <row r="475" spans="5:5">
      <c r="E475" s="5"/>
    </row>
    <row r="476" spans="5:5">
      <c r="E476" s="5"/>
    </row>
    <row r="477" spans="5:5">
      <c r="E477" s="5"/>
    </row>
    <row r="478" spans="5:5">
      <c r="E478" s="5"/>
    </row>
    <row r="479" spans="5:5">
      <c r="E479" s="5"/>
    </row>
    <row r="480" spans="5:5">
      <c r="E480" s="5"/>
    </row>
    <row r="481" spans="5:5">
      <c r="E481" s="5"/>
    </row>
    <row r="482" spans="5:5">
      <c r="E482" s="5"/>
    </row>
    <row r="483" spans="5:5">
      <c r="E483" s="5"/>
    </row>
    <row r="484" spans="5:5">
      <c r="E484" s="5"/>
    </row>
    <row r="485" spans="5:5">
      <c r="E485" s="5"/>
    </row>
    <row r="486" spans="5:5">
      <c r="E486" s="5"/>
    </row>
    <row r="487" spans="5:5">
      <c r="E487" s="5"/>
    </row>
    <row r="488" spans="5:5">
      <c r="E488" s="5"/>
    </row>
    <row r="489" spans="5:5">
      <c r="E489" s="5"/>
    </row>
    <row r="490" spans="5:5">
      <c r="E490" s="5"/>
    </row>
    <row r="491" spans="5:5">
      <c r="E491" s="5"/>
    </row>
    <row r="492" spans="5:5">
      <c r="E492" s="5"/>
    </row>
    <row r="493" spans="5:5">
      <c r="E493" s="5"/>
    </row>
    <row r="494" spans="5:5">
      <c r="E494" s="5"/>
    </row>
    <row r="495" spans="5:5">
      <c r="E495" s="5"/>
    </row>
    <row r="496" spans="5:5">
      <c r="E496" s="5"/>
    </row>
    <row r="497" spans="5:5">
      <c r="E497" s="5"/>
    </row>
    <row r="498" spans="5:5">
      <c r="E498" s="5"/>
    </row>
    <row r="499" spans="5:5">
      <c r="E499" s="5"/>
    </row>
    <row r="500" spans="5:5">
      <c r="E500" s="5"/>
    </row>
    <row r="501" spans="5:5">
      <c r="E501" s="5"/>
    </row>
    <row r="502" spans="5:5">
      <c r="E502" s="5"/>
    </row>
    <row r="503" spans="5:5">
      <c r="E503" s="5"/>
    </row>
    <row r="504" spans="5:5">
      <c r="E504" s="5"/>
    </row>
    <row r="505" spans="5:5">
      <c r="E505" s="5"/>
    </row>
    <row r="506" spans="5:5">
      <c r="E506" s="5"/>
    </row>
    <row r="507" spans="5:5">
      <c r="E507" s="5"/>
    </row>
    <row r="508" spans="5:5">
      <c r="E508" s="5"/>
    </row>
    <row r="509" spans="5:5">
      <c r="E509" s="5"/>
    </row>
    <row r="510" spans="5:5">
      <c r="E510" s="5"/>
    </row>
    <row r="511" spans="5:5">
      <c r="E511" s="5"/>
    </row>
    <row r="512" spans="5:5">
      <c r="E512" s="5"/>
    </row>
    <row r="513" spans="5:5">
      <c r="E513" s="5"/>
    </row>
    <row r="514" spans="5:5">
      <c r="E514" s="5"/>
    </row>
    <row r="515" spans="5:5">
      <c r="E515" s="5"/>
    </row>
    <row r="516" spans="5:5">
      <c r="E516" s="5"/>
    </row>
    <row r="517" spans="5:5">
      <c r="E517" s="5"/>
    </row>
    <row r="518" spans="5:5">
      <c r="E518" s="5"/>
    </row>
    <row r="519" spans="5:5">
      <c r="E519" s="5"/>
    </row>
    <row r="520" spans="5:5">
      <c r="E520" s="5"/>
    </row>
    <row r="521" spans="5:5">
      <c r="E521" s="5"/>
    </row>
    <row r="522" spans="5:5">
      <c r="E522" s="5"/>
    </row>
    <row r="523" spans="5:5">
      <c r="E523" s="5"/>
    </row>
    <row r="524" spans="5:5">
      <c r="E524" s="5"/>
    </row>
    <row r="525" spans="5:5">
      <c r="E525" s="5"/>
    </row>
    <row r="526" spans="5:5">
      <c r="E526" s="5"/>
    </row>
    <row r="527" spans="5:5">
      <c r="E527" s="5"/>
    </row>
    <row r="528" spans="5:5">
      <c r="E528" s="5"/>
    </row>
    <row r="529" spans="5:5">
      <c r="E529" s="5"/>
    </row>
    <row r="530" spans="5:5">
      <c r="E530" s="5"/>
    </row>
    <row r="531" spans="5:5">
      <c r="E531" s="5"/>
    </row>
    <row r="532" spans="5:5">
      <c r="E532" s="5"/>
    </row>
    <row r="533" spans="5:5">
      <c r="E533" s="5"/>
    </row>
    <row r="534" spans="5:5">
      <c r="E534" s="5"/>
    </row>
    <row r="535" spans="5:5">
      <c r="E535" s="5"/>
    </row>
    <row r="536" spans="5:5">
      <c r="E536" s="5"/>
    </row>
    <row r="537" spans="5:5">
      <c r="E537" s="5"/>
    </row>
    <row r="538" spans="5:5">
      <c r="E538" s="5"/>
    </row>
    <row r="539" spans="5:5">
      <c r="E539" s="5"/>
    </row>
    <row r="540" spans="5:5">
      <c r="E540" s="5"/>
    </row>
    <row r="541" spans="5:5">
      <c r="E541" s="5"/>
    </row>
    <row r="542" spans="5:5">
      <c r="E542" s="5"/>
    </row>
    <row r="543" spans="5:5">
      <c r="E543" s="5"/>
    </row>
    <row r="544" spans="5:5">
      <c r="E544" s="5"/>
    </row>
    <row r="545" spans="5:5">
      <c r="E545" s="5"/>
    </row>
    <row r="546" spans="5:5">
      <c r="E546" s="5"/>
    </row>
    <row r="547" spans="5:5">
      <c r="E547" s="5"/>
    </row>
    <row r="548" spans="5:5">
      <c r="E548" s="5"/>
    </row>
    <row r="549" spans="5:5">
      <c r="E549" s="5"/>
    </row>
    <row r="550" spans="5:5">
      <c r="E550" s="5"/>
    </row>
    <row r="551" spans="5:5">
      <c r="E551" s="5"/>
    </row>
    <row r="552" spans="5:5">
      <c r="E552" s="5"/>
    </row>
    <row r="553" spans="5:5">
      <c r="E553" s="5"/>
    </row>
    <row r="554" spans="5:5">
      <c r="E554" s="5"/>
    </row>
    <row r="555" spans="5:5">
      <c r="E555" s="5"/>
    </row>
    <row r="556" spans="5:5">
      <c r="E556" s="5"/>
    </row>
    <row r="557" spans="5:5">
      <c r="E557" s="5"/>
    </row>
    <row r="558" spans="5:5">
      <c r="E558" s="5"/>
    </row>
    <row r="559" spans="5:5">
      <c r="E559" s="5"/>
    </row>
    <row r="560" spans="5:5">
      <c r="E560" s="5"/>
    </row>
    <row r="561" spans="5:5">
      <c r="E561" s="5"/>
    </row>
    <row r="562" spans="5:5">
      <c r="E562" s="5"/>
    </row>
    <row r="563" spans="5:5">
      <c r="E563" s="5"/>
    </row>
    <row r="564" spans="5:5">
      <c r="E564" s="5"/>
    </row>
    <row r="565" spans="5:5">
      <c r="E565" s="5"/>
    </row>
    <row r="566" spans="5:5">
      <c r="E566" s="5"/>
    </row>
    <row r="567" spans="5:5">
      <c r="E567" s="5"/>
    </row>
    <row r="568" spans="5:5">
      <c r="E568" s="5"/>
    </row>
    <row r="569" spans="5:5">
      <c r="E569" s="5"/>
    </row>
    <row r="570" spans="5:5">
      <c r="E570" s="5"/>
    </row>
    <row r="571" spans="5:5">
      <c r="E571" s="5"/>
    </row>
    <row r="572" spans="5:5">
      <c r="E572" s="5"/>
    </row>
    <row r="573" spans="5:5">
      <c r="E573" s="5"/>
    </row>
    <row r="574" spans="5:5">
      <c r="E574" s="5"/>
    </row>
    <row r="575" spans="5:5">
      <c r="E575" s="5"/>
    </row>
    <row r="576" spans="5:5">
      <c r="E576" s="5"/>
    </row>
    <row r="577" spans="5:5">
      <c r="E577" s="5"/>
    </row>
    <row r="578" spans="5:5">
      <c r="E578" s="5"/>
    </row>
    <row r="579" spans="5:5">
      <c r="E579" s="5"/>
    </row>
    <row r="580" spans="5:5">
      <c r="E580" s="5"/>
    </row>
    <row r="581" spans="5:5">
      <c r="E581" s="5"/>
    </row>
    <row r="582" spans="5:5">
      <c r="E582" s="5"/>
    </row>
    <row r="583" spans="5:5">
      <c r="E583" s="5"/>
    </row>
    <row r="584" spans="5:5">
      <c r="E584" s="5"/>
    </row>
    <row r="585" spans="5:5">
      <c r="E585" s="5"/>
    </row>
    <row r="586" spans="5:5">
      <c r="E586" s="5"/>
    </row>
    <row r="587" spans="5:5">
      <c r="E587" s="5"/>
    </row>
    <row r="588" spans="5:5">
      <c r="E588" s="5"/>
    </row>
    <row r="589" spans="5:5">
      <c r="E589" s="5"/>
    </row>
    <row r="590" spans="5:5">
      <c r="E590" s="5"/>
    </row>
    <row r="591" spans="5:5">
      <c r="E591" s="5"/>
    </row>
    <row r="592" spans="5:5">
      <c r="E592" s="5"/>
    </row>
    <row r="593" spans="5:5">
      <c r="E593" s="5"/>
    </row>
    <row r="594" spans="5:5">
      <c r="E594" s="5"/>
    </row>
    <row r="595" spans="5:5">
      <c r="E595" s="5"/>
    </row>
    <row r="596" spans="5:5">
      <c r="E596" s="5"/>
    </row>
    <row r="597" spans="5:5">
      <c r="E597" s="5"/>
    </row>
    <row r="598" spans="5:5">
      <c r="E598" s="5"/>
    </row>
    <row r="599" spans="5:5">
      <c r="E599" s="5"/>
    </row>
    <row r="600" spans="5:5">
      <c r="E600" s="5"/>
    </row>
    <row r="601" spans="5:5">
      <c r="E601" s="5"/>
    </row>
    <row r="602" spans="5:5">
      <c r="E602" s="5"/>
    </row>
    <row r="603" spans="5:5">
      <c r="E603" s="5"/>
    </row>
    <row r="604" spans="5:5">
      <c r="E604" s="5"/>
    </row>
    <row r="605" spans="5:5">
      <c r="E605" s="5"/>
    </row>
    <row r="606" spans="5:5">
      <c r="E606" s="5"/>
    </row>
    <row r="607" spans="5:5">
      <c r="E607" s="5"/>
    </row>
    <row r="608" spans="5:5">
      <c r="E608" s="5"/>
    </row>
    <row r="609" spans="5:5">
      <c r="E609" s="5"/>
    </row>
    <row r="610" spans="5:5">
      <c r="E610" s="5"/>
    </row>
    <row r="611" spans="5:5">
      <c r="E611" s="5"/>
    </row>
    <row r="612" spans="5:5">
      <c r="E612" s="5"/>
    </row>
    <row r="613" spans="5:5">
      <c r="E613" s="5"/>
    </row>
    <row r="614" spans="5:5">
      <c r="E614" s="5"/>
    </row>
    <row r="615" spans="5:5">
      <c r="E615" s="5"/>
    </row>
    <row r="616" spans="5:5">
      <c r="E616" s="5"/>
    </row>
    <row r="617" spans="5:5">
      <c r="E617" s="5"/>
    </row>
    <row r="618" spans="5:5">
      <c r="E618" s="5"/>
    </row>
    <row r="619" spans="5:5">
      <c r="E619" s="5"/>
    </row>
    <row r="620" spans="5:5">
      <c r="E620" s="5"/>
    </row>
    <row r="621" spans="5:5">
      <c r="E621" s="5"/>
    </row>
    <row r="622" spans="5:5">
      <c r="E622" s="5"/>
    </row>
    <row r="623" spans="5:5">
      <c r="E623" s="5"/>
    </row>
    <row r="624" spans="5:5">
      <c r="E624" s="5"/>
    </row>
    <row r="625" spans="5:5">
      <c r="E625" s="5"/>
    </row>
    <row r="626" spans="5:5">
      <c r="E626" s="5"/>
    </row>
    <row r="627" spans="5:5">
      <c r="E627" s="5"/>
    </row>
    <row r="628" spans="5:5">
      <c r="E628" s="5"/>
    </row>
    <row r="629" spans="5:5">
      <c r="E629" s="5"/>
    </row>
    <row r="630" spans="5:5">
      <c r="E630" s="5"/>
    </row>
    <row r="631" spans="5:5">
      <c r="E631" s="5"/>
    </row>
    <row r="632" spans="5:5">
      <c r="E632" s="5"/>
    </row>
    <row r="633" spans="5:5">
      <c r="E633" s="5"/>
    </row>
    <row r="634" spans="5:5">
      <c r="E634" s="5"/>
    </row>
    <row r="635" spans="5:5">
      <c r="E635" s="5"/>
    </row>
    <row r="636" spans="5:5">
      <c r="E636" s="5"/>
    </row>
    <row r="637" spans="5:5">
      <c r="E637" s="5"/>
    </row>
    <row r="638" spans="5:5">
      <c r="E638" s="5"/>
    </row>
    <row r="639" spans="5:5">
      <c r="E639" s="5"/>
    </row>
    <row r="640" spans="5:5">
      <c r="E640" s="5"/>
    </row>
    <row r="641" spans="5:5">
      <c r="E641" s="5"/>
    </row>
    <row r="642" spans="5:5">
      <c r="E642" s="5"/>
    </row>
    <row r="643" spans="5:5">
      <c r="E643" s="5"/>
    </row>
    <row r="644" spans="5:5">
      <c r="E644" s="5"/>
    </row>
    <row r="645" spans="5:5">
      <c r="E645" s="5"/>
    </row>
    <row r="646" spans="5:5">
      <c r="E646" s="5"/>
    </row>
    <row r="647" spans="5:5">
      <c r="E647" s="5"/>
    </row>
    <row r="648" spans="5:5">
      <c r="E648" s="5"/>
    </row>
    <row r="649" spans="5:5">
      <c r="E649" s="5"/>
    </row>
    <row r="650" spans="5:5">
      <c r="E650" s="5"/>
    </row>
    <row r="651" spans="5:5">
      <c r="E651" s="5"/>
    </row>
    <row r="652" spans="5:5">
      <c r="E652" s="5"/>
    </row>
    <row r="653" spans="5:5">
      <c r="E653" s="5"/>
    </row>
    <row r="654" spans="5:5">
      <c r="E654" s="5"/>
    </row>
    <row r="655" spans="5:5">
      <c r="E655" s="5"/>
    </row>
    <row r="656" spans="5:5">
      <c r="E656" s="5"/>
    </row>
    <row r="657" spans="5:5">
      <c r="E657" s="5"/>
    </row>
    <row r="658" spans="5:5">
      <c r="E658" s="5"/>
    </row>
    <row r="659" spans="5:5">
      <c r="E659" s="5"/>
    </row>
    <row r="660" spans="5:5">
      <c r="E660" s="5"/>
    </row>
    <row r="661" spans="5:5">
      <c r="E661" s="5"/>
    </row>
    <row r="662" spans="5:5">
      <c r="E662" s="5"/>
    </row>
    <row r="663" spans="5:5">
      <c r="E663" s="5"/>
    </row>
    <row r="664" spans="5:5">
      <c r="E664" s="5"/>
    </row>
    <row r="665" spans="5:5">
      <c r="E665" s="5"/>
    </row>
    <row r="666" spans="5:5">
      <c r="E666" s="5"/>
    </row>
    <row r="667" spans="5:5">
      <c r="E667" s="5"/>
    </row>
    <row r="668" spans="5:5">
      <c r="E668" s="5"/>
    </row>
    <row r="669" spans="5:5">
      <c r="E669" s="5"/>
    </row>
    <row r="670" spans="5:5">
      <c r="E670" s="5"/>
    </row>
    <row r="671" spans="5:5">
      <c r="E671" s="5"/>
    </row>
    <row r="672" spans="5:5">
      <c r="E672" s="5"/>
    </row>
    <row r="673" spans="5:5">
      <c r="E673" s="5"/>
    </row>
    <row r="674" spans="5:5">
      <c r="E674" s="5"/>
    </row>
    <row r="675" spans="5:5">
      <c r="E675" s="5"/>
    </row>
    <row r="676" spans="5:5">
      <c r="E676" s="5"/>
    </row>
    <row r="677" spans="5:5">
      <c r="E677" s="5"/>
    </row>
    <row r="678" spans="5:5">
      <c r="E678" s="5"/>
    </row>
    <row r="679" spans="5:5">
      <c r="E679" s="5"/>
    </row>
    <row r="680" spans="5:5">
      <c r="E680" s="5"/>
    </row>
    <row r="681" spans="5:5">
      <c r="E681" s="5"/>
    </row>
    <row r="682" spans="5:5">
      <c r="E682" s="5"/>
    </row>
    <row r="683" spans="5:5">
      <c r="E683" s="5"/>
    </row>
    <row r="684" spans="5:5">
      <c r="E684" s="5"/>
    </row>
    <row r="685" spans="5:5">
      <c r="E685" s="5"/>
    </row>
    <row r="686" spans="5:5">
      <c r="E686" s="5"/>
    </row>
    <row r="687" spans="5:5">
      <c r="E687" s="5"/>
    </row>
    <row r="688" spans="5:5">
      <c r="E688" s="5"/>
    </row>
    <row r="689" spans="5:5">
      <c r="E689" s="5"/>
    </row>
    <row r="690" spans="5:5">
      <c r="E690" s="5"/>
    </row>
    <row r="691" spans="5:5">
      <c r="E691" s="5"/>
    </row>
    <row r="692" spans="5:5">
      <c r="E692" s="5"/>
    </row>
    <row r="693" spans="5:5">
      <c r="E693" s="5"/>
    </row>
    <row r="694" spans="5:5">
      <c r="E694" s="5"/>
    </row>
    <row r="695" spans="5:5">
      <c r="E695" s="5"/>
    </row>
    <row r="696" spans="5:5">
      <c r="E696" s="5"/>
    </row>
    <row r="697" spans="5:5">
      <c r="E697" s="5"/>
    </row>
    <row r="698" spans="5:5">
      <c r="E698" s="5"/>
    </row>
    <row r="699" spans="5:5">
      <c r="E699" s="5"/>
    </row>
    <row r="700" spans="5:5">
      <c r="E700" s="5"/>
    </row>
    <row r="701" spans="5:5">
      <c r="E701" s="5"/>
    </row>
    <row r="702" spans="5:5">
      <c r="E702" s="5"/>
    </row>
    <row r="703" spans="5:5">
      <c r="E703" s="5"/>
    </row>
    <row r="704" spans="5:5">
      <c r="E704" s="5"/>
    </row>
    <row r="705" spans="5:5">
      <c r="E705" s="5"/>
    </row>
    <row r="706" spans="5:5">
      <c r="E706" s="5"/>
    </row>
    <row r="707" spans="5:5">
      <c r="E707" s="5"/>
    </row>
    <row r="708" spans="5:5">
      <c r="E708" s="5"/>
    </row>
    <row r="709" spans="5:5">
      <c r="E709" s="5"/>
    </row>
    <row r="710" spans="5:5">
      <c r="E710" s="5"/>
    </row>
    <row r="711" spans="5:5">
      <c r="E711" s="5"/>
    </row>
    <row r="712" spans="5:5">
      <c r="E712" s="5"/>
    </row>
    <row r="713" spans="5:5">
      <c r="E713" s="5"/>
    </row>
    <row r="714" spans="5:5">
      <c r="E714" s="5"/>
    </row>
    <row r="715" spans="5:5">
      <c r="E715" s="5"/>
    </row>
    <row r="716" spans="5:5">
      <c r="E716" s="5"/>
    </row>
    <row r="717" spans="5:5">
      <c r="E717" s="5"/>
    </row>
    <row r="718" spans="5:5">
      <c r="E718" s="5"/>
    </row>
    <row r="719" spans="5:5">
      <c r="E719" s="5"/>
    </row>
    <row r="720" spans="5:5">
      <c r="E720" s="5"/>
    </row>
    <row r="721" spans="5:5">
      <c r="E721" s="5"/>
    </row>
    <row r="722" spans="5:5">
      <c r="E722" s="5"/>
    </row>
    <row r="723" spans="5:5">
      <c r="E723" s="5"/>
    </row>
    <row r="724" spans="5:5">
      <c r="E724" s="5"/>
    </row>
    <row r="725" spans="5:5">
      <c r="E725" s="5"/>
    </row>
    <row r="726" spans="5:5">
      <c r="E726" s="5"/>
    </row>
    <row r="727" spans="5:5">
      <c r="E727" s="5"/>
    </row>
    <row r="728" spans="5:5">
      <c r="E728" s="5"/>
    </row>
    <row r="729" spans="5:5">
      <c r="E729" s="5"/>
    </row>
    <row r="730" spans="5:5">
      <c r="E730" s="5"/>
    </row>
    <row r="731" spans="5:5">
      <c r="E731" s="5"/>
    </row>
    <row r="732" spans="5:5">
      <c r="E732" s="5"/>
    </row>
    <row r="733" spans="5:5">
      <c r="E733" s="5"/>
    </row>
    <row r="734" spans="5:5">
      <c r="E734" s="5"/>
    </row>
    <row r="735" spans="5:5">
      <c r="E735" s="5"/>
    </row>
    <row r="736" spans="5:5">
      <c r="E736" s="5"/>
    </row>
    <row r="737" spans="5:5">
      <c r="E737" s="5"/>
    </row>
    <row r="738" spans="5:5">
      <c r="E738" s="5"/>
    </row>
    <row r="739" spans="5:5">
      <c r="E739" s="5"/>
    </row>
    <row r="740" spans="5:5">
      <c r="E740" s="5"/>
    </row>
    <row r="741" spans="5:5">
      <c r="E741" s="5"/>
    </row>
    <row r="742" spans="5:5">
      <c r="E742" s="5"/>
    </row>
    <row r="743" spans="5:5">
      <c r="E743" s="5"/>
    </row>
    <row r="744" spans="5:5">
      <c r="E744" s="5"/>
    </row>
    <row r="745" spans="5:5">
      <c r="E745" s="5"/>
    </row>
    <row r="746" spans="5:5">
      <c r="E746" s="5"/>
    </row>
    <row r="747" spans="5:5">
      <c r="E747" s="5"/>
    </row>
    <row r="748" spans="5:5">
      <c r="E748" s="5"/>
    </row>
    <row r="749" spans="5:5">
      <c r="E749" s="5"/>
    </row>
    <row r="750" spans="5:5">
      <c r="E750" s="5"/>
    </row>
    <row r="751" spans="5:5">
      <c r="E751" s="5"/>
    </row>
    <row r="752" spans="5:5">
      <c r="E752" s="5"/>
    </row>
    <row r="753" spans="5:5">
      <c r="E753" s="5"/>
    </row>
    <row r="754" spans="5:5">
      <c r="E754" s="5"/>
    </row>
    <row r="755" spans="5:5">
      <c r="E755" s="5"/>
    </row>
    <row r="756" spans="5:5">
      <c r="E756" s="5"/>
    </row>
    <row r="757" spans="5:5">
      <c r="E757" s="5"/>
    </row>
    <row r="758" spans="5:5">
      <c r="E758" s="5"/>
    </row>
    <row r="759" spans="5:5">
      <c r="E759" s="5"/>
    </row>
    <row r="760" spans="5:5">
      <c r="E760" s="5"/>
    </row>
    <row r="761" spans="5:5">
      <c r="E761" s="5"/>
    </row>
    <row r="762" spans="5:5">
      <c r="E762" s="5"/>
    </row>
    <row r="763" spans="5:5">
      <c r="E763" s="5"/>
    </row>
    <row r="764" spans="5:5">
      <c r="E764" s="5"/>
    </row>
    <row r="765" spans="5:5">
      <c r="E765" s="5"/>
    </row>
    <row r="766" spans="5:5">
      <c r="E766" s="5"/>
    </row>
    <row r="767" spans="5:5">
      <c r="E767" s="5"/>
    </row>
    <row r="768" spans="5:5">
      <c r="E768" s="5"/>
    </row>
    <row r="769" spans="5:5">
      <c r="E769" s="5"/>
    </row>
    <row r="770" spans="5:5">
      <c r="E770" s="5"/>
    </row>
    <row r="771" spans="5:5">
      <c r="E771" s="5"/>
    </row>
    <row r="772" spans="5:5">
      <c r="E772" s="5"/>
    </row>
    <row r="773" spans="5:5">
      <c r="E773" s="5"/>
    </row>
    <row r="774" spans="5:5">
      <c r="E774" s="5"/>
    </row>
    <row r="775" spans="5:5">
      <c r="E775" s="5"/>
    </row>
    <row r="776" spans="5:5">
      <c r="E776" s="5"/>
    </row>
    <row r="777" spans="5:5">
      <c r="E777" s="5"/>
    </row>
    <row r="778" spans="5:5">
      <c r="E778" s="5"/>
    </row>
    <row r="779" spans="5:5">
      <c r="E779" s="5"/>
    </row>
    <row r="780" spans="5:5">
      <c r="E780" s="5"/>
    </row>
    <row r="781" spans="5:5">
      <c r="E781" s="5"/>
    </row>
    <row r="782" spans="5:5">
      <c r="E782" s="5"/>
    </row>
    <row r="783" spans="5:5">
      <c r="E783" s="5"/>
    </row>
    <row r="784" spans="5:5">
      <c r="E784" s="5"/>
    </row>
    <row r="785" spans="5:5">
      <c r="E785" s="5"/>
    </row>
    <row r="786" spans="5:5">
      <c r="E786" s="5"/>
    </row>
    <row r="787" spans="5:5">
      <c r="E787" s="5"/>
    </row>
    <row r="788" spans="5:5">
      <c r="E788" s="5"/>
    </row>
    <row r="789" spans="5:5">
      <c r="E789" s="5"/>
    </row>
    <row r="790" spans="5:5">
      <c r="E790" s="5"/>
    </row>
    <row r="791" spans="5:5">
      <c r="E791" s="5"/>
    </row>
    <row r="792" spans="5:5">
      <c r="E792" s="5"/>
    </row>
    <row r="793" spans="5:5">
      <c r="E793" s="5"/>
    </row>
    <row r="794" spans="5:5">
      <c r="E794" s="5"/>
    </row>
    <row r="795" spans="5:5">
      <c r="E795" s="5"/>
    </row>
    <row r="796" spans="5:5">
      <c r="E796" s="5"/>
    </row>
    <row r="797" spans="5:5">
      <c r="E797" s="5"/>
    </row>
    <row r="798" spans="5:5">
      <c r="E798" s="5"/>
    </row>
    <row r="799" spans="5:5">
      <c r="E799" s="5"/>
    </row>
    <row r="800" spans="5:5">
      <c r="E800" s="5"/>
    </row>
    <row r="801" spans="5:5">
      <c r="E801" s="5"/>
    </row>
    <row r="802" spans="5:5">
      <c r="E802" s="5"/>
    </row>
    <row r="803" spans="5:5">
      <c r="E803" s="5"/>
    </row>
    <row r="804" spans="5:5">
      <c r="E804" s="5"/>
    </row>
    <row r="805" spans="5:5">
      <c r="E805" s="5"/>
    </row>
    <row r="806" spans="5:5">
      <c r="E806" s="5"/>
    </row>
    <row r="807" spans="5:5">
      <c r="E807" s="5"/>
    </row>
    <row r="808" spans="5:5">
      <c r="E808" s="5"/>
    </row>
    <row r="809" spans="5:5">
      <c r="E809" s="5"/>
    </row>
    <row r="810" spans="5:5">
      <c r="E810" s="5"/>
    </row>
    <row r="811" spans="5:5">
      <c r="E811" s="5"/>
    </row>
    <row r="812" spans="5:5">
      <c r="E812" s="5"/>
    </row>
    <row r="813" spans="5:5">
      <c r="E813" s="5"/>
    </row>
    <row r="814" spans="5:5">
      <c r="E814" s="5"/>
    </row>
    <row r="815" spans="5:5">
      <c r="E815" s="5"/>
    </row>
    <row r="816" spans="5:5">
      <c r="E816" s="5"/>
    </row>
    <row r="817" spans="5:5">
      <c r="E817" s="5"/>
    </row>
    <row r="818" spans="5:5">
      <c r="E818" s="5"/>
    </row>
    <row r="819" spans="5:5">
      <c r="E819" s="5"/>
    </row>
    <row r="820" spans="5:5">
      <c r="E820" s="5"/>
    </row>
    <row r="821" spans="5:5">
      <c r="E821" s="5"/>
    </row>
    <row r="822" spans="5:5">
      <c r="E822" s="5"/>
    </row>
    <row r="823" spans="5:5">
      <c r="E823" s="5"/>
    </row>
    <row r="824" spans="5:5">
      <c r="E824" s="5"/>
    </row>
    <row r="825" spans="5:5">
      <c r="E825" s="5"/>
    </row>
    <row r="826" spans="5:5">
      <c r="E826" s="5"/>
    </row>
    <row r="827" spans="5:5">
      <c r="E827" s="5"/>
    </row>
    <row r="828" spans="5:5">
      <c r="E828" s="5"/>
    </row>
    <row r="829" spans="5:5">
      <c r="E829" s="5"/>
    </row>
    <row r="830" spans="5:5">
      <c r="E830" s="5"/>
    </row>
    <row r="831" spans="5:5">
      <c r="E831" s="5"/>
    </row>
    <row r="832" spans="5:5">
      <c r="E832" s="5"/>
    </row>
    <row r="833" spans="5:5">
      <c r="E833" s="5"/>
    </row>
    <row r="834" spans="5:5">
      <c r="E834" s="5"/>
    </row>
    <row r="835" spans="5:5">
      <c r="E835" s="5"/>
    </row>
    <row r="836" spans="5:5">
      <c r="E836" s="5"/>
    </row>
    <row r="837" spans="5:5">
      <c r="E837" s="5"/>
    </row>
    <row r="838" spans="5:5">
      <c r="E838" s="5"/>
    </row>
    <row r="839" spans="5:5">
      <c r="E839" s="5"/>
    </row>
    <row r="840" spans="5:5">
      <c r="E840" s="5"/>
    </row>
    <row r="841" spans="5:5">
      <c r="E841" s="5"/>
    </row>
    <row r="842" spans="5:5">
      <c r="E842" s="5"/>
    </row>
    <row r="843" spans="5:5">
      <c r="E843" s="5"/>
    </row>
    <row r="844" spans="5:5">
      <c r="E844" s="5"/>
    </row>
    <row r="845" spans="5:5">
      <c r="E845" s="5"/>
    </row>
    <row r="846" spans="5:5">
      <c r="E846" s="5"/>
    </row>
    <row r="847" spans="5:5">
      <c r="E847" s="5"/>
    </row>
    <row r="848" spans="5:5">
      <c r="E848" s="5"/>
    </row>
    <row r="849" spans="5:5">
      <c r="E849" s="5"/>
    </row>
    <row r="850" spans="5:5">
      <c r="E850" s="5"/>
    </row>
    <row r="851" spans="5:5">
      <c r="E851" s="5"/>
    </row>
    <row r="852" spans="5:5">
      <c r="E852" s="5"/>
    </row>
    <row r="853" spans="5:5">
      <c r="E853" s="5"/>
    </row>
    <row r="854" spans="5:5">
      <c r="E854" s="5"/>
    </row>
    <row r="855" spans="5:5">
      <c r="E855" s="5"/>
    </row>
    <row r="856" spans="5:5">
      <c r="E856" s="5"/>
    </row>
    <row r="857" spans="5:5">
      <c r="E857" s="5"/>
    </row>
    <row r="858" spans="5:5">
      <c r="E858" s="5"/>
    </row>
    <row r="859" spans="5:5">
      <c r="E859" s="5"/>
    </row>
    <row r="860" spans="5:5">
      <c r="E860" s="5"/>
    </row>
    <row r="861" spans="5:5">
      <c r="E861" s="5"/>
    </row>
    <row r="862" spans="5:5">
      <c r="E862" s="5"/>
    </row>
    <row r="863" spans="5:5">
      <c r="E863" s="5"/>
    </row>
    <row r="864" spans="5:5">
      <c r="E864" s="5"/>
    </row>
    <row r="865" spans="5:5">
      <c r="E865" s="5"/>
    </row>
    <row r="866" spans="5:5">
      <c r="E866" s="5"/>
    </row>
    <row r="867" spans="5:5">
      <c r="E867" s="5"/>
    </row>
    <row r="868" spans="5:5">
      <c r="E868" s="5"/>
    </row>
    <row r="869" spans="5:5">
      <c r="E869" s="5"/>
    </row>
    <row r="870" spans="5:5">
      <c r="E870" s="5"/>
    </row>
    <row r="871" spans="5:5">
      <c r="E871" s="5"/>
    </row>
    <row r="872" spans="5:5">
      <c r="E872" s="5"/>
    </row>
    <row r="873" spans="5:5">
      <c r="E873" s="5"/>
    </row>
    <row r="874" spans="5:5">
      <c r="E874" s="5"/>
    </row>
    <row r="875" spans="5:5">
      <c r="E875" s="5"/>
    </row>
    <row r="876" spans="5:5">
      <c r="E876" s="5"/>
    </row>
    <row r="877" spans="5:5">
      <c r="E877" s="5"/>
    </row>
    <row r="878" spans="5:5">
      <c r="E878" s="5"/>
    </row>
    <row r="879" spans="5:5">
      <c r="E879" s="5"/>
    </row>
    <row r="880" spans="5:5">
      <c r="E880" s="5"/>
    </row>
    <row r="881" spans="5:5">
      <c r="E881" s="5"/>
    </row>
    <row r="882" spans="5:5">
      <c r="E882" s="5"/>
    </row>
    <row r="883" spans="5:5">
      <c r="E883" s="5"/>
    </row>
    <row r="884" spans="5:5">
      <c r="E884" s="5"/>
    </row>
    <row r="885" spans="5:5">
      <c r="E885" s="5"/>
    </row>
    <row r="886" spans="5:5">
      <c r="E886" s="5"/>
    </row>
    <row r="887" spans="5:5">
      <c r="E887" s="5"/>
    </row>
    <row r="888" spans="5:5">
      <c r="E888" s="5"/>
    </row>
    <row r="889" spans="5:5">
      <c r="E889" s="5"/>
    </row>
    <row r="890" spans="5:5">
      <c r="E890" s="5"/>
    </row>
    <row r="891" spans="5:5">
      <c r="E891" s="5"/>
    </row>
    <row r="892" spans="5:5">
      <c r="E892" s="5"/>
    </row>
    <row r="893" spans="5:5">
      <c r="E893" s="5"/>
    </row>
    <row r="894" spans="5:5">
      <c r="E894" s="5"/>
    </row>
    <row r="895" spans="5:5">
      <c r="E895" s="5"/>
    </row>
    <row r="896" spans="5:5">
      <c r="E896" s="5"/>
    </row>
    <row r="897" spans="5:5">
      <c r="E897" s="5"/>
    </row>
    <row r="898" spans="5:5">
      <c r="E898" s="5"/>
    </row>
    <row r="899" spans="5:5">
      <c r="E899" s="5"/>
    </row>
    <row r="900" spans="5:5">
      <c r="E900" s="5"/>
    </row>
    <row r="901" spans="5:5">
      <c r="E901" s="5"/>
    </row>
    <row r="902" spans="5:5">
      <c r="E902" s="5"/>
    </row>
    <row r="903" spans="5:5">
      <c r="E903" s="5"/>
    </row>
    <row r="904" spans="5:5">
      <c r="E904" s="5"/>
    </row>
    <row r="905" spans="5:5">
      <c r="E905" s="5"/>
    </row>
    <row r="906" spans="5:5">
      <c r="E906" s="5"/>
    </row>
    <row r="907" spans="5:5">
      <c r="E907" s="5"/>
    </row>
    <row r="908" spans="5:5">
      <c r="E908" s="5"/>
    </row>
    <row r="909" spans="5:5">
      <c r="E909" s="5"/>
    </row>
    <row r="910" spans="5:5">
      <c r="E910" s="5"/>
    </row>
    <row r="911" spans="5:5">
      <c r="E911" s="5"/>
    </row>
    <row r="912" spans="5:5">
      <c r="E912" s="5"/>
    </row>
    <row r="913" spans="5:5">
      <c r="E913" s="5"/>
    </row>
    <row r="914" spans="5:5">
      <c r="E914" s="5"/>
    </row>
    <row r="915" spans="5:5">
      <c r="E915" s="5"/>
    </row>
    <row r="916" spans="5:5">
      <c r="E916" s="5"/>
    </row>
    <row r="917" spans="5:5">
      <c r="E917" s="5"/>
    </row>
    <row r="918" spans="5:5">
      <c r="E918" s="5"/>
    </row>
    <row r="919" spans="5:5">
      <c r="E919" s="5"/>
    </row>
    <row r="920" spans="5:5">
      <c r="E920" s="5"/>
    </row>
    <row r="921" spans="5:5">
      <c r="E921" s="5"/>
    </row>
    <row r="922" spans="5:5">
      <c r="E922" s="5"/>
    </row>
    <row r="923" spans="5:5">
      <c r="E923" s="5"/>
    </row>
    <row r="924" spans="5:5">
      <c r="E924" s="5"/>
    </row>
    <row r="925" spans="5:5">
      <c r="E925" s="5"/>
    </row>
    <row r="926" spans="5:5">
      <c r="E926" s="5"/>
    </row>
    <row r="927" spans="5:5">
      <c r="E927" s="5"/>
    </row>
    <row r="928" spans="5:5">
      <c r="E928" s="5"/>
    </row>
    <row r="929" spans="5:5">
      <c r="E929" s="5"/>
    </row>
    <row r="930" spans="5:5">
      <c r="E930" s="5"/>
    </row>
    <row r="931" spans="5:5">
      <c r="E931" s="5"/>
    </row>
    <row r="932" spans="5:5">
      <c r="E932" s="5"/>
    </row>
    <row r="933" spans="5:5">
      <c r="E933" s="5"/>
    </row>
    <row r="934" spans="5:5">
      <c r="E934" s="5"/>
    </row>
    <row r="935" spans="5:5">
      <c r="E935" s="5"/>
    </row>
    <row r="936" spans="5:5">
      <c r="E936" s="5"/>
    </row>
    <row r="937" spans="5:5">
      <c r="E937" s="5"/>
    </row>
    <row r="938" spans="5:5">
      <c r="E938" s="5"/>
    </row>
    <row r="939" spans="5:5">
      <c r="E939" s="5"/>
    </row>
    <row r="940" spans="5:5">
      <c r="E940" s="5"/>
    </row>
    <row r="941" spans="5:5">
      <c r="E941" s="5"/>
    </row>
    <row r="942" spans="5:5">
      <c r="E942" s="5"/>
    </row>
    <row r="943" spans="5:5">
      <c r="E943" s="5"/>
    </row>
    <row r="944" spans="5:5">
      <c r="E944" s="5"/>
    </row>
    <row r="945" spans="5:5">
      <c r="E945" s="5"/>
    </row>
    <row r="946" spans="5:5">
      <c r="E946" s="5"/>
    </row>
    <row r="947" spans="5:5">
      <c r="E947" s="5"/>
    </row>
    <row r="948" spans="5:5">
      <c r="E948" s="5"/>
    </row>
    <row r="949" spans="5:5">
      <c r="E949" s="5"/>
    </row>
    <row r="950" spans="5:5">
      <c r="E950" s="5"/>
    </row>
    <row r="951" spans="5:5">
      <c r="E951" s="5"/>
    </row>
    <row r="952" spans="5:5">
      <c r="E952" s="5"/>
    </row>
    <row r="953" spans="5:5">
      <c r="E953" s="5"/>
    </row>
    <row r="954" spans="5:5">
      <c r="E954" s="5"/>
    </row>
    <row r="955" spans="5:5">
      <c r="E955" s="5"/>
    </row>
    <row r="956" spans="5:5">
      <c r="E956" s="5"/>
    </row>
    <row r="957" spans="5:5">
      <c r="E957" s="5"/>
    </row>
    <row r="958" spans="5:5">
      <c r="E958" s="5"/>
    </row>
    <row r="959" spans="5:5">
      <c r="E959" s="5"/>
    </row>
    <row r="960" spans="5:5">
      <c r="E960" s="5"/>
    </row>
    <row r="961" spans="5:5">
      <c r="E961" s="5"/>
    </row>
    <row r="962" spans="5:5">
      <c r="E962" s="5"/>
    </row>
    <row r="963" spans="5:5">
      <c r="E963" s="5"/>
    </row>
    <row r="964" spans="5:5">
      <c r="E964" s="5"/>
    </row>
    <row r="965" spans="5:5">
      <c r="E965" s="5"/>
    </row>
    <row r="966" spans="5:5">
      <c r="E966" s="5"/>
    </row>
    <row r="967" spans="5:5">
      <c r="E967" s="5"/>
    </row>
    <row r="968" spans="5:5">
      <c r="E968" s="5"/>
    </row>
    <row r="969" spans="5:5">
      <c r="E969" s="5"/>
    </row>
    <row r="970" spans="5:5">
      <c r="E970" s="5"/>
    </row>
    <row r="971" spans="5:5">
      <c r="E971" s="5"/>
    </row>
    <row r="972" spans="5:5">
      <c r="E972" s="5"/>
    </row>
    <row r="973" spans="5:5">
      <c r="E973" s="5"/>
    </row>
    <row r="974" spans="5:5">
      <c r="E974" s="5"/>
    </row>
    <row r="975" spans="5:5">
      <c r="E975" s="5"/>
    </row>
    <row r="976" spans="5:5">
      <c r="E976" s="5"/>
    </row>
    <row r="977" spans="5:5">
      <c r="E977" s="5"/>
    </row>
    <row r="978" spans="5:5">
      <c r="E978" s="5"/>
    </row>
    <row r="979" spans="5:5">
      <c r="E979" s="5"/>
    </row>
    <row r="980" spans="5:5">
      <c r="E980" s="5"/>
    </row>
    <row r="981" spans="5:5">
      <c r="E981" s="5"/>
    </row>
    <row r="982" spans="5:5">
      <c r="E982" s="5"/>
    </row>
    <row r="983" spans="5:5">
      <c r="E983" s="5"/>
    </row>
    <row r="984" spans="5:5">
      <c r="E984" s="5"/>
    </row>
    <row r="985" spans="5:5">
      <c r="E985" s="5"/>
    </row>
    <row r="986" spans="5:5">
      <c r="E986" s="5"/>
    </row>
    <row r="987" spans="5:5">
      <c r="E987" s="5"/>
    </row>
    <row r="988" spans="5:5">
      <c r="E988" s="5"/>
    </row>
    <row r="989" spans="5:5">
      <c r="E989" s="5"/>
    </row>
    <row r="990" spans="5:5">
      <c r="E990" s="5"/>
    </row>
    <row r="991" spans="5:5">
      <c r="E991" s="5"/>
    </row>
    <row r="992" spans="5:5">
      <c r="E992" s="5"/>
    </row>
    <row r="993" spans="5:5">
      <c r="E993" s="5"/>
    </row>
    <row r="994" spans="5:5">
      <c r="E994" s="5"/>
    </row>
    <row r="995" spans="5:5">
      <c r="E995" s="5"/>
    </row>
    <row r="996" spans="5:5">
      <c r="E996" s="5"/>
    </row>
    <row r="997" spans="5:5">
      <c r="E997" s="5"/>
    </row>
    <row r="998" spans="5:5">
      <c r="E998" s="5"/>
    </row>
    <row r="999" spans="5:5">
      <c r="E999" s="5"/>
    </row>
    <row r="1000" spans="5:5">
      <c r="E1000" s="5"/>
    </row>
    <row r="1001" spans="5:5">
      <c r="E1001" s="5"/>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E35"/>
  <sheetViews>
    <sheetView workbookViewId="0"/>
  </sheetViews>
  <sheetFormatPr baseColWidth="10" defaultColWidth="14.5" defaultRowHeight="15" customHeight="1"/>
  <cols>
    <col min="1" max="1" width="106.6640625" customWidth="1"/>
    <col min="2" max="2" width="21.6640625" customWidth="1"/>
    <col min="3" max="3" width="24.83203125" customWidth="1"/>
    <col min="4" max="4" width="21.6640625" customWidth="1"/>
    <col min="5" max="5" width="23.1640625" customWidth="1"/>
  </cols>
  <sheetData>
    <row r="1" spans="1:5">
      <c r="A1" s="16" t="s">
        <v>5849</v>
      </c>
      <c r="B1" s="16" t="s">
        <v>5804</v>
      </c>
      <c r="C1" s="16" t="s">
        <v>5850</v>
      </c>
      <c r="D1" s="16" t="s">
        <v>3</v>
      </c>
      <c r="E1" s="16" t="s">
        <v>5851</v>
      </c>
    </row>
    <row r="2" spans="1:5">
      <c r="A2" s="17" t="s">
        <v>5852</v>
      </c>
      <c r="B2" s="7" t="s">
        <v>13</v>
      </c>
      <c r="C2" s="7">
        <v>1</v>
      </c>
      <c r="D2" s="18">
        <v>39840.65824074074</v>
      </c>
      <c r="E2" s="7" t="s">
        <v>5853</v>
      </c>
    </row>
    <row r="3" spans="1:5">
      <c r="A3" s="17" t="s">
        <v>5854</v>
      </c>
      <c r="B3" s="7" t="s">
        <v>96</v>
      </c>
      <c r="C3" s="7">
        <v>2</v>
      </c>
      <c r="D3" s="18">
        <v>39843.452187499999</v>
      </c>
      <c r="E3" s="7" t="s">
        <v>5855</v>
      </c>
    </row>
    <row r="4" spans="1:5">
      <c r="A4" s="17" t="s">
        <v>5856</v>
      </c>
      <c r="B4" s="7" t="s">
        <v>156</v>
      </c>
      <c r="C4" s="7">
        <v>3</v>
      </c>
      <c r="D4" s="18">
        <v>39845.528981481482</v>
      </c>
      <c r="E4" s="7" t="s">
        <v>5857</v>
      </c>
    </row>
    <row r="5" spans="1:5">
      <c r="A5" s="17" t="s">
        <v>5858</v>
      </c>
      <c r="B5" s="7" t="s">
        <v>160</v>
      </c>
      <c r="C5" s="7">
        <v>4</v>
      </c>
      <c r="D5" s="18">
        <v>39845.530092592591</v>
      </c>
      <c r="E5" s="7" t="s">
        <v>5859</v>
      </c>
    </row>
    <row r="6" spans="1:5">
      <c r="A6" s="17" t="s">
        <v>5860</v>
      </c>
      <c r="B6" s="7" t="s">
        <v>162</v>
      </c>
      <c r="C6" s="7">
        <v>5</v>
      </c>
      <c r="D6" s="18">
        <v>39845.530590277776</v>
      </c>
      <c r="E6" s="7" t="s">
        <v>5861</v>
      </c>
    </row>
    <row r="7" spans="1:5">
      <c r="A7" s="17" t="s">
        <v>5862</v>
      </c>
      <c r="B7" s="7" t="s">
        <v>174</v>
      </c>
      <c r="C7" s="7">
        <v>6</v>
      </c>
      <c r="D7" s="18">
        <v>39845.799675925926</v>
      </c>
      <c r="E7" s="7" t="s">
        <v>5863</v>
      </c>
    </row>
    <row r="8" spans="1:5">
      <c r="A8" s="17" t="s">
        <v>5864</v>
      </c>
      <c r="B8" s="7" t="s">
        <v>680</v>
      </c>
      <c r="C8" s="7">
        <v>7</v>
      </c>
      <c r="D8" s="18">
        <v>39848.504895833335</v>
      </c>
      <c r="E8" s="7" t="s">
        <v>5865</v>
      </c>
    </row>
    <row r="9" spans="1:5">
      <c r="A9" s="17" t="s">
        <v>5866</v>
      </c>
      <c r="B9" s="7" t="s">
        <v>846</v>
      </c>
      <c r="C9" s="7">
        <v>8</v>
      </c>
      <c r="D9" s="18">
        <v>39850.045520833337</v>
      </c>
      <c r="E9" s="7" t="s">
        <v>5867</v>
      </c>
    </row>
    <row r="10" spans="1:5">
      <c r="A10" s="17" t="s">
        <v>5868</v>
      </c>
      <c r="B10" s="7" t="s">
        <v>926</v>
      </c>
      <c r="C10" s="7">
        <v>9</v>
      </c>
      <c r="D10" s="18">
        <v>39850.377500000002</v>
      </c>
      <c r="E10" s="7" t="s">
        <v>5869</v>
      </c>
    </row>
    <row r="11" spans="1:5">
      <c r="A11" s="17" t="s">
        <v>5870</v>
      </c>
      <c r="B11" s="7" t="s">
        <v>1196</v>
      </c>
      <c r="C11" s="7">
        <v>10</v>
      </c>
      <c r="D11" s="18">
        <v>39852.662118055552</v>
      </c>
      <c r="E11" s="7" t="s">
        <v>5871</v>
      </c>
    </row>
    <row r="12" spans="1:5">
      <c r="A12" s="17" t="s">
        <v>5872</v>
      </c>
      <c r="B12" s="7" t="s">
        <v>1519</v>
      </c>
      <c r="C12" s="7">
        <v>11</v>
      </c>
      <c r="D12" s="18">
        <v>39856.09888888889</v>
      </c>
      <c r="E12" s="7" t="s">
        <v>5873</v>
      </c>
    </row>
    <row r="13" spans="1:5">
      <c r="A13" s="17" t="s">
        <v>5874</v>
      </c>
      <c r="B13" s="7" t="s">
        <v>1696</v>
      </c>
      <c r="C13" s="7">
        <v>12</v>
      </c>
      <c r="D13" s="18">
        <v>39857.310497685183</v>
      </c>
      <c r="E13" s="7" t="s">
        <v>5875</v>
      </c>
    </row>
    <row r="14" spans="1:5">
      <c r="A14" s="17" t="s">
        <v>5876</v>
      </c>
      <c r="B14" s="7" t="s">
        <v>1814</v>
      </c>
      <c r="C14" s="7">
        <v>13</v>
      </c>
      <c r="D14" s="18">
        <v>39858.175752314812</v>
      </c>
      <c r="E14" s="7" t="s">
        <v>5877</v>
      </c>
    </row>
    <row r="15" spans="1:5">
      <c r="A15" s="17" t="s">
        <v>5878</v>
      </c>
      <c r="B15" s="7" t="s">
        <v>2280</v>
      </c>
      <c r="C15" s="7">
        <v>14</v>
      </c>
      <c r="D15" s="18">
        <v>39865.795011574075</v>
      </c>
      <c r="E15" s="7" t="s">
        <v>5879</v>
      </c>
    </row>
    <row r="16" spans="1:5">
      <c r="A16" s="17" t="s">
        <v>5880</v>
      </c>
      <c r="B16" s="7" t="s">
        <v>2335</v>
      </c>
      <c r="C16" s="7">
        <v>15</v>
      </c>
      <c r="D16" s="18">
        <v>39867.414837962962</v>
      </c>
      <c r="E16" s="7" t="s">
        <v>5881</v>
      </c>
    </row>
    <row r="17" spans="1:5">
      <c r="A17" s="17" t="s">
        <v>5882</v>
      </c>
      <c r="B17" s="7" t="s">
        <v>2636</v>
      </c>
      <c r="C17" s="7">
        <v>16</v>
      </c>
      <c r="D17" s="18">
        <v>39873.984710648147</v>
      </c>
      <c r="E17" s="7" t="s">
        <v>5883</v>
      </c>
    </row>
    <row r="18" spans="1:5">
      <c r="A18" s="17" t="s">
        <v>5884</v>
      </c>
      <c r="B18" s="7" t="s">
        <v>2870</v>
      </c>
      <c r="C18" s="7">
        <v>17</v>
      </c>
      <c r="D18" s="18">
        <v>39876.893900462965</v>
      </c>
      <c r="E18" s="7" t="s">
        <v>5885</v>
      </c>
    </row>
    <row r="19" spans="1:5">
      <c r="A19" s="17" t="s">
        <v>5886</v>
      </c>
      <c r="B19" s="7" t="s">
        <v>3156</v>
      </c>
      <c r="C19" s="7">
        <v>18</v>
      </c>
      <c r="D19" s="18">
        <v>39881.973124999997</v>
      </c>
      <c r="E19" s="7" t="s">
        <v>5887</v>
      </c>
    </row>
    <row r="20" spans="1:5">
      <c r="A20" s="17" t="s">
        <v>5888</v>
      </c>
      <c r="B20" s="7" t="s">
        <v>3255</v>
      </c>
      <c r="C20" s="7">
        <v>19</v>
      </c>
      <c r="D20" s="18">
        <v>39882.90420138889</v>
      </c>
      <c r="E20" s="7" t="s">
        <v>5889</v>
      </c>
    </row>
    <row r="21" spans="1:5">
      <c r="A21" s="17" t="s">
        <v>5890</v>
      </c>
      <c r="B21" s="7" t="s">
        <v>3800</v>
      </c>
      <c r="C21" s="7">
        <v>20</v>
      </c>
      <c r="D21" s="18">
        <v>39886.691203703704</v>
      </c>
      <c r="E21" s="7" t="s">
        <v>5891</v>
      </c>
    </row>
    <row r="22" spans="1:5">
      <c r="A22" s="17" t="s">
        <v>5892</v>
      </c>
      <c r="B22" s="7" t="s">
        <v>3929</v>
      </c>
      <c r="C22" s="7">
        <v>21</v>
      </c>
      <c r="D22" s="18">
        <v>39888.511481481481</v>
      </c>
      <c r="E22" s="7" t="s">
        <v>5893</v>
      </c>
    </row>
    <row r="23" spans="1:5">
      <c r="A23" s="17" t="s">
        <v>5894</v>
      </c>
      <c r="B23" s="7" t="s">
        <v>4151</v>
      </c>
      <c r="C23" s="7">
        <v>22</v>
      </c>
      <c r="D23" s="18">
        <v>39896.373032407406</v>
      </c>
      <c r="E23" s="7" t="s">
        <v>5895</v>
      </c>
    </row>
    <row r="24" spans="1:5">
      <c r="A24" s="17" t="s">
        <v>5896</v>
      </c>
      <c r="B24" s="7" t="s">
        <v>4460</v>
      </c>
      <c r="C24" s="7">
        <v>23</v>
      </c>
      <c r="D24" s="18">
        <v>39902.89298611111</v>
      </c>
      <c r="E24" s="7" t="s">
        <v>5897</v>
      </c>
    </row>
    <row r="25" spans="1:5">
      <c r="A25" s="17" t="s">
        <v>5898</v>
      </c>
      <c r="B25" s="7" t="s">
        <v>4563</v>
      </c>
      <c r="C25" s="7">
        <v>24</v>
      </c>
      <c r="D25" s="18">
        <v>39906.042037037034</v>
      </c>
      <c r="E25" s="7" t="s">
        <v>5899</v>
      </c>
    </row>
    <row r="26" spans="1:5">
      <c r="A26" s="17" t="s">
        <v>5900</v>
      </c>
      <c r="B26" s="7" t="s">
        <v>4904</v>
      </c>
      <c r="C26" s="7">
        <v>25</v>
      </c>
      <c r="D26" s="18">
        <v>39956.087476851855</v>
      </c>
      <c r="E26" s="7" t="s">
        <v>5901</v>
      </c>
    </row>
    <row r="27" spans="1:5">
      <c r="A27" s="17" t="s">
        <v>5902</v>
      </c>
      <c r="B27" s="7" t="s">
        <v>5217</v>
      </c>
      <c r="C27" s="7">
        <v>26</v>
      </c>
      <c r="D27" s="18">
        <v>39978.390648148146</v>
      </c>
      <c r="E27" s="7" t="s">
        <v>5903</v>
      </c>
    </row>
    <row r="28" spans="1:5">
      <c r="A28" s="17" t="s">
        <v>5904</v>
      </c>
      <c r="B28" s="7" t="s">
        <v>5412</v>
      </c>
      <c r="C28" s="7">
        <v>27</v>
      </c>
      <c r="D28" s="18">
        <v>39989.413703703707</v>
      </c>
      <c r="E28" s="7" t="s">
        <v>5429</v>
      </c>
    </row>
    <row r="29" spans="1:5">
      <c r="A29" s="17" t="s">
        <v>5905</v>
      </c>
      <c r="B29" s="7" t="s">
        <v>5514</v>
      </c>
      <c r="C29" s="7">
        <v>28</v>
      </c>
      <c r="D29" s="18">
        <v>40003.686296296299</v>
      </c>
      <c r="E29" s="7" t="s">
        <v>5906</v>
      </c>
    </row>
    <row r="30" spans="1:5">
      <c r="A30" s="17" t="s">
        <v>5907</v>
      </c>
      <c r="B30" s="7" t="s">
        <v>5570</v>
      </c>
      <c r="C30" s="7">
        <v>29</v>
      </c>
      <c r="D30" s="18">
        <v>40106.569826388892</v>
      </c>
      <c r="E30" s="7" t="s">
        <v>5908</v>
      </c>
    </row>
    <row r="31" spans="1:5">
      <c r="A31" s="17" t="s">
        <v>5909</v>
      </c>
      <c r="B31" s="7" t="s">
        <v>5580</v>
      </c>
      <c r="C31" s="7">
        <v>30</v>
      </c>
      <c r="D31" s="18">
        <v>40108.936168981483</v>
      </c>
      <c r="E31" s="7" t="s">
        <v>5910</v>
      </c>
    </row>
    <row r="32" spans="1:5">
      <c r="A32" s="17" t="s">
        <v>5911</v>
      </c>
      <c r="B32" s="7" t="s">
        <v>5615</v>
      </c>
      <c r="C32" s="7">
        <v>31</v>
      </c>
      <c r="D32" s="18">
        <v>40194.307453703703</v>
      </c>
      <c r="E32" s="7" t="s">
        <v>5912</v>
      </c>
    </row>
    <row r="33" spans="1:5">
      <c r="A33" s="17" t="s">
        <v>5913</v>
      </c>
      <c r="B33" s="7" t="s">
        <v>5697</v>
      </c>
      <c r="C33" s="7">
        <v>32</v>
      </c>
      <c r="D33" s="18">
        <v>40226.009918981479</v>
      </c>
      <c r="E33" s="7" t="s">
        <v>5914</v>
      </c>
    </row>
    <row r="34" spans="1:5">
      <c r="A34" s="17" t="s">
        <v>5915</v>
      </c>
      <c r="B34" s="7" t="s">
        <v>5771</v>
      </c>
      <c r="C34" s="7">
        <v>33</v>
      </c>
      <c r="D34" s="18">
        <v>41022.836909722224</v>
      </c>
      <c r="E34" s="7" t="s">
        <v>5916</v>
      </c>
    </row>
    <row r="35" spans="1:5">
      <c r="A35" s="17" t="s">
        <v>5917</v>
      </c>
      <c r="B35" s="7" t="s">
        <v>5704</v>
      </c>
      <c r="C35" s="7">
        <v>34</v>
      </c>
      <c r="D35" s="18">
        <v>40290.726840277777</v>
      </c>
      <c r="E35" s="7" t="s">
        <v>5918</v>
      </c>
    </row>
  </sheetData>
  <hyperlinks>
    <hyperlink ref="A2" r:id="rId1" xr:uid="{00000000-0004-0000-0400-000000000000}"/>
    <hyperlink ref="A3" r:id="rId2" xr:uid="{00000000-0004-0000-0400-000001000000}"/>
    <hyperlink ref="A4" r:id="rId3" xr:uid="{00000000-0004-0000-0400-000002000000}"/>
    <hyperlink ref="A5" r:id="rId4" xr:uid="{00000000-0004-0000-0400-000003000000}"/>
    <hyperlink ref="A6" r:id="rId5" xr:uid="{00000000-0004-0000-0400-000004000000}"/>
    <hyperlink ref="A7" r:id="rId6" xr:uid="{00000000-0004-0000-0400-000005000000}"/>
    <hyperlink ref="A8" r:id="rId7" xr:uid="{00000000-0004-0000-0400-000006000000}"/>
    <hyperlink ref="A9" r:id="rId8" xr:uid="{00000000-0004-0000-0400-000007000000}"/>
    <hyperlink ref="A10" r:id="rId9" xr:uid="{00000000-0004-0000-0400-000008000000}"/>
    <hyperlink ref="A11" r:id="rId10" xr:uid="{00000000-0004-0000-0400-000009000000}"/>
    <hyperlink ref="A12" r:id="rId11" xr:uid="{00000000-0004-0000-0400-00000A000000}"/>
    <hyperlink ref="A13" r:id="rId12" xr:uid="{00000000-0004-0000-0400-00000B000000}"/>
    <hyperlink ref="A14" r:id="rId13" xr:uid="{00000000-0004-0000-0400-00000C000000}"/>
    <hyperlink ref="A15" r:id="rId14" xr:uid="{00000000-0004-0000-0400-00000D000000}"/>
    <hyperlink ref="A16" r:id="rId15" xr:uid="{00000000-0004-0000-0400-00000E000000}"/>
    <hyperlink ref="A17" r:id="rId16" xr:uid="{00000000-0004-0000-0400-00000F000000}"/>
    <hyperlink ref="A18" r:id="rId17" xr:uid="{00000000-0004-0000-0400-000010000000}"/>
    <hyperlink ref="A19" r:id="rId18" xr:uid="{00000000-0004-0000-0400-000011000000}"/>
    <hyperlink ref="A20" r:id="rId19" xr:uid="{00000000-0004-0000-0400-000012000000}"/>
    <hyperlink ref="A21" r:id="rId20" xr:uid="{00000000-0004-0000-0400-000013000000}"/>
    <hyperlink ref="A22" r:id="rId21" xr:uid="{00000000-0004-0000-0400-000014000000}"/>
    <hyperlink ref="A23" r:id="rId22" xr:uid="{00000000-0004-0000-0400-000015000000}"/>
    <hyperlink ref="A24" r:id="rId23" xr:uid="{00000000-0004-0000-0400-000016000000}"/>
    <hyperlink ref="A25" r:id="rId24" xr:uid="{00000000-0004-0000-0400-000017000000}"/>
    <hyperlink ref="A26" r:id="rId25" xr:uid="{00000000-0004-0000-0400-000018000000}"/>
    <hyperlink ref="A27" r:id="rId26" xr:uid="{00000000-0004-0000-0400-000019000000}"/>
    <hyperlink ref="A28" r:id="rId27" xr:uid="{00000000-0004-0000-0400-00001A000000}"/>
    <hyperlink ref="A29" r:id="rId28" xr:uid="{00000000-0004-0000-0400-00001B000000}"/>
    <hyperlink ref="A30" r:id="rId29" xr:uid="{00000000-0004-0000-0400-00001C000000}"/>
    <hyperlink ref="A31" r:id="rId30" xr:uid="{00000000-0004-0000-0400-00001D000000}"/>
    <hyperlink ref="A32" r:id="rId31" xr:uid="{00000000-0004-0000-0400-00001E000000}"/>
    <hyperlink ref="A33" r:id="rId32" xr:uid="{00000000-0004-0000-0400-00001F000000}"/>
    <hyperlink ref="A34" r:id="rId33" xr:uid="{00000000-0004-0000-0400-000020000000}"/>
    <hyperlink ref="A35" r:id="rId34" xr:uid="{00000000-0004-0000-0400-00002100000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Z15"/>
  <sheetViews>
    <sheetView workbookViewId="0">
      <selection activeCell="A15" sqref="A15:XFD15"/>
    </sheetView>
  </sheetViews>
  <sheetFormatPr baseColWidth="10" defaultColWidth="14.5" defaultRowHeight="15" customHeight="1"/>
  <sheetData>
    <row r="1" spans="1:26" ht="21.75" customHeight="1">
      <c r="A1" s="1" t="s">
        <v>0</v>
      </c>
      <c r="B1" s="1" t="s">
        <v>1</v>
      </c>
      <c r="C1" s="1" t="s">
        <v>2</v>
      </c>
      <c r="D1" s="1" t="s">
        <v>3</v>
      </c>
      <c r="E1" s="1" t="s">
        <v>4</v>
      </c>
      <c r="F1" s="1" t="s">
        <v>5</v>
      </c>
      <c r="G1" s="1" t="s">
        <v>6</v>
      </c>
      <c r="H1" s="1" t="s">
        <v>5919</v>
      </c>
      <c r="I1" s="1" t="s">
        <v>8</v>
      </c>
      <c r="J1" s="1" t="s">
        <v>9</v>
      </c>
      <c r="K1" s="1" t="s">
        <v>10</v>
      </c>
      <c r="L1" s="1" t="s">
        <v>11</v>
      </c>
      <c r="M1" s="1"/>
      <c r="N1" s="1"/>
      <c r="O1" s="1"/>
      <c r="P1" s="1"/>
      <c r="Q1" s="1"/>
      <c r="R1" s="1"/>
      <c r="S1" s="1"/>
      <c r="T1" s="1"/>
      <c r="U1" s="1"/>
      <c r="V1" s="1"/>
      <c r="W1" s="1"/>
      <c r="X1" s="1"/>
      <c r="Y1" s="1"/>
      <c r="Z1" s="1"/>
    </row>
    <row r="2" spans="1:26" ht="21.75" customHeight="1">
      <c r="A2" s="1">
        <v>2393</v>
      </c>
      <c r="B2" s="1" t="s">
        <v>5920</v>
      </c>
      <c r="C2" s="1" t="s">
        <v>5514</v>
      </c>
      <c r="D2" s="4">
        <v>40005.568055555559</v>
      </c>
      <c r="E2" s="1" t="s">
        <v>5921</v>
      </c>
      <c r="F2" s="1"/>
      <c r="G2" s="1"/>
      <c r="H2" s="1"/>
      <c r="I2" s="1" t="s">
        <v>166</v>
      </c>
      <c r="J2" s="1"/>
      <c r="K2" s="1" t="s">
        <v>5922</v>
      </c>
      <c r="L2" s="1" t="s">
        <v>5923</v>
      </c>
      <c r="M2" s="1"/>
      <c r="N2" s="1"/>
      <c r="O2" s="1"/>
      <c r="P2" s="1"/>
      <c r="Q2" s="1"/>
      <c r="R2" s="1"/>
      <c r="S2" s="1"/>
      <c r="T2" s="1"/>
      <c r="U2" s="1"/>
      <c r="V2" s="1"/>
      <c r="W2" s="1"/>
      <c r="X2" s="1"/>
      <c r="Y2" s="1"/>
      <c r="Z2" s="1"/>
    </row>
    <row r="6" spans="1:26" s="29" customFormat="1" ht="183">
      <c r="A6" s="27" t="s">
        <v>753</v>
      </c>
      <c r="B6" s="27" t="s">
        <v>160</v>
      </c>
      <c r="C6" s="28">
        <v>39848.824999999997</v>
      </c>
      <c r="D6" s="27" t="s">
        <v>255</v>
      </c>
      <c r="E6" s="27">
        <v>111</v>
      </c>
      <c r="F6" s="27"/>
      <c r="G6" s="27"/>
      <c r="H6" s="27"/>
      <c r="I6" s="27"/>
      <c r="J6" s="27"/>
      <c r="K6" s="27"/>
      <c r="L6" s="30" t="s">
        <v>755</v>
      </c>
      <c r="M6" s="27">
        <v>32</v>
      </c>
    </row>
    <row r="7" spans="1:26">
      <c r="A7" s="19" t="s">
        <v>805</v>
      </c>
      <c r="B7" s="19" t="s">
        <v>160</v>
      </c>
      <c r="C7" s="22">
        <v>39849.249305555553</v>
      </c>
      <c r="D7" s="19" t="s">
        <v>320</v>
      </c>
      <c r="E7" s="19" t="s">
        <v>806</v>
      </c>
      <c r="G7" s="20" t="s">
        <v>807</v>
      </c>
      <c r="H7" s="19">
        <v>50</v>
      </c>
    </row>
    <row r="8" spans="1:26" s="29" customFormat="1" ht="85">
      <c r="A8" s="27" t="s">
        <v>1122</v>
      </c>
      <c r="B8" s="27" t="s">
        <v>926</v>
      </c>
      <c r="C8" s="28">
        <v>39852.001388888886</v>
      </c>
      <c r="D8" s="27" t="s">
        <v>14</v>
      </c>
      <c r="E8" s="27"/>
      <c r="F8" s="27" t="s">
        <v>393</v>
      </c>
      <c r="G8" s="30" t="s">
        <v>1124</v>
      </c>
      <c r="H8" s="27">
        <v>299</v>
      </c>
    </row>
    <row r="9" spans="1:26" s="29" customFormat="1" ht="183">
      <c r="A9" s="27" t="s">
        <v>1215</v>
      </c>
      <c r="B9" s="27" t="s">
        <v>1196</v>
      </c>
      <c r="C9" s="28">
        <v>39852.77847222222</v>
      </c>
      <c r="D9" s="27" t="s">
        <v>54</v>
      </c>
      <c r="E9" s="27" t="s">
        <v>1216</v>
      </c>
      <c r="G9" s="30" t="s">
        <v>1217</v>
      </c>
      <c r="H9" s="27">
        <v>686</v>
      </c>
    </row>
    <row r="10" spans="1:26" s="29" customFormat="1" ht="29">
      <c r="A10" s="27" t="s">
        <v>1405</v>
      </c>
      <c r="B10" s="27" t="s">
        <v>1196</v>
      </c>
      <c r="C10" s="28">
        <v>39854.146527777775</v>
      </c>
      <c r="D10" s="27" t="s">
        <v>54</v>
      </c>
      <c r="F10" s="27" t="s">
        <v>1406</v>
      </c>
      <c r="G10" s="30" t="s">
        <v>1407</v>
      </c>
      <c r="H10" s="27">
        <v>83</v>
      </c>
    </row>
    <row r="11" spans="1:26" s="29" customFormat="1" ht="29">
      <c r="A11" s="27" t="s">
        <v>1473</v>
      </c>
      <c r="B11" s="31" t="s">
        <v>13</v>
      </c>
      <c r="C11" s="28">
        <v>39855.247916666667</v>
      </c>
      <c r="D11" s="27" t="s">
        <v>1474</v>
      </c>
      <c r="F11" s="27" t="s">
        <v>49</v>
      </c>
      <c r="G11" s="30" t="s">
        <v>1475</v>
      </c>
      <c r="H11" s="27">
        <v>88</v>
      </c>
    </row>
    <row r="12" spans="1:26" s="29" customFormat="1" ht="85">
      <c r="A12" s="27" t="s">
        <v>1546</v>
      </c>
      <c r="B12" s="27" t="s">
        <v>1196</v>
      </c>
      <c r="C12" s="28">
        <v>39855.884027777778</v>
      </c>
      <c r="D12" s="27" t="s">
        <v>54</v>
      </c>
      <c r="F12" s="27" t="s">
        <v>1547</v>
      </c>
      <c r="G12" s="30" t="s">
        <v>1549</v>
      </c>
      <c r="H12" s="27">
        <v>276</v>
      </c>
    </row>
    <row r="13" spans="1:26" s="29" customFormat="1">
      <c r="A13" s="27" t="s">
        <v>1650</v>
      </c>
      <c r="B13" s="27" t="s">
        <v>846</v>
      </c>
      <c r="C13" s="28">
        <v>39856.561805555553</v>
      </c>
      <c r="D13" s="27" t="s">
        <v>84</v>
      </c>
      <c r="F13" s="27" t="s">
        <v>1651</v>
      </c>
      <c r="G13" s="30" t="s">
        <v>1652</v>
      </c>
      <c r="H13" s="27">
        <v>38</v>
      </c>
    </row>
    <row r="14" spans="1:26" s="29" customFormat="1">
      <c r="A14" s="27" t="s">
        <v>2514</v>
      </c>
      <c r="B14" s="27" t="s">
        <v>2335</v>
      </c>
      <c r="C14" s="28">
        <v>39869.859722222223</v>
      </c>
      <c r="D14" s="27" t="s">
        <v>54</v>
      </c>
      <c r="F14" s="27" t="s">
        <v>2515</v>
      </c>
      <c r="G14" s="30" t="s">
        <v>2516</v>
      </c>
      <c r="H14" s="27">
        <v>36</v>
      </c>
    </row>
    <row r="15" spans="1:26" s="29" customFormat="1" ht="57">
      <c r="A15" s="27" t="s">
        <v>2602</v>
      </c>
      <c r="B15" s="27" t="s">
        <v>2335</v>
      </c>
      <c r="C15" s="28">
        <v>39872.724999999999</v>
      </c>
      <c r="D15" s="27" t="s">
        <v>1528</v>
      </c>
      <c r="F15" s="27" t="s">
        <v>2603</v>
      </c>
      <c r="G15" s="30" t="s">
        <v>2604</v>
      </c>
      <c r="H15" s="27">
        <v>186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USE ME - LOOKUP CODES &amp; DATA he</vt:lpstr>
      <vt:lpstr>Topological Range - where are p</vt:lpstr>
      <vt:lpstr>coded as no response</vt:lpstr>
      <vt:lpstr>coded as multi response</vt:lpstr>
      <vt:lpstr>Thread Overlap</vt:lpstr>
      <vt:lpstr>Code Book (from IRR file)</vt:lpstr>
      <vt:lpstr>post_url_lookup_codes</vt:lpstr>
      <vt:lpstr>removed at quant prep stage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Jenna Matthews</cp:lastModifiedBy>
  <dcterms:created xsi:type="dcterms:W3CDTF">2024-03-08T16:21:22Z</dcterms:created>
  <dcterms:modified xsi:type="dcterms:W3CDTF">2024-03-08T20:48:36Z</dcterms:modified>
</cp:coreProperties>
</file>