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hotorii/Desktop/backup/Pasteur/Chimeric virus project/Data5. Growth kinetics 2nd set Chimeric viruses/"/>
    </mc:Choice>
  </mc:AlternateContent>
  <xr:revisionPtr revIDLastSave="0" documentId="13_ncr:1_{823E9B40-6CDA-BF40-8B17-0375FFC61600}" xr6:coauthVersionLast="47" xr6:coauthVersionMax="47" xr10:uidLastSave="{00000000-0000-0000-0000-000000000000}"/>
  <bookViews>
    <workbookView xWindow="10100" yWindow="500" windowWidth="28040" windowHeight="16680" xr2:uid="{C233F6EE-FE90-F74B-BE27-2B9D13786C36}"/>
  </bookViews>
  <sheets>
    <sheet name="MOI=0.01 August 1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G19" i="2" s="1"/>
  <c r="B21" i="2"/>
  <c r="B20" i="2"/>
  <c r="B14" i="2"/>
  <c r="G14" i="2" s="1"/>
  <c r="B15" i="2"/>
  <c r="I16" i="2"/>
  <c r="D16" i="2"/>
  <c r="D21" i="2"/>
  <c r="I21" i="2" s="1"/>
  <c r="D24" i="2"/>
  <c r="I24" i="2" s="1"/>
  <c r="D36" i="2"/>
  <c r="I36" i="2" s="1"/>
  <c r="E16" i="2"/>
  <c r="J16" i="2" s="1"/>
  <c r="E15" i="2"/>
  <c r="J15" i="2" s="1"/>
  <c r="E14" i="2"/>
  <c r="J14" i="2" s="1"/>
  <c r="E11" i="2"/>
  <c r="J11" i="2" s="1"/>
  <c r="C29" i="2"/>
  <c r="H29" i="2" s="1"/>
  <c r="E10" i="2"/>
  <c r="J10" i="2" s="1"/>
  <c r="I41" i="2"/>
  <c r="C39" i="2"/>
  <c r="H39" i="2" s="1"/>
  <c r="D41" i="2"/>
  <c r="D44" i="2"/>
  <c r="I44" i="2" s="1"/>
  <c r="D40" i="2"/>
  <c r="I40" i="2" s="1"/>
  <c r="D39" i="2"/>
  <c r="I39" i="2" s="1"/>
  <c r="E5" i="2"/>
  <c r="J5" i="2" s="1"/>
  <c r="E4" i="2"/>
  <c r="J4" i="2" s="1"/>
  <c r="D4" i="2"/>
  <c r="I4" i="2" s="1"/>
  <c r="D5" i="2"/>
  <c r="I5" i="2" s="1"/>
  <c r="C46" i="2"/>
  <c r="H46" i="2" s="1"/>
  <c r="C45" i="2"/>
  <c r="C47" i="2" s="1"/>
  <c r="C44" i="2"/>
  <c r="H44" i="2" s="1"/>
  <c r="C41" i="2"/>
  <c r="H41" i="2" s="1"/>
  <c r="C40" i="2"/>
  <c r="H40" i="2" s="1"/>
  <c r="E46" i="2"/>
  <c r="J46" i="2" s="1"/>
  <c r="E45" i="2"/>
  <c r="J45" i="2" s="1"/>
  <c r="E44" i="2"/>
  <c r="E41" i="2"/>
  <c r="J41" i="2" s="1"/>
  <c r="E40" i="2"/>
  <c r="J40" i="2" s="1"/>
  <c r="E39" i="2"/>
  <c r="J39" i="2" s="1"/>
  <c r="E36" i="2"/>
  <c r="J36" i="2" s="1"/>
  <c r="E35" i="2"/>
  <c r="J35" i="2" s="1"/>
  <c r="E34" i="2"/>
  <c r="E37" i="2" s="1"/>
  <c r="E31" i="2"/>
  <c r="E30" i="2"/>
  <c r="E29" i="2"/>
  <c r="E26" i="2"/>
  <c r="E25" i="2"/>
  <c r="J25" i="2" s="1"/>
  <c r="E24" i="2"/>
  <c r="J24" i="2" s="1"/>
  <c r="E21" i="2"/>
  <c r="J21" i="2" s="1"/>
  <c r="E20" i="2"/>
  <c r="J20" i="2" s="1"/>
  <c r="E19" i="2"/>
  <c r="E23" i="2" s="1"/>
  <c r="E9" i="2"/>
  <c r="E6" i="2"/>
  <c r="J6" i="2" s="1"/>
  <c r="I11" i="2"/>
  <c r="I9" i="2"/>
  <c r="D46" i="2"/>
  <c r="I46" i="2" s="1"/>
  <c r="D45" i="2"/>
  <c r="I45" i="2" s="1"/>
  <c r="D35" i="2"/>
  <c r="I35" i="2" s="1"/>
  <c r="D34" i="2"/>
  <c r="I34" i="2" s="1"/>
  <c r="D31" i="2"/>
  <c r="I31" i="2" s="1"/>
  <c r="D30" i="2"/>
  <c r="I30" i="2" s="1"/>
  <c r="D29" i="2"/>
  <c r="I29" i="2" s="1"/>
  <c r="D26" i="2"/>
  <c r="I26" i="2" s="1"/>
  <c r="D25" i="2"/>
  <c r="I25" i="2" s="1"/>
  <c r="D20" i="2"/>
  <c r="I20" i="2" s="1"/>
  <c r="D19" i="2"/>
  <c r="I19" i="2" s="1"/>
  <c r="D15" i="2"/>
  <c r="I15" i="2" s="1"/>
  <c r="D14" i="2"/>
  <c r="I14" i="2" s="1"/>
  <c r="D10" i="2"/>
  <c r="I10" i="2" s="1"/>
  <c r="D6" i="2"/>
  <c r="I6" i="2" s="1"/>
  <c r="C36" i="2"/>
  <c r="H36" i="2" s="1"/>
  <c r="C35" i="2"/>
  <c r="H35" i="2" s="1"/>
  <c r="C34" i="2"/>
  <c r="C31" i="2"/>
  <c r="H31" i="2" s="1"/>
  <c r="C30" i="2"/>
  <c r="H30" i="2" s="1"/>
  <c r="C26" i="2"/>
  <c r="H26" i="2" s="1"/>
  <c r="C25" i="2"/>
  <c r="H25" i="2" s="1"/>
  <c r="C24" i="2"/>
  <c r="H24" i="2" s="1"/>
  <c r="C21" i="2"/>
  <c r="C20" i="2"/>
  <c r="H20" i="2" s="1"/>
  <c r="C19" i="2"/>
  <c r="C16" i="2"/>
  <c r="C15" i="2"/>
  <c r="H15" i="2" s="1"/>
  <c r="C14" i="2"/>
  <c r="H14" i="2" s="1"/>
  <c r="C11" i="2"/>
  <c r="H11" i="2" s="1"/>
  <c r="C10" i="2"/>
  <c r="H10" i="2" s="1"/>
  <c r="C9" i="2"/>
  <c r="C6" i="2"/>
  <c r="H6" i="2" s="1"/>
  <c r="C5" i="2"/>
  <c r="H5" i="2" s="1"/>
  <c r="C4" i="2"/>
  <c r="B46" i="2"/>
  <c r="B45" i="2"/>
  <c r="G45" i="2" s="1"/>
  <c r="B44" i="2"/>
  <c r="B41" i="2"/>
  <c r="G41" i="2" s="1"/>
  <c r="B39" i="2"/>
  <c r="B40" i="2"/>
  <c r="G40" i="2" s="1"/>
  <c r="B36" i="2"/>
  <c r="G36" i="2" s="1"/>
  <c r="B35" i="2"/>
  <c r="G35" i="2" s="1"/>
  <c r="B34" i="2"/>
  <c r="B25" i="2"/>
  <c r="G25" i="2" s="1"/>
  <c r="B24" i="2"/>
  <c r="B26" i="2"/>
  <c r="G26" i="2" s="1"/>
  <c r="B31" i="2"/>
  <c r="G31" i="2" s="1"/>
  <c r="B30" i="2"/>
  <c r="G30" i="2" s="1"/>
  <c r="B29" i="2"/>
  <c r="G20" i="2"/>
  <c r="B16" i="2"/>
  <c r="G16" i="2" s="1"/>
  <c r="G15" i="2"/>
  <c r="B11" i="2"/>
  <c r="G11" i="2" s="1"/>
  <c r="B10" i="2"/>
  <c r="G10" i="2" s="1"/>
  <c r="B9" i="2"/>
  <c r="G9" i="2" s="1"/>
  <c r="B6" i="2"/>
  <c r="B5" i="2"/>
  <c r="G5" i="2" s="1"/>
  <c r="B4" i="2"/>
  <c r="G4" i="2" s="1"/>
  <c r="J31" i="2"/>
  <c r="J29" i="2"/>
  <c r="J26" i="2"/>
  <c r="J19" i="2"/>
  <c r="G46" i="2"/>
  <c r="H21" i="2"/>
  <c r="H16" i="2"/>
  <c r="B18" i="2"/>
  <c r="G6" i="2"/>
  <c r="E13" i="2" l="1"/>
  <c r="E27" i="2"/>
  <c r="J18" i="2"/>
  <c r="J17" i="2"/>
  <c r="E28" i="2"/>
  <c r="E18" i="2"/>
  <c r="H45" i="2"/>
  <c r="E48" i="2"/>
  <c r="G18" i="2"/>
  <c r="E17" i="2"/>
  <c r="H43" i="2"/>
  <c r="G17" i="2"/>
  <c r="C7" i="2"/>
  <c r="C38" i="2"/>
  <c r="E33" i="2"/>
  <c r="J9" i="2"/>
  <c r="J13" i="2" s="1"/>
  <c r="H42" i="2"/>
  <c r="J7" i="2"/>
  <c r="C23" i="2"/>
  <c r="B37" i="2"/>
  <c r="B32" i="2"/>
  <c r="E38" i="2"/>
  <c r="B43" i="2"/>
  <c r="C32" i="2"/>
  <c r="E47" i="2"/>
  <c r="E22" i="2"/>
  <c r="C22" i="2"/>
  <c r="B23" i="2"/>
  <c r="G21" i="2"/>
  <c r="E12" i="2"/>
  <c r="B48" i="2"/>
  <c r="C13" i="2"/>
  <c r="D7" i="2"/>
  <c r="E8" i="2"/>
  <c r="E42" i="2"/>
  <c r="E43" i="2"/>
  <c r="J30" i="2"/>
  <c r="J32" i="2" s="1"/>
  <c r="E32" i="2"/>
  <c r="J34" i="2"/>
  <c r="J37" i="2" s="1"/>
  <c r="J44" i="2"/>
  <c r="J48" i="2" s="1"/>
  <c r="B17" i="2"/>
  <c r="B8" i="2"/>
  <c r="E7" i="2"/>
  <c r="B28" i="2"/>
  <c r="J42" i="2"/>
  <c r="J43" i="2"/>
  <c r="J28" i="2"/>
  <c r="J22" i="2"/>
  <c r="J8" i="2"/>
  <c r="J27" i="2"/>
  <c r="J38" i="2"/>
  <c r="J23" i="2"/>
  <c r="H48" i="2"/>
  <c r="H47" i="2"/>
  <c r="G12" i="2"/>
  <c r="G13" i="2"/>
  <c r="I28" i="2"/>
  <c r="I27" i="2"/>
  <c r="I38" i="2"/>
  <c r="I37" i="2"/>
  <c r="I13" i="2"/>
  <c r="I12" i="2"/>
  <c r="I23" i="2"/>
  <c r="I22" i="2"/>
  <c r="I33" i="2"/>
  <c r="I32" i="2"/>
  <c r="I43" i="2"/>
  <c r="I42" i="2"/>
  <c r="H18" i="2"/>
  <c r="H17" i="2"/>
  <c r="I8" i="2"/>
  <c r="I7" i="2"/>
  <c r="I18" i="2"/>
  <c r="I17" i="2"/>
  <c r="H28" i="2"/>
  <c r="H27" i="2"/>
  <c r="I48" i="2"/>
  <c r="I47" i="2"/>
  <c r="B27" i="2"/>
  <c r="C8" i="2"/>
  <c r="C27" i="2"/>
  <c r="C33" i="2"/>
  <c r="C48" i="2"/>
  <c r="B13" i="2"/>
  <c r="B7" i="2"/>
  <c r="B12" i="2"/>
  <c r="B22" i="2"/>
  <c r="B38" i="2"/>
  <c r="B47" i="2"/>
  <c r="C12" i="2"/>
  <c r="C18" i="2"/>
  <c r="D18" i="2"/>
  <c r="D27" i="2"/>
  <c r="D32" i="2"/>
  <c r="D38" i="2"/>
  <c r="D42" i="2"/>
  <c r="G29" i="2"/>
  <c r="G34" i="2"/>
  <c r="G39" i="2"/>
  <c r="G44" i="2"/>
  <c r="B33" i="2"/>
  <c r="B42" i="2"/>
  <c r="C17" i="2"/>
  <c r="C28" i="2"/>
  <c r="C37" i="2"/>
  <c r="C42" i="2"/>
  <c r="C43" i="2"/>
  <c r="D8" i="2"/>
  <c r="D12" i="2"/>
  <c r="D22" i="2"/>
  <c r="D33" i="2"/>
  <c r="D47" i="2"/>
  <c r="G24" i="2"/>
  <c r="H4" i="2"/>
  <c r="H9" i="2"/>
  <c r="H19" i="2"/>
  <c r="H34" i="2"/>
  <c r="D13" i="2"/>
  <c r="D17" i="2"/>
  <c r="D23" i="2"/>
  <c r="D28" i="2"/>
  <c r="D37" i="2"/>
  <c r="D43" i="2"/>
  <c r="D48" i="2"/>
  <c r="J33" i="2" l="1"/>
  <c r="J12" i="2"/>
  <c r="J47" i="2"/>
  <c r="G43" i="2"/>
  <c r="G42" i="2"/>
  <c r="H33" i="2"/>
  <c r="H32" i="2"/>
  <c r="H23" i="2"/>
  <c r="H22" i="2"/>
  <c r="G48" i="2"/>
  <c r="G47" i="2"/>
  <c r="H13" i="2"/>
  <c r="H12" i="2"/>
  <c r="H8" i="2"/>
  <c r="H7" i="2"/>
  <c r="G38" i="2"/>
  <c r="G37" i="2"/>
  <c r="G28" i="2"/>
  <c r="G27" i="2"/>
  <c r="G33" i="2"/>
  <c r="G32" i="2"/>
  <c r="H38" i="2"/>
  <c r="H37" i="2"/>
  <c r="G23" i="2"/>
  <c r="G22" i="2"/>
  <c r="G8" i="2"/>
  <c r="G7" i="2"/>
</calcChain>
</file>

<file path=xl/sharedStrings.xml><?xml version="1.0" encoding="utf-8"?>
<sst xmlns="http://schemas.openxmlformats.org/spreadsheetml/2006/main" count="94" uniqueCount="14">
  <si>
    <t>Virus</t>
  </si>
  <si>
    <t>Time (hours)</t>
  </si>
  <si>
    <t>Chimera 1</t>
  </si>
  <si>
    <t>Chimera 9</t>
  </si>
  <si>
    <t>Chimera 10</t>
  </si>
  <si>
    <t>Chimera 11</t>
  </si>
  <si>
    <t>Chimera 12</t>
  </si>
  <si>
    <t>Chimera 13</t>
  </si>
  <si>
    <t>Chimera 14</t>
  </si>
  <si>
    <t>Chimera 15</t>
  </si>
  <si>
    <t>Chimera 16</t>
  </si>
  <si>
    <t>Titer must be x5</t>
  </si>
  <si>
    <t>ave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</si>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</sst>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Dot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2" fillId="0" borderId="0" xfId="0" applyFont="1"/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6D6FF"/>
      <color rgb="FFFF9300"/>
      <color rgb="FFFFD579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Senegal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'MOI=0.01 August 14'!$G$8:$J$8</c:f>
                <c:numCache>
                  <c:formatCode>General</c:formatCode>
                  <c:ptCount val="4"/>
                  <c:pt idx="0">
                    <c:v>144.33756729740637</c:v>
                  </c:pt>
                  <c:pt idx="1">
                    <c:v>35000</c:v>
                  </c:pt>
                  <c:pt idx="2">
                    <c:v>120034.7172002056</c:v>
                  </c:pt>
                  <c:pt idx="3">
                    <c:v>180277.56377319945</c:v>
                  </c:pt>
                </c:numCache>
              </c:numRef>
            </c:plus>
            <c:minus>
              <c:numRef>
                <c:f>'MOI=0.01 August 14'!$G$8:$J$8</c:f>
                <c:numCache>
                  <c:formatCode>General</c:formatCode>
                  <c:ptCount val="4"/>
                  <c:pt idx="0">
                    <c:v>144.33756729740637</c:v>
                  </c:pt>
                  <c:pt idx="1">
                    <c:v>35000</c:v>
                  </c:pt>
                  <c:pt idx="2">
                    <c:v>120034.7172002056</c:v>
                  </c:pt>
                  <c:pt idx="3">
                    <c:v>180277.56377319945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'MOI=0.01 August 14'!$G$3:$J$3</c:f>
              <c:numCache>
                <c:formatCode>General</c:formatCode>
                <c:ptCount val="4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</c:numCache>
            </c:numRef>
          </c:cat>
          <c:val>
            <c:numRef>
              <c:f>'MOI=0.01 August 14'!$G$7:$J$7</c:f>
              <c:numCache>
                <c:formatCode>0</c:formatCode>
                <c:ptCount val="4"/>
                <c:pt idx="0">
                  <c:v>533.33333333333337</c:v>
                </c:pt>
                <c:pt idx="1">
                  <c:v>120000</c:v>
                </c:pt>
                <c:pt idx="2">
                  <c:v>211666.66666666666</c:v>
                </c:pt>
                <c:pt idx="3">
                  <c:v>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C-A74C-91B1-A490823E87CE}"/>
            </c:ext>
          </c:extLst>
        </c:ser>
        <c:ser>
          <c:idx val="1"/>
          <c:order val="1"/>
          <c:tx>
            <c:v>C</c:v>
          </c:tx>
          <c:spPr>
            <a:ln w="25400" cap="rnd">
              <a:solidFill>
                <a:srgbClr val="FF9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300"/>
              </a:solidFill>
              <a:ln w="9525">
                <a:solidFill>
                  <a:srgbClr val="FF93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'MOI=0.01 August 14'!$G$13:$J$13</c:f>
                <c:numCache>
                  <c:formatCode>General</c:formatCode>
                  <c:ptCount val="4"/>
                  <c:pt idx="0">
                    <c:v>275.37852736430517</c:v>
                  </c:pt>
                  <c:pt idx="1">
                    <c:v>33291.640592397001</c:v>
                  </c:pt>
                  <c:pt idx="2">
                    <c:v>100000</c:v>
                  </c:pt>
                  <c:pt idx="3">
                    <c:v>768656.83717334701</c:v>
                  </c:pt>
                </c:numCache>
              </c:numRef>
            </c:plus>
            <c:minus>
              <c:numRef>
                <c:f>'MOI=0.01 August 14'!$G$13:$J$13</c:f>
                <c:numCache>
                  <c:formatCode>General</c:formatCode>
                  <c:ptCount val="4"/>
                  <c:pt idx="0">
                    <c:v>275.37852736430517</c:v>
                  </c:pt>
                  <c:pt idx="1">
                    <c:v>33291.640592397001</c:v>
                  </c:pt>
                  <c:pt idx="2">
                    <c:v>100000</c:v>
                  </c:pt>
                  <c:pt idx="3">
                    <c:v>768656.83717334701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'MOI=0.01 August 14'!$G$3:$J$3</c:f>
              <c:numCache>
                <c:formatCode>General</c:formatCode>
                <c:ptCount val="4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</c:numCache>
            </c:numRef>
          </c:cat>
          <c:val>
            <c:numRef>
              <c:f>'MOI=0.01 August 14'!$G$12:$J$12</c:f>
              <c:numCache>
                <c:formatCode>0</c:formatCode>
                <c:ptCount val="4"/>
                <c:pt idx="0">
                  <c:v>733.33333333333337</c:v>
                </c:pt>
                <c:pt idx="1">
                  <c:v>163333.33333333334</c:v>
                </c:pt>
                <c:pt idx="2">
                  <c:v>350000</c:v>
                </c:pt>
                <c:pt idx="3">
                  <c:v>966666.66666666663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C-A74C-91B1-A490823E87CE}"/>
            </c:ext>
          </c:extLst>
        </c:ser>
        <c:ser>
          <c:idx val="2"/>
          <c:order val="2"/>
          <c:tx>
            <c:v>prM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'MOI=0.01 August 14'!$G$18:$J$18</c:f>
                <c:numCache>
                  <c:formatCode>General</c:formatCode>
                  <c:ptCount val="4"/>
                  <c:pt idx="0">
                    <c:v>28.867513459481266</c:v>
                  </c:pt>
                  <c:pt idx="1">
                    <c:v>3055.050463303895</c:v>
                  </c:pt>
                  <c:pt idx="2">
                    <c:v>16072.751268321581</c:v>
                  </c:pt>
                  <c:pt idx="3">
                    <c:v>105396.07835841586</c:v>
                  </c:pt>
                </c:numCache>
              </c:numRef>
            </c:plus>
            <c:minus>
              <c:numRef>
                <c:f>'MOI=0.01 August 14'!$G$18:$J$18</c:f>
                <c:numCache>
                  <c:formatCode>General</c:formatCode>
                  <c:ptCount val="4"/>
                  <c:pt idx="0">
                    <c:v>28.867513459481266</c:v>
                  </c:pt>
                  <c:pt idx="1">
                    <c:v>3055.050463303895</c:v>
                  </c:pt>
                  <c:pt idx="2">
                    <c:v>16072.751268321581</c:v>
                  </c:pt>
                  <c:pt idx="3">
                    <c:v>105396.07835841586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'MOI=0.01 August 14'!$G$3:$J$3</c:f>
              <c:numCache>
                <c:formatCode>General</c:formatCode>
                <c:ptCount val="4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</c:numCache>
            </c:numRef>
          </c:cat>
          <c:val>
            <c:numRef>
              <c:f>'MOI=0.01 August 14'!$G$17:$J$17</c:f>
              <c:numCache>
                <c:formatCode>0</c:formatCode>
                <c:ptCount val="4"/>
                <c:pt idx="0">
                  <c:v>133.33333333333334</c:v>
                </c:pt>
                <c:pt idx="1">
                  <c:v>11166.666666666666</c:v>
                </c:pt>
                <c:pt idx="2">
                  <c:v>61666.666666666664</c:v>
                </c:pt>
                <c:pt idx="3">
                  <c:v>213333.33333333334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C-A74C-91B1-A490823E87CE}"/>
            </c:ext>
          </c:extLst>
        </c:ser>
        <c:ser>
          <c:idx val="3"/>
          <c:order val="3"/>
          <c:tx>
            <c:v>E</c:v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'MOI=0.01 August 14'!$G$23:$J$23</c:f>
                <c:numCache>
                  <c:formatCode>General</c:formatCode>
                  <c:ptCount val="4"/>
                  <c:pt idx="0">
                    <c:v>52.915026221291811</c:v>
                  </c:pt>
                  <c:pt idx="1">
                    <c:v>3547.2994422987954</c:v>
                  </c:pt>
                  <c:pt idx="2">
                    <c:v>15275.252316519463</c:v>
                  </c:pt>
                  <c:pt idx="3">
                    <c:v>17559.42292142125</c:v>
                  </c:pt>
                </c:numCache>
              </c:numRef>
            </c:plus>
            <c:minus>
              <c:numRef>
                <c:f>'MOI=0.01 August 14'!$G$23:$J$23</c:f>
                <c:numCache>
                  <c:formatCode>General</c:formatCode>
                  <c:ptCount val="4"/>
                  <c:pt idx="0">
                    <c:v>52.915026221291811</c:v>
                  </c:pt>
                  <c:pt idx="1">
                    <c:v>3547.2994422987954</c:v>
                  </c:pt>
                  <c:pt idx="2">
                    <c:v>15275.252316519463</c:v>
                  </c:pt>
                  <c:pt idx="3">
                    <c:v>17559.42292142125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numRef>
              <c:f>'MOI=0.01 August 14'!$G$3:$J$3</c:f>
              <c:numCache>
                <c:formatCode>General</c:formatCode>
                <c:ptCount val="4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</c:numCache>
            </c:numRef>
          </c:cat>
          <c:val>
            <c:numRef>
              <c:f>'MOI=0.01 August 14'!$G$22:$J$22</c:f>
              <c:numCache>
                <c:formatCode>0</c:formatCode>
                <c:ptCount val="4"/>
                <c:pt idx="0">
                  <c:v>160</c:v>
                </c:pt>
                <c:pt idx="1">
                  <c:v>9666.6666666666661</c:v>
                </c:pt>
                <c:pt idx="2">
                  <c:v>36666.666666666664</c:v>
                </c:pt>
                <c:pt idx="3">
                  <c:v>81666.666666666672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C-A74C-91B1-A490823E87CE}"/>
            </c:ext>
          </c:extLst>
        </c:ser>
        <c:ser>
          <c:idx val="4"/>
          <c:order val="4"/>
          <c:tx>
            <c:v>NS1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'MOI=0.01 August 14'!$G$28:$J$28</c:f>
                <c:numCache>
                  <c:formatCode>General</c:formatCode>
                  <c:ptCount val="4"/>
                  <c:pt idx="0">
                    <c:v>305.50504633038929</c:v>
                  </c:pt>
                  <c:pt idx="1">
                    <c:v>37527.76749732568</c:v>
                  </c:pt>
                  <c:pt idx="2">
                    <c:v>65574.385243020006</c:v>
                  </c:pt>
                  <c:pt idx="3">
                    <c:v>125830.57392117915</c:v>
                  </c:pt>
                </c:numCache>
              </c:numRef>
            </c:plus>
            <c:minus>
              <c:numRef>
                <c:f>'MOI=0.01 August 14'!$G$28:$J$28</c:f>
                <c:numCache>
                  <c:formatCode>General</c:formatCode>
                  <c:ptCount val="4"/>
                  <c:pt idx="0">
                    <c:v>305.50504633038929</c:v>
                  </c:pt>
                  <c:pt idx="1">
                    <c:v>37527.76749732568</c:v>
                  </c:pt>
                  <c:pt idx="2">
                    <c:v>65574.385243020006</c:v>
                  </c:pt>
                  <c:pt idx="3">
                    <c:v>125830.57392117915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'MOI=0.01 August 14'!$G$3:$J$3</c:f>
              <c:numCache>
                <c:formatCode>General</c:formatCode>
                <c:ptCount val="4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</c:numCache>
            </c:numRef>
          </c:cat>
          <c:val>
            <c:numRef>
              <c:f>'MOI=0.01 August 14'!$G$27:$J$27</c:f>
              <c:numCache>
                <c:formatCode>0</c:formatCode>
                <c:ptCount val="4"/>
                <c:pt idx="0">
                  <c:v>433.33333333333331</c:v>
                </c:pt>
                <c:pt idx="1">
                  <c:v>103333.33333333333</c:v>
                </c:pt>
                <c:pt idx="2">
                  <c:v>290000</c:v>
                </c:pt>
                <c:pt idx="3">
                  <c:v>1183333.3333333333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C-A74C-91B1-A490823E87CE}"/>
            </c:ext>
          </c:extLst>
        </c:ser>
        <c:ser>
          <c:idx val="5"/>
          <c:order val="5"/>
          <c:tx>
            <c:v>NS2</c:v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'MOI=0.01 August 14'!$G$33:$J$33</c:f>
                <c:numCache>
                  <c:formatCode>General</c:formatCode>
                  <c:ptCount val="4"/>
                  <c:pt idx="0">
                    <c:v>57.735026918962568</c:v>
                  </c:pt>
                  <c:pt idx="1">
                    <c:v>15000</c:v>
                  </c:pt>
                  <c:pt idx="2">
                    <c:v>57735.026918962663</c:v>
                  </c:pt>
                  <c:pt idx="3">
                    <c:v>251661.14784235816</c:v>
                  </c:pt>
                </c:numCache>
              </c:numRef>
            </c:plus>
            <c:minus>
              <c:numRef>
                <c:f>'MOI=0.01 August 14'!$G$33:$J$33</c:f>
                <c:numCache>
                  <c:formatCode>General</c:formatCode>
                  <c:ptCount val="4"/>
                  <c:pt idx="0">
                    <c:v>57.735026918962568</c:v>
                  </c:pt>
                  <c:pt idx="1">
                    <c:v>15000</c:v>
                  </c:pt>
                  <c:pt idx="2">
                    <c:v>57735.026918962663</c:v>
                  </c:pt>
                  <c:pt idx="3">
                    <c:v>251661.14784235816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numRef>
              <c:f>'MOI=0.01 August 14'!$G$3:$J$3</c:f>
              <c:numCache>
                <c:formatCode>General</c:formatCode>
                <c:ptCount val="4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</c:numCache>
            </c:numRef>
          </c:cat>
          <c:val>
            <c:numRef>
              <c:f>'MOI=0.01 August 14'!$G$32:$J$32</c:f>
              <c:numCache>
                <c:formatCode>0</c:formatCode>
                <c:ptCount val="4"/>
                <c:pt idx="0">
                  <c:v>133.33333333333334</c:v>
                </c:pt>
                <c:pt idx="1">
                  <c:v>55000</c:v>
                </c:pt>
                <c:pt idx="2">
                  <c:v>316666.66666666669</c:v>
                </c:pt>
                <c:pt idx="3">
                  <c:v>916666.66666666663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5C-A74C-91B1-A490823E87CE}"/>
            </c:ext>
          </c:extLst>
        </c:ser>
        <c:ser>
          <c:idx val="6"/>
          <c:order val="6"/>
          <c:tx>
            <c:v>NS3</c:v>
          </c:tx>
          <c:spPr>
            <a:ln w="25400" cap="rnd">
              <a:solidFill>
                <a:srgbClr val="76D6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6D6FF"/>
              </a:solidFill>
              <a:ln w="9525">
                <a:solidFill>
                  <a:srgbClr val="76D6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'MOI=0.01 August 14'!$G$38:$J$38</c:f>
                <c:numCache>
                  <c:formatCode>General</c:formatCode>
                  <c:ptCount val="4"/>
                  <c:pt idx="0">
                    <c:v>150</c:v>
                  </c:pt>
                  <c:pt idx="1">
                    <c:v>7637.6261582597281</c:v>
                  </c:pt>
                  <c:pt idx="2">
                    <c:v>42524.5027405769</c:v>
                  </c:pt>
                  <c:pt idx="3">
                    <c:v>28867.513459481288</c:v>
                  </c:pt>
                </c:numCache>
              </c:numRef>
            </c:plus>
            <c:minus>
              <c:numRef>
                <c:f>'MOI=0.01 August 14'!$G$38:$J$38</c:f>
                <c:numCache>
                  <c:formatCode>General</c:formatCode>
                  <c:ptCount val="4"/>
                  <c:pt idx="0">
                    <c:v>150</c:v>
                  </c:pt>
                  <c:pt idx="1">
                    <c:v>7637.6261582597281</c:v>
                  </c:pt>
                  <c:pt idx="2">
                    <c:v>42524.5027405769</c:v>
                  </c:pt>
                  <c:pt idx="3">
                    <c:v>28867.513459481288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76D6FF"/>
                </a:solidFill>
                <a:round/>
              </a:ln>
              <a:effectLst/>
            </c:spPr>
          </c:errBars>
          <c:cat>
            <c:numRef>
              <c:f>'MOI=0.01 August 14'!$G$3:$J$3</c:f>
              <c:numCache>
                <c:formatCode>General</c:formatCode>
                <c:ptCount val="4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</c:numCache>
            </c:numRef>
          </c:cat>
          <c:val>
            <c:numRef>
              <c:f>'MOI=0.01 August 14'!$G$37:$J$37</c:f>
              <c:numCache>
                <c:formatCode>0</c:formatCode>
                <c:ptCount val="4"/>
                <c:pt idx="0">
                  <c:v>300</c:v>
                </c:pt>
                <c:pt idx="1">
                  <c:v>28333.333333333332</c:v>
                </c:pt>
                <c:pt idx="2">
                  <c:v>131666.66666666666</c:v>
                </c:pt>
                <c:pt idx="3">
                  <c:v>283333.33333333331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5C-A74C-91B1-A490823E87CE}"/>
            </c:ext>
          </c:extLst>
        </c:ser>
        <c:ser>
          <c:idx val="7"/>
          <c:order val="7"/>
          <c:tx>
            <c:v>NS4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13-E747-93BD-F15BD12C590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'MOI=0.01 August 14'!$G$43:$J$43</c:f>
                <c:numCache>
                  <c:formatCode>General</c:formatCode>
                  <c:ptCount val="4"/>
                  <c:pt idx="0">
                    <c:v>76.376261582597209</c:v>
                  </c:pt>
                  <c:pt idx="1">
                    <c:v>4752.1924764610758</c:v>
                  </c:pt>
                  <c:pt idx="2">
                    <c:v>7053.3679898329419</c:v>
                  </c:pt>
                  <c:pt idx="3">
                    <c:v>189296.94486000921</c:v>
                  </c:pt>
                </c:numCache>
              </c:numRef>
            </c:plus>
            <c:minus>
              <c:numRef>
                <c:f>'MOI=0.01 August 14'!$G$43:$J$43</c:f>
                <c:numCache>
                  <c:formatCode>General</c:formatCode>
                  <c:ptCount val="4"/>
                  <c:pt idx="0">
                    <c:v>76.376261582597209</c:v>
                  </c:pt>
                  <c:pt idx="1">
                    <c:v>4752.1924764610758</c:v>
                  </c:pt>
                  <c:pt idx="2">
                    <c:v>7053.3679898329419</c:v>
                  </c:pt>
                  <c:pt idx="3">
                    <c:v>189296.94486000921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'MOI=0.01 August 14'!$G$3:$J$3</c:f>
              <c:numCache>
                <c:formatCode>General</c:formatCode>
                <c:ptCount val="4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</c:numCache>
            </c:numRef>
          </c:cat>
          <c:val>
            <c:numRef>
              <c:f>'MOI=0.01 August 14'!$G$42:$J$42</c:f>
              <c:numCache>
                <c:formatCode>0</c:formatCode>
                <c:ptCount val="4"/>
                <c:pt idx="0">
                  <c:v>483.33333333333331</c:v>
                </c:pt>
                <c:pt idx="1">
                  <c:v>28166.666666666668</c:v>
                </c:pt>
                <c:pt idx="2">
                  <c:v>49000</c:v>
                </c:pt>
                <c:pt idx="3">
                  <c:v>783333.33333333337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5C-A74C-91B1-A490823E87CE}"/>
            </c:ext>
          </c:extLst>
        </c:ser>
        <c:ser>
          <c:idx val="8"/>
          <c:order val="8"/>
          <c:tx>
            <c:v>NS5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rgbClr val="7030A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'MOI=0.01 August 14'!$G$48:$J$48</c:f>
                <c:numCache>
                  <c:formatCode>General</c:formatCode>
                  <c:ptCount val="4"/>
                  <c:pt idx="0">
                    <c:v>76.376261582597323</c:v>
                  </c:pt>
                  <c:pt idx="1">
                    <c:v>2598.076211353316</c:v>
                  </c:pt>
                  <c:pt idx="2">
                    <c:v>14189.197769195182</c:v>
                  </c:pt>
                  <c:pt idx="3">
                    <c:v>104083.29997330661</c:v>
                  </c:pt>
                </c:numCache>
              </c:numRef>
            </c:plus>
            <c:minus>
              <c:numRef>
                <c:f>'MOI=0.01 August 14'!$G$48:$J$48</c:f>
                <c:numCache>
                  <c:formatCode>General</c:formatCode>
                  <c:ptCount val="4"/>
                  <c:pt idx="0">
                    <c:v>76.376261582597323</c:v>
                  </c:pt>
                  <c:pt idx="1">
                    <c:v>2598.076211353316</c:v>
                  </c:pt>
                  <c:pt idx="2">
                    <c:v>14189.197769195182</c:v>
                  </c:pt>
                  <c:pt idx="3">
                    <c:v>104083.29997330661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7030A0"/>
                </a:solidFill>
                <a:round/>
              </a:ln>
              <a:effectLst/>
            </c:spPr>
          </c:errBars>
          <c:cat>
            <c:numRef>
              <c:f>'MOI=0.01 August 14'!$G$3:$J$3</c:f>
              <c:numCache>
                <c:formatCode>General</c:formatCode>
                <c:ptCount val="4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</c:numCache>
            </c:numRef>
          </c:cat>
          <c:val>
            <c:numRef>
              <c:f>'MOI=0.01 August 14'!$G$47:$J$47</c:f>
              <c:numCache>
                <c:formatCode>0</c:formatCode>
                <c:ptCount val="4"/>
                <c:pt idx="0">
                  <c:v>116.66666666666667</c:v>
                </c:pt>
                <c:pt idx="1">
                  <c:v>11500</c:v>
                </c:pt>
                <c:pt idx="2">
                  <c:v>47333.333333333336</c:v>
                </c:pt>
                <c:pt idx="3">
                  <c:v>283333.33333333331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5C-A74C-91B1-A490823E8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12832"/>
        <c:axId val="329789856"/>
      </c:lineChart>
      <c:catAx>
        <c:axId val="3451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R"/>
          </a:p>
        </c:txPr>
        <c:crossAx val="329789856"/>
        <c:crosses val="autoZero"/>
        <c:auto val="1"/>
        <c:lblAlgn val="ctr"/>
        <c:lblOffset val="100"/>
        <c:noMultiLvlLbl val="0"/>
      </c:catAx>
      <c:valAx>
        <c:axId val="329789856"/>
        <c:scaling>
          <c:logBase val="10"/>
          <c:orientation val="minMax"/>
          <c:max val="5000000"/>
          <c:min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E+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R"/>
          </a:p>
        </c:txPr>
        <c:crossAx val="3451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73601291004444"/>
          <c:y val="0.8030708223452131"/>
          <c:w val="0.73216193938381458"/>
          <c:h val="3.2929589267927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>
          <a:latin typeface="Arial" panose="020B0604020202020204" pitchFamily="34" charset="0"/>
          <a:cs typeface="Arial" panose="020B0604020202020204" pitchFamily="34" charset="0"/>
        </a:defRPr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310460</xdr:colOff>
      <xdr:row>8</xdr:row>
      <xdr:rowOff>145729</xdr:rowOff>
    </xdr:from>
    <xdr:to>
      <xdr:col>21</xdr:col>
      <xdr:colOff>641684</xdr:colOff>
      <xdr:row>45</xdr:row>
      <xdr:rowOff>160421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AD9785-6841-DABD-2E99-189B62F3E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334210</xdr:colOff>
      <xdr:row>39</xdr:row>
      <xdr:rowOff>13360</xdr:rowOff>
    </xdr:from>
    <xdr:to>
      <xdr:col>13</xdr:col>
      <xdr:colOff>476194</xdr:colOff>
      <xdr:row>41</xdr:row>
      <xdr:rowOff>166305</xdr:rowOff>
    </xdr:to>
    <xdr:sp macro="" textlink="">
      <xdr:nvSpPr>
        <xdr:cNvPr id="2" name="テキスト ボックス 158">
          <a:extLst>
            <a:ext uri="{FF2B5EF4-FFF2-40B4-BE49-F238E27FC236}">
              <a16:creationId xmlns:a16="http://schemas.microsoft.com/office/drawing/2014/main" id="{4BBF99CF-4BEE-6E5D-AE26-511C2D354910}"/>
            </a:ext>
          </a:extLst>
        </xdr:cNvPr>
        <xdr:cNvSpPr txBox="1"/>
      </xdr:nvSpPr>
      <xdr:spPr>
        <a:xfrm>
          <a:off x="11443368" y="7833886"/>
          <a:ext cx="141984" cy="553998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3600" b="1">
              <a:solidFill>
                <a:srgbClr val="FFC000"/>
              </a:solidFill>
              <a:latin typeface="Arial" panose="020B0604020202020204" pitchFamily="34" charset="0"/>
              <a:ea typeface="Meiryo" panose="020B0604030504040204" pitchFamily="34" charset="-128"/>
              <a:cs typeface="Arial" panose="020B0604020202020204" pitchFamily="34" charset="0"/>
            </a:rPr>
            <a:t>*</a:t>
          </a:r>
        </a:p>
      </xdr:txBody>
    </xdr:sp>
    <xdr:clientData/>
  </xdr:twoCellAnchor>
  <xdr:twoCellAnchor>
    <xdr:from>
      <xdr:col>13</xdr:col>
      <xdr:colOff>334210</xdr:colOff>
      <xdr:row>40</xdr:row>
      <xdr:rowOff>45632</xdr:rowOff>
    </xdr:from>
    <xdr:to>
      <xdr:col>13</xdr:col>
      <xdr:colOff>476194</xdr:colOff>
      <xdr:row>42</xdr:row>
      <xdr:rowOff>198578</xdr:rowOff>
    </xdr:to>
    <xdr:sp macro="" textlink="">
      <xdr:nvSpPr>
        <xdr:cNvPr id="4" name="テキスト ボックス 158">
          <a:extLst>
            <a:ext uri="{FF2B5EF4-FFF2-40B4-BE49-F238E27FC236}">
              <a16:creationId xmlns:a16="http://schemas.microsoft.com/office/drawing/2014/main" id="{73DCB00D-9FAD-27F3-D8FD-F0D5558E4163}"/>
            </a:ext>
          </a:extLst>
        </xdr:cNvPr>
        <xdr:cNvSpPr txBox="1"/>
      </xdr:nvSpPr>
      <xdr:spPr>
        <a:xfrm>
          <a:off x="11443368" y="8066685"/>
          <a:ext cx="141984" cy="553998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3600" b="1">
              <a:solidFill>
                <a:srgbClr val="7030A0"/>
              </a:solidFill>
              <a:latin typeface="Arial" panose="020B0604020202020204" pitchFamily="34" charset="0"/>
              <a:ea typeface="Meiryo" panose="020B0604030504040204" pitchFamily="34" charset="-128"/>
              <a:cs typeface="Arial" panose="020B0604020202020204" pitchFamily="34" charset="0"/>
            </a:rPr>
            <a:t>*</a:t>
          </a:r>
        </a:p>
      </xdr:txBody>
    </xdr:sp>
    <xdr:clientData/>
  </xdr:twoCellAnchor>
  <xdr:twoCellAnchor>
    <xdr:from>
      <xdr:col>15</xdr:col>
      <xdr:colOff>98411</xdr:colOff>
      <xdr:row>44</xdr:row>
      <xdr:rowOff>12097</xdr:rowOff>
    </xdr:from>
    <xdr:to>
      <xdr:col>18</xdr:col>
      <xdr:colOff>691379</xdr:colOff>
      <xdr:row>46</xdr:row>
      <xdr:rowOff>11154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8B8BCE01-4261-9996-1D4F-726F901EFF0B}"/>
            </a:ext>
          </a:extLst>
        </xdr:cNvPr>
        <xdr:cNvSpPr txBox="1">
          <a:spLocks noChangeArrowheads="1"/>
        </xdr:cNvSpPr>
      </xdr:nvSpPr>
      <xdr:spPr bwMode="auto">
        <a:xfrm>
          <a:off x="12865253" y="8835255"/>
          <a:ext cx="3079494" cy="4001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844083">
            <a:defRPr/>
          </a:pPr>
          <a:r>
            <a:rPr lang="en-US" altLang="ja-JP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Meiryo" panose="020B0604030504040204" pitchFamily="34" charset="-128"/>
              <a:cs typeface="Arial" panose="020B0604020202020204" pitchFamily="34" charset="0"/>
            </a:rPr>
            <a:t>Hours post infection</a:t>
          </a:r>
        </a:p>
      </xdr:txBody>
    </xdr:sp>
    <xdr:clientData/>
  </xdr:twoCellAnchor>
  <xdr:twoCellAnchor>
    <xdr:from>
      <xdr:col>10</xdr:col>
      <xdr:colOff>518423</xdr:colOff>
      <xdr:row>17</xdr:row>
      <xdr:rowOff>29003</xdr:rowOff>
    </xdr:from>
    <xdr:to>
      <xdr:col>11</xdr:col>
      <xdr:colOff>89691</xdr:colOff>
      <xdr:row>32</xdr:row>
      <xdr:rowOff>100603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26C10C93-BADA-5646-5C8B-514047E037CA}"/>
            </a:ext>
          </a:extLst>
        </xdr:cNvPr>
        <xdr:cNvSpPr txBox="1">
          <a:spLocks noChangeArrowheads="1"/>
        </xdr:cNvSpPr>
      </xdr:nvSpPr>
      <xdr:spPr bwMode="auto">
        <a:xfrm rot="16200000">
          <a:off x="7769867" y="4616542"/>
          <a:ext cx="2977532" cy="3892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844083">
            <a:defRPr/>
          </a:pPr>
          <a:r>
            <a:rPr lang="en-US" altLang="ja-JP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Meiryo" panose="020B0604030504040204" pitchFamily="34" charset="-128"/>
              <a:cs typeface="Arial" panose="020B0604020202020204" pitchFamily="34" charset="0"/>
            </a:rPr>
            <a:t>Virus titer (PFU/ml)</a:t>
          </a:r>
        </a:p>
      </xdr:txBody>
    </xdr:sp>
    <xdr:clientData/>
  </xdr:twoCellAnchor>
  <xdr:twoCellAnchor>
    <xdr:from>
      <xdr:col>15</xdr:col>
      <xdr:colOff>430512</xdr:colOff>
      <xdr:row>30</xdr:row>
      <xdr:rowOff>133382</xdr:rowOff>
    </xdr:from>
    <xdr:to>
      <xdr:col>15</xdr:col>
      <xdr:colOff>572496</xdr:colOff>
      <xdr:row>33</xdr:row>
      <xdr:rowOff>106193</xdr:rowOff>
    </xdr:to>
    <xdr:sp macro="" textlink="">
      <xdr:nvSpPr>
        <xdr:cNvPr id="7" name="テキスト ボックス 158">
          <a:extLst>
            <a:ext uri="{FF2B5EF4-FFF2-40B4-BE49-F238E27FC236}">
              <a16:creationId xmlns:a16="http://schemas.microsoft.com/office/drawing/2014/main" id="{28040712-94BD-56D9-7570-48C987E29D66}"/>
            </a:ext>
          </a:extLst>
        </xdr:cNvPr>
        <xdr:cNvSpPr txBox="1"/>
      </xdr:nvSpPr>
      <xdr:spPr>
        <a:xfrm>
          <a:off x="13065936" y="5945246"/>
          <a:ext cx="141984" cy="553998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3600" b="1">
              <a:solidFill>
                <a:schemeClr val="accent4">
                  <a:lumMod val="60000"/>
                  <a:lumOff val="40000"/>
                </a:schemeClr>
              </a:solidFill>
              <a:latin typeface="Arial" panose="020B0604020202020204" pitchFamily="34" charset="0"/>
              <a:ea typeface="Meiryo" panose="020B0604030504040204" pitchFamily="34" charset="-128"/>
              <a:cs typeface="Arial" panose="020B0604020202020204" pitchFamily="34" charset="0"/>
            </a:rPr>
            <a:t>*</a:t>
          </a:r>
        </a:p>
      </xdr:txBody>
    </xdr:sp>
    <xdr:clientData/>
  </xdr:twoCellAnchor>
  <xdr:twoCellAnchor>
    <xdr:from>
      <xdr:col>15</xdr:col>
      <xdr:colOff>430512</xdr:colOff>
      <xdr:row>29</xdr:row>
      <xdr:rowOff>86111</xdr:rowOff>
    </xdr:from>
    <xdr:to>
      <xdr:col>15</xdr:col>
      <xdr:colOff>572496</xdr:colOff>
      <xdr:row>32</xdr:row>
      <xdr:rowOff>58923</xdr:rowOff>
    </xdr:to>
    <xdr:sp macro="" textlink="">
      <xdr:nvSpPr>
        <xdr:cNvPr id="8" name="テキスト ボックス 158">
          <a:extLst>
            <a:ext uri="{FF2B5EF4-FFF2-40B4-BE49-F238E27FC236}">
              <a16:creationId xmlns:a16="http://schemas.microsoft.com/office/drawing/2014/main" id="{E9E3E932-BA9E-C9EA-A8E1-87F54B7D8B16}"/>
            </a:ext>
          </a:extLst>
        </xdr:cNvPr>
        <xdr:cNvSpPr txBox="1"/>
      </xdr:nvSpPr>
      <xdr:spPr>
        <a:xfrm>
          <a:off x="13065936" y="5704247"/>
          <a:ext cx="141984" cy="553998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3600" b="1">
              <a:solidFill>
                <a:srgbClr val="FFC000"/>
              </a:solidFill>
              <a:latin typeface="Arial" panose="020B0604020202020204" pitchFamily="34" charset="0"/>
              <a:ea typeface="Meiryo" panose="020B0604030504040204" pitchFamily="34" charset="-128"/>
              <a:cs typeface="Arial" panose="020B0604020202020204" pitchFamily="34" charset="0"/>
            </a:rPr>
            <a:t>*</a:t>
          </a:r>
        </a:p>
      </xdr:txBody>
    </xdr:sp>
    <xdr:clientData/>
  </xdr:twoCellAnchor>
  <xdr:twoCellAnchor>
    <xdr:from>
      <xdr:col>15</xdr:col>
      <xdr:colOff>430512</xdr:colOff>
      <xdr:row>31</xdr:row>
      <xdr:rowOff>180652</xdr:rowOff>
    </xdr:from>
    <xdr:to>
      <xdr:col>15</xdr:col>
      <xdr:colOff>572496</xdr:colOff>
      <xdr:row>34</xdr:row>
      <xdr:rowOff>153463</xdr:rowOff>
    </xdr:to>
    <xdr:sp macro="" textlink="">
      <xdr:nvSpPr>
        <xdr:cNvPr id="9" name="テキスト ボックス 158">
          <a:extLst>
            <a:ext uri="{FF2B5EF4-FFF2-40B4-BE49-F238E27FC236}">
              <a16:creationId xmlns:a16="http://schemas.microsoft.com/office/drawing/2014/main" id="{6A56AB17-F83E-5187-0FCC-8EDB1248FE86}"/>
            </a:ext>
          </a:extLst>
        </xdr:cNvPr>
        <xdr:cNvSpPr txBox="1"/>
      </xdr:nvSpPr>
      <xdr:spPr>
        <a:xfrm>
          <a:off x="13065936" y="6186245"/>
          <a:ext cx="141984" cy="553998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3600" b="1">
              <a:solidFill>
                <a:srgbClr val="7030A0"/>
              </a:solidFill>
              <a:latin typeface="Arial" panose="020B0604020202020204" pitchFamily="34" charset="0"/>
              <a:ea typeface="Meiryo" panose="020B0604030504040204" pitchFamily="34" charset="-128"/>
              <a:cs typeface="Arial" panose="020B0604020202020204" pitchFamily="34" charset="0"/>
            </a:rPr>
            <a:t>*</a:t>
          </a:r>
        </a:p>
      </xdr:txBody>
    </xdr:sp>
    <xdr:clientData/>
  </xdr:twoCellAnchor>
  <xdr:twoCellAnchor>
    <xdr:from>
      <xdr:col>20</xdr:col>
      <xdr:colOff>236778</xdr:colOff>
      <xdr:row>24</xdr:row>
      <xdr:rowOff>5248</xdr:rowOff>
    </xdr:from>
    <xdr:to>
      <xdr:col>20</xdr:col>
      <xdr:colOff>378762</xdr:colOff>
      <xdr:row>26</xdr:row>
      <xdr:rowOff>171789</xdr:rowOff>
    </xdr:to>
    <xdr:sp macro="" textlink="">
      <xdr:nvSpPr>
        <xdr:cNvPr id="10" name="テキスト ボックス 158">
          <a:extLst>
            <a:ext uri="{FF2B5EF4-FFF2-40B4-BE49-F238E27FC236}">
              <a16:creationId xmlns:a16="http://schemas.microsoft.com/office/drawing/2014/main" id="{F4DB70E6-3C56-F498-5E21-D299FA46F50B}"/>
            </a:ext>
          </a:extLst>
        </xdr:cNvPr>
        <xdr:cNvSpPr txBox="1"/>
      </xdr:nvSpPr>
      <xdr:spPr>
        <a:xfrm>
          <a:off x="16962032" y="4654740"/>
          <a:ext cx="141984" cy="553998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3600" b="1">
              <a:solidFill>
                <a:schemeClr val="accent4">
                  <a:lumMod val="60000"/>
                  <a:lumOff val="40000"/>
                </a:schemeClr>
              </a:solidFill>
              <a:latin typeface="Arial" panose="020B0604020202020204" pitchFamily="34" charset="0"/>
              <a:ea typeface="Meiryo" panose="020B0604030504040204" pitchFamily="34" charset="-128"/>
              <a:cs typeface="Arial" panose="020B0604020202020204" pitchFamily="34" charset="0"/>
            </a:rPr>
            <a:t>*</a:t>
          </a:r>
        </a:p>
      </xdr:txBody>
    </xdr:sp>
    <xdr:clientData/>
  </xdr:twoCellAnchor>
  <xdr:twoCellAnchor>
    <xdr:from>
      <xdr:col>20</xdr:col>
      <xdr:colOff>236778</xdr:colOff>
      <xdr:row>26</xdr:row>
      <xdr:rowOff>144894</xdr:rowOff>
    </xdr:from>
    <xdr:to>
      <xdr:col>20</xdr:col>
      <xdr:colOff>378762</xdr:colOff>
      <xdr:row>29</xdr:row>
      <xdr:rowOff>117705</xdr:rowOff>
    </xdr:to>
    <xdr:sp macro="" textlink="">
      <xdr:nvSpPr>
        <xdr:cNvPr id="11" name="テキスト ボックス 158">
          <a:extLst>
            <a:ext uri="{FF2B5EF4-FFF2-40B4-BE49-F238E27FC236}">
              <a16:creationId xmlns:a16="http://schemas.microsoft.com/office/drawing/2014/main" id="{D1D4C3FA-8FD6-CF84-1374-FB34F9BCE08A}"/>
            </a:ext>
          </a:extLst>
        </xdr:cNvPr>
        <xdr:cNvSpPr txBox="1"/>
      </xdr:nvSpPr>
      <xdr:spPr>
        <a:xfrm>
          <a:off x="16962032" y="5181843"/>
          <a:ext cx="141984" cy="553998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3600" b="1">
              <a:solidFill>
                <a:srgbClr val="00B0F0"/>
              </a:solidFill>
              <a:latin typeface="Arial" panose="020B0604020202020204" pitchFamily="34" charset="0"/>
              <a:ea typeface="Meiryo" panose="020B0604030504040204" pitchFamily="34" charset="-128"/>
              <a:cs typeface="Arial" panose="020B0604020202020204" pitchFamily="34" charset="0"/>
            </a:rPr>
            <a:t>*</a:t>
          </a:r>
        </a:p>
      </xdr:txBody>
    </xdr:sp>
    <xdr:clientData/>
  </xdr:twoCellAnchor>
  <xdr:twoCellAnchor>
    <xdr:from>
      <xdr:col>20</xdr:col>
      <xdr:colOff>236778</xdr:colOff>
      <xdr:row>22</xdr:row>
      <xdr:rowOff>129155</xdr:rowOff>
    </xdr:from>
    <xdr:to>
      <xdr:col>20</xdr:col>
      <xdr:colOff>378762</xdr:colOff>
      <xdr:row>25</xdr:row>
      <xdr:rowOff>101967</xdr:rowOff>
    </xdr:to>
    <xdr:sp macro="" textlink="">
      <xdr:nvSpPr>
        <xdr:cNvPr id="12" name="テキスト ボックス 158">
          <a:extLst>
            <a:ext uri="{FF2B5EF4-FFF2-40B4-BE49-F238E27FC236}">
              <a16:creationId xmlns:a16="http://schemas.microsoft.com/office/drawing/2014/main" id="{DA228512-6688-1808-CB51-6435244DC05B}"/>
            </a:ext>
          </a:extLst>
        </xdr:cNvPr>
        <xdr:cNvSpPr txBox="1"/>
      </xdr:nvSpPr>
      <xdr:spPr>
        <a:xfrm>
          <a:off x="16962032" y="4391189"/>
          <a:ext cx="141984" cy="553998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3600" b="1">
              <a:solidFill>
                <a:srgbClr val="FFC000"/>
              </a:solidFill>
              <a:latin typeface="Arial" panose="020B0604020202020204" pitchFamily="34" charset="0"/>
              <a:ea typeface="Meiryo" panose="020B0604030504040204" pitchFamily="34" charset="-128"/>
              <a:cs typeface="Arial" panose="020B0604020202020204" pitchFamily="34" charset="0"/>
            </a:rPr>
            <a:t>*</a:t>
          </a:r>
        </a:p>
      </xdr:txBody>
    </xdr:sp>
    <xdr:clientData/>
  </xdr:twoCellAnchor>
  <xdr:twoCellAnchor>
    <xdr:from>
      <xdr:col>20</xdr:col>
      <xdr:colOff>236778</xdr:colOff>
      <xdr:row>25</xdr:row>
      <xdr:rowOff>75071</xdr:rowOff>
    </xdr:from>
    <xdr:to>
      <xdr:col>20</xdr:col>
      <xdr:colOff>378762</xdr:colOff>
      <xdr:row>28</xdr:row>
      <xdr:rowOff>47882</xdr:rowOff>
    </xdr:to>
    <xdr:sp macro="" textlink="">
      <xdr:nvSpPr>
        <xdr:cNvPr id="13" name="テキスト ボックス 158">
          <a:extLst>
            <a:ext uri="{FF2B5EF4-FFF2-40B4-BE49-F238E27FC236}">
              <a16:creationId xmlns:a16="http://schemas.microsoft.com/office/drawing/2014/main" id="{95148C2A-D1B3-C70F-0D07-14A5870B729F}"/>
            </a:ext>
          </a:extLst>
        </xdr:cNvPr>
        <xdr:cNvSpPr txBox="1"/>
      </xdr:nvSpPr>
      <xdr:spPr>
        <a:xfrm>
          <a:off x="16962032" y="4918291"/>
          <a:ext cx="141984" cy="553998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3600" b="1">
              <a:solidFill>
                <a:srgbClr val="7030A0"/>
              </a:solidFill>
              <a:latin typeface="Arial" panose="020B0604020202020204" pitchFamily="34" charset="0"/>
              <a:ea typeface="Meiryo" panose="020B0604030504040204" pitchFamily="34" charset="-128"/>
              <a:cs typeface="Arial" panose="020B0604020202020204" pitchFamily="34" charset="0"/>
            </a:rPr>
            <a:t>*</a:t>
          </a:r>
        </a:p>
      </xdr:txBody>
    </xdr:sp>
    <xdr:clientData/>
  </xdr:twoCellAnchor>
  <xdr:twoCellAnchor>
    <xdr:from>
      <xdr:col>18</xdr:col>
      <xdr:colOff>774916</xdr:colOff>
      <xdr:row>9</xdr:row>
      <xdr:rowOff>64577</xdr:rowOff>
    </xdr:from>
    <xdr:to>
      <xdr:col>21</xdr:col>
      <xdr:colOff>343406</xdr:colOff>
      <xdr:row>11</xdr:row>
      <xdr:rowOff>46451</xdr:rowOff>
    </xdr:to>
    <xdr:sp macro="" textlink="">
      <xdr:nvSpPr>
        <xdr:cNvPr id="14" name="テキスト ボックス 331">
          <a:extLst>
            <a:ext uri="{FF2B5EF4-FFF2-40B4-BE49-F238E27FC236}">
              <a16:creationId xmlns:a16="http://schemas.microsoft.com/office/drawing/2014/main" id="{70E33356-4511-B15B-2BF8-549156BB001C}"/>
            </a:ext>
          </a:extLst>
        </xdr:cNvPr>
        <xdr:cNvSpPr txBox="1"/>
      </xdr:nvSpPr>
      <xdr:spPr>
        <a:xfrm>
          <a:off x="15864238" y="1808136"/>
          <a:ext cx="2022388" cy="369332"/>
        </a:xfrm>
        <a:prstGeom prst="rect">
          <a:avLst/>
        </a:prstGeom>
        <a:noFill/>
        <a:ln w="38100">
          <a:noFill/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Arial" charset="0"/>
              <a:cs typeface="Arial" panose="020B0604020202020204" pitchFamily="34" charset="0"/>
            </a:rPr>
            <a:t>*&lt;0.01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49E5-7543-6F4F-A68B-EB48CC4E001B}">
  <dimension ref="A1:J48"/>
  <sheetViews>
    <sheetView tabSelected="1" zoomScale="156" zoomScaleNormal="156" workbookViewId="0">
      <selection activeCell="Y14" sqref="Y14"/>
    </sheetView>
  </sheetViews>
  <sheetFormatPr baseColWidth="10" defaultRowHeight="16" x14ac:dyDescent="0.2"/>
  <cols>
    <col min="2" max="2" width="13.83203125" customWidth="1"/>
    <col min="7" max="9" width="11" bestFit="1" customWidth="1"/>
    <col min="10" max="10" width="11.6640625" bestFit="1" customWidth="1"/>
  </cols>
  <sheetData>
    <row r="1" spans="1:10" x14ac:dyDescent="0.2">
      <c r="B1" t="s">
        <v>11</v>
      </c>
    </row>
    <row r="2" spans="1:10" x14ac:dyDescent="0.2">
      <c r="B2" t="s">
        <v>1</v>
      </c>
    </row>
    <row r="3" spans="1:10" x14ac:dyDescent="0.2">
      <c r="A3" s="3" t="s">
        <v>0</v>
      </c>
      <c r="B3" s="3">
        <v>24</v>
      </c>
      <c r="C3" s="3">
        <v>48</v>
      </c>
      <c r="D3" s="3">
        <v>72</v>
      </c>
      <c r="E3" s="3">
        <v>96</v>
      </c>
      <c r="F3" s="3" t="s">
        <v>0</v>
      </c>
      <c r="G3" s="3">
        <v>24</v>
      </c>
      <c r="H3" s="3">
        <v>48</v>
      </c>
      <c r="I3" s="3">
        <v>72</v>
      </c>
      <c r="J3">
        <v>96</v>
      </c>
    </row>
    <row r="4" spans="1:10" x14ac:dyDescent="0.2">
      <c r="A4" t="s">
        <v>2</v>
      </c>
      <c r="B4">
        <f>9*10^1</f>
        <v>90</v>
      </c>
      <c r="C4">
        <f>31*10^3</f>
        <v>31000</v>
      </c>
      <c r="D4">
        <f>27*10^3</f>
        <v>27000</v>
      </c>
      <c r="E4">
        <f>17*10^4</f>
        <v>170000</v>
      </c>
      <c r="F4" t="s">
        <v>2</v>
      </c>
      <c r="G4" s="1">
        <f>B4*5</f>
        <v>450</v>
      </c>
      <c r="H4" s="1">
        <f t="shared" ref="H4:J19" si="0">C4*5</f>
        <v>155000</v>
      </c>
      <c r="I4" s="1">
        <f t="shared" si="0"/>
        <v>135000</v>
      </c>
      <c r="J4" s="1">
        <f t="shared" si="0"/>
        <v>850000</v>
      </c>
    </row>
    <row r="5" spans="1:10" x14ac:dyDescent="0.2">
      <c r="A5" t="s">
        <v>2</v>
      </c>
      <c r="B5">
        <f>14*10^1</f>
        <v>140</v>
      </c>
      <c r="C5">
        <f>24*10^3</f>
        <v>24000</v>
      </c>
      <c r="D5">
        <f>3*10^4</f>
        <v>30000</v>
      </c>
      <c r="E5">
        <f>12*10^4</f>
        <v>120000</v>
      </c>
      <c r="F5" t="s">
        <v>2</v>
      </c>
      <c r="G5" s="1">
        <f t="shared" ref="G5:J46" si="1">B5*5</f>
        <v>700</v>
      </c>
      <c r="H5" s="1">
        <f t="shared" si="0"/>
        <v>120000</v>
      </c>
      <c r="I5" s="1">
        <f t="shared" si="0"/>
        <v>150000</v>
      </c>
      <c r="J5" s="1">
        <f t="shared" si="0"/>
        <v>600000</v>
      </c>
    </row>
    <row r="6" spans="1:10" x14ac:dyDescent="0.2">
      <c r="A6" t="s">
        <v>2</v>
      </c>
      <c r="B6">
        <f>9*10^1</f>
        <v>90</v>
      </c>
      <c r="C6">
        <f>17*10^3</f>
        <v>17000</v>
      </c>
      <c r="D6">
        <f>7*10^4</f>
        <v>70000</v>
      </c>
      <c r="E6">
        <f>19*10^4</f>
        <v>190000</v>
      </c>
      <c r="F6" t="s">
        <v>2</v>
      </c>
      <c r="G6" s="1">
        <f t="shared" si="1"/>
        <v>450</v>
      </c>
      <c r="H6" s="1">
        <f t="shared" si="0"/>
        <v>85000</v>
      </c>
      <c r="I6" s="1">
        <f t="shared" si="0"/>
        <v>350000</v>
      </c>
      <c r="J6" s="1">
        <f t="shared" si="0"/>
        <v>950000</v>
      </c>
    </row>
    <row r="7" spans="1:10" x14ac:dyDescent="0.2">
      <c r="A7" t="s">
        <v>12</v>
      </c>
      <c r="B7" s="2">
        <f>AVERAGE(B4:B6)</f>
        <v>106.66666666666667</v>
      </c>
      <c r="C7" s="2">
        <f>AVERAGE(C4:C6)</f>
        <v>24000</v>
      </c>
      <c r="D7" s="2">
        <f>AVERAGE(D4:D6)</f>
        <v>42333.333333333336</v>
      </c>
      <c r="E7" s="2">
        <f>AVERAGE(E4:E6)</f>
        <v>160000</v>
      </c>
      <c r="F7" t="s">
        <v>12</v>
      </c>
      <c r="G7" s="1">
        <f>AVERAGE(G4:G6)</f>
        <v>533.33333333333337</v>
      </c>
      <c r="H7" s="1">
        <f t="shared" ref="H7" si="2">AVERAGE(H4:H6)</f>
        <v>120000</v>
      </c>
      <c r="I7" s="1">
        <f>AVERAGE(I4:I6)</f>
        <v>211666.66666666666</v>
      </c>
      <c r="J7" s="1">
        <f>AVERAGE(J4:J6)</f>
        <v>800000</v>
      </c>
    </row>
    <row r="8" spans="1:10" x14ac:dyDescent="0.2">
      <c r="A8" s="4" t="s">
        <v>13</v>
      </c>
      <c r="B8" s="5">
        <f>STDEV(B4:B6)</f>
        <v>28.867513459481266</v>
      </c>
      <c r="C8" s="5">
        <f t="shared" ref="C8:E8" si="3">STDEV(C4:C6)</f>
        <v>7000</v>
      </c>
      <c r="D8" s="5">
        <f t="shared" si="3"/>
        <v>24006.943440041123</v>
      </c>
      <c r="E8" s="5">
        <f t="shared" si="3"/>
        <v>36055.512754639894</v>
      </c>
      <c r="F8" s="4" t="s">
        <v>13</v>
      </c>
      <c r="G8" s="7">
        <f>STDEV(G4:G6)</f>
        <v>144.33756729740637</v>
      </c>
      <c r="H8" s="7">
        <f t="shared" ref="H8" si="4">STDEV(H4:H6)</f>
        <v>35000</v>
      </c>
      <c r="I8" s="7">
        <f>STDEV(I4:I6)</f>
        <v>120034.7172002056</v>
      </c>
      <c r="J8" s="7">
        <f>STDEV(J4:J6)</f>
        <v>180277.56377319945</v>
      </c>
    </row>
    <row r="9" spans="1:10" x14ac:dyDescent="0.2">
      <c r="A9" t="s">
        <v>3</v>
      </c>
      <c r="B9">
        <f>21*10^1</f>
        <v>210</v>
      </c>
      <c r="C9">
        <f>40*10^3</f>
        <v>40000</v>
      </c>
      <c r="D9" s="6">
        <v>70000</v>
      </c>
      <c r="E9">
        <f>37*10^4</f>
        <v>370000</v>
      </c>
      <c r="F9" t="s">
        <v>3</v>
      </c>
      <c r="G9" s="1">
        <f t="shared" si="1"/>
        <v>1050</v>
      </c>
      <c r="H9" s="1">
        <f t="shared" si="0"/>
        <v>200000</v>
      </c>
      <c r="I9" s="1">
        <f>D9*5</f>
        <v>350000</v>
      </c>
      <c r="J9" s="1">
        <f t="shared" si="0"/>
        <v>1850000</v>
      </c>
    </row>
    <row r="10" spans="1:10" x14ac:dyDescent="0.2">
      <c r="A10" t="s">
        <v>3</v>
      </c>
      <c r="B10">
        <f>11*10^1</f>
        <v>110</v>
      </c>
      <c r="C10">
        <f>27*10^3</f>
        <v>27000</v>
      </c>
      <c r="D10">
        <f>5*10^4</f>
        <v>50000</v>
      </c>
      <c r="E10">
        <f>9*10^4</f>
        <v>90000</v>
      </c>
      <c r="F10" t="s">
        <v>3</v>
      </c>
      <c r="G10" s="1">
        <f t="shared" si="1"/>
        <v>550</v>
      </c>
      <c r="H10" s="1">
        <f t="shared" si="0"/>
        <v>135000</v>
      </c>
      <c r="I10" s="1">
        <f>D10*5</f>
        <v>250000</v>
      </c>
      <c r="J10" s="1">
        <f t="shared" si="0"/>
        <v>450000</v>
      </c>
    </row>
    <row r="11" spans="1:10" x14ac:dyDescent="0.2">
      <c r="A11" t="s">
        <v>3</v>
      </c>
      <c r="B11">
        <f>12*10^1</f>
        <v>120</v>
      </c>
      <c r="C11">
        <f>31*10^3</f>
        <v>31000</v>
      </c>
      <c r="D11" s="6">
        <v>90000</v>
      </c>
      <c r="E11">
        <f>12*10^4</f>
        <v>120000</v>
      </c>
      <c r="F11" t="s">
        <v>3</v>
      </c>
      <c r="G11" s="1">
        <f t="shared" si="1"/>
        <v>600</v>
      </c>
      <c r="H11" s="1">
        <f t="shared" si="0"/>
        <v>155000</v>
      </c>
      <c r="I11" s="1">
        <f>D11*5</f>
        <v>450000</v>
      </c>
      <c r="J11" s="1">
        <f t="shared" si="0"/>
        <v>600000</v>
      </c>
    </row>
    <row r="12" spans="1:10" x14ac:dyDescent="0.2">
      <c r="A12" t="s">
        <v>12</v>
      </c>
      <c r="B12" s="2">
        <f>AVERAGE(B9:B11)</f>
        <v>146.66666666666666</v>
      </c>
      <c r="C12" s="2">
        <f t="shared" ref="C12:D12" si="5">AVERAGE(C9:C11)</f>
        <v>32666.666666666668</v>
      </c>
      <c r="D12" s="2">
        <f t="shared" si="5"/>
        <v>70000</v>
      </c>
      <c r="E12" s="2">
        <f>AVERAGE(E9:E11)</f>
        <v>193333.33333333334</v>
      </c>
      <c r="F12" t="s">
        <v>12</v>
      </c>
      <c r="G12" s="1">
        <f>AVERAGE(G9:G11)</f>
        <v>733.33333333333337</v>
      </c>
      <c r="H12" s="1">
        <f t="shared" ref="H12" si="6">AVERAGE(H9:H11)</f>
        <v>163333.33333333334</v>
      </c>
      <c r="I12" s="1">
        <f>AVERAGE(I9:I11)</f>
        <v>350000</v>
      </c>
      <c r="J12" s="1">
        <f>AVERAGE(J9:J11)</f>
        <v>966666.66666666663</v>
      </c>
    </row>
    <row r="13" spans="1:10" x14ac:dyDescent="0.2">
      <c r="A13" s="4" t="s">
        <v>13</v>
      </c>
      <c r="B13" s="5">
        <f>STDEV(B9:B11)</f>
        <v>55.07570547286101</v>
      </c>
      <c r="C13" s="5">
        <f t="shared" ref="C13:D13" si="7">STDEV(C9:C11)</f>
        <v>6658.3281184793868</v>
      </c>
      <c r="D13" s="5">
        <f t="shared" si="7"/>
        <v>20000</v>
      </c>
      <c r="E13" s="5">
        <f>STDEV(E9:E11)</f>
        <v>153731.3674346694</v>
      </c>
      <c r="F13" s="4" t="s">
        <v>13</v>
      </c>
      <c r="G13" s="7">
        <f>STDEV(G9:G11)</f>
        <v>275.37852736430517</v>
      </c>
      <c r="H13" s="7">
        <f t="shared" ref="H13" si="8">STDEV(H9:H11)</f>
        <v>33291.640592397001</v>
      </c>
      <c r="I13" s="7">
        <f>STDEV(I9:I11)</f>
        <v>100000</v>
      </c>
      <c r="J13" s="7">
        <f>STDEV(J9:J11)</f>
        <v>768656.83717334701</v>
      </c>
    </row>
    <row r="14" spans="1:10" x14ac:dyDescent="0.2">
      <c r="A14" t="s">
        <v>4</v>
      </c>
      <c r="B14">
        <f>3*10^1</f>
        <v>30</v>
      </c>
      <c r="C14">
        <f>21*10^2</f>
        <v>2100</v>
      </c>
      <c r="D14">
        <f>16*10^3</f>
        <v>16000</v>
      </c>
      <c r="E14">
        <f>31*10^3</f>
        <v>31000</v>
      </c>
      <c r="F14" t="s">
        <v>4</v>
      </c>
      <c r="G14" s="1">
        <f t="shared" si="1"/>
        <v>150</v>
      </c>
      <c r="H14" s="1">
        <f t="shared" si="0"/>
        <v>10500</v>
      </c>
      <c r="I14" s="1">
        <f>D14*5</f>
        <v>80000</v>
      </c>
      <c r="J14" s="1">
        <f>E14*5</f>
        <v>155000</v>
      </c>
    </row>
    <row r="15" spans="1:10" x14ac:dyDescent="0.2">
      <c r="A15" t="s">
        <v>4</v>
      </c>
      <c r="B15">
        <f>3*10^1</f>
        <v>30</v>
      </c>
      <c r="C15">
        <f>29*10^2</f>
        <v>2900</v>
      </c>
      <c r="D15">
        <f>11*10^3</f>
        <v>11000</v>
      </c>
      <c r="E15">
        <f>3*10^4</f>
        <v>30000</v>
      </c>
      <c r="F15" t="s">
        <v>4</v>
      </c>
      <c r="G15" s="1">
        <f t="shared" si="1"/>
        <v>150</v>
      </c>
      <c r="H15" s="1">
        <f t="shared" si="0"/>
        <v>14500</v>
      </c>
      <c r="I15" s="1">
        <f>D15*5</f>
        <v>55000</v>
      </c>
      <c r="J15" s="1">
        <f t="shared" si="0"/>
        <v>150000</v>
      </c>
    </row>
    <row r="16" spans="1:10" x14ac:dyDescent="0.2">
      <c r="A16" t="s">
        <v>4</v>
      </c>
      <c r="B16">
        <f>2*10^1</f>
        <v>20</v>
      </c>
      <c r="C16">
        <f>17*10^2</f>
        <v>1700</v>
      </c>
      <c r="D16">
        <f>1*10^4</f>
        <v>10000</v>
      </c>
      <c r="E16">
        <f>67*10^3</f>
        <v>67000</v>
      </c>
      <c r="F16" t="s">
        <v>4</v>
      </c>
      <c r="G16" s="1">
        <f t="shared" si="1"/>
        <v>100</v>
      </c>
      <c r="H16" s="1">
        <f t="shared" si="0"/>
        <v>8500</v>
      </c>
      <c r="I16" s="1">
        <f>D16*5</f>
        <v>50000</v>
      </c>
      <c r="J16" s="1">
        <f t="shared" si="0"/>
        <v>335000</v>
      </c>
    </row>
    <row r="17" spans="1:10" x14ac:dyDescent="0.2">
      <c r="A17" t="s">
        <v>12</v>
      </c>
      <c r="B17" s="2">
        <f>AVERAGE(B14:B16)</f>
        <v>26.666666666666668</v>
      </c>
      <c r="C17" s="2">
        <f t="shared" ref="C17:D17" si="9">AVERAGE(C14:C16)</f>
        <v>2233.3333333333335</v>
      </c>
      <c r="D17" s="2">
        <f t="shared" si="9"/>
        <v>12333.333333333334</v>
      </c>
      <c r="E17" s="2">
        <f>AVERAGE(E14:E16)</f>
        <v>42666.666666666664</v>
      </c>
      <c r="F17" t="s">
        <v>12</v>
      </c>
      <c r="G17" s="1">
        <f>AVERAGE(G14:G16)</f>
        <v>133.33333333333334</v>
      </c>
      <c r="H17" s="1">
        <f t="shared" ref="H17" si="10">AVERAGE(H14:H16)</f>
        <v>11166.666666666666</v>
      </c>
      <c r="I17" s="1">
        <f>AVERAGE(I14:I16)</f>
        <v>61666.666666666664</v>
      </c>
      <c r="J17" s="1">
        <f>AVERAGE(J14:J16)</f>
        <v>213333.33333333334</v>
      </c>
    </row>
    <row r="18" spans="1:10" x14ac:dyDescent="0.2">
      <c r="A18" s="4" t="s">
        <v>13</v>
      </c>
      <c r="B18" s="5">
        <f>STDEV(B14:B16)</f>
        <v>5.7735026918962511</v>
      </c>
      <c r="C18" s="5">
        <f t="shared" ref="C18:D18" si="11">STDEV(C14:C16)</f>
        <v>611.01009266077847</v>
      </c>
      <c r="D18" s="5">
        <f t="shared" si="11"/>
        <v>3214.5502536643198</v>
      </c>
      <c r="E18" s="5">
        <f>STDEV(E14:E16)</f>
        <v>21079.215671683174</v>
      </c>
      <c r="F18" s="4" t="s">
        <v>13</v>
      </c>
      <c r="G18" s="7">
        <f>STDEV(G14:G16)</f>
        <v>28.867513459481266</v>
      </c>
      <c r="H18" s="7">
        <f t="shared" ref="H18" si="12">STDEV(H14:H16)</f>
        <v>3055.050463303895</v>
      </c>
      <c r="I18" s="7">
        <f>STDEV(I14:I16)</f>
        <v>16072.751268321581</v>
      </c>
      <c r="J18" s="7">
        <f>STDEV(J14:J16)</f>
        <v>105396.07835841586</v>
      </c>
    </row>
    <row r="19" spans="1:10" x14ac:dyDescent="0.2">
      <c r="A19" t="s">
        <v>5</v>
      </c>
      <c r="B19">
        <f>4*10^1</f>
        <v>40</v>
      </c>
      <c r="C19">
        <f>13*10^2</f>
        <v>1300</v>
      </c>
      <c r="D19">
        <f>4*10^3</f>
        <v>4000</v>
      </c>
      <c r="E19">
        <f>16*10^3</f>
        <v>16000</v>
      </c>
      <c r="F19" t="s">
        <v>5</v>
      </c>
      <c r="G19" s="1">
        <f>B19*5</f>
        <v>200</v>
      </c>
      <c r="H19" s="1">
        <f t="shared" si="0"/>
        <v>6500</v>
      </c>
      <c r="I19" s="1">
        <f>D19*5</f>
        <v>20000</v>
      </c>
      <c r="J19" s="1">
        <f t="shared" si="0"/>
        <v>80000</v>
      </c>
    </row>
    <row r="20" spans="1:10" x14ac:dyDescent="0.2">
      <c r="A20" t="s">
        <v>5</v>
      </c>
      <c r="B20">
        <f>3.6*10^1</f>
        <v>36</v>
      </c>
      <c r="C20">
        <f>27*10^2</f>
        <v>2700</v>
      </c>
      <c r="D20">
        <f>8*10^3</f>
        <v>8000</v>
      </c>
      <c r="E20">
        <f>13*10^3</f>
        <v>13000</v>
      </c>
      <c r="F20" t="s">
        <v>5</v>
      </c>
      <c r="G20" s="1">
        <f t="shared" si="1"/>
        <v>180</v>
      </c>
      <c r="H20" s="1">
        <f t="shared" si="1"/>
        <v>13500</v>
      </c>
      <c r="I20" s="1">
        <f>D20*5</f>
        <v>40000</v>
      </c>
      <c r="J20" s="1">
        <f t="shared" si="1"/>
        <v>65000</v>
      </c>
    </row>
    <row r="21" spans="1:10" x14ac:dyDescent="0.2">
      <c r="A21" t="s">
        <v>5</v>
      </c>
      <c r="B21">
        <f>2*10^1</f>
        <v>20</v>
      </c>
      <c r="C21">
        <f>18*10^2</f>
        <v>1800</v>
      </c>
      <c r="D21">
        <f>10*10^3</f>
        <v>10000</v>
      </c>
      <c r="E21">
        <f>20*10^3</f>
        <v>20000</v>
      </c>
      <c r="F21" t="s">
        <v>5</v>
      </c>
      <c r="G21" s="1">
        <f t="shared" si="1"/>
        <v>100</v>
      </c>
      <c r="H21" s="1">
        <f t="shared" si="1"/>
        <v>9000</v>
      </c>
      <c r="I21" s="1">
        <f>D21*5</f>
        <v>50000</v>
      </c>
      <c r="J21" s="1">
        <f t="shared" si="1"/>
        <v>100000</v>
      </c>
    </row>
    <row r="22" spans="1:10" x14ac:dyDescent="0.2">
      <c r="A22" t="s">
        <v>12</v>
      </c>
      <c r="B22" s="2">
        <f>AVERAGE(B19:B21)</f>
        <v>32</v>
      </c>
      <c r="C22" s="2">
        <f t="shared" ref="C22:D22" si="13">AVERAGE(C19:C21)</f>
        <v>1933.3333333333333</v>
      </c>
      <c r="D22" s="2">
        <f t="shared" si="13"/>
        <v>7333.333333333333</v>
      </c>
      <c r="E22" s="2">
        <f>AVERAGE(E19:E21)</f>
        <v>16333.333333333334</v>
      </c>
      <c r="F22" t="s">
        <v>12</v>
      </c>
      <c r="G22" s="1">
        <f>AVERAGE(G19:G21)</f>
        <v>160</v>
      </c>
      <c r="H22" s="1">
        <f t="shared" ref="H22" si="14">AVERAGE(H19:H21)</f>
        <v>9666.6666666666661</v>
      </c>
      <c r="I22" s="1">
        <f>AVERAGE(I19:I21)</f>
        <v>36666.666666666664</v>
      </c>
      <c r="J22" s="1">
        <f>AVERAGE(J19:J21)</f>
        <v>81666.666666666672</v>
      </c>
    </row>
    <row r="23" spans="1:10" x14ac:dyDescent="0.2">
      <c r="A23" s="4" t="s">
        <v>13</v>
      </c>
      <c r="B23" s="5">
        <f>STDEV(B19:B21)</f>
        <v>10.583005244258363</v>
      </c>
      <c r="C23" s="5">
        <f t="shared" ref="C23:D23" si="15">STDEV(C19:C21)</f>
        <v>709.45988845975853</v>
      </c>
      <c r="D23" s="5">
        <f t="shared" si="15"/>
        <v>3055.0504633038927</v>
      </c>
      <c r="E23" s="5">
        <f>STDEV(E19:E21)</f>
        <v>3511.8845842842434</v>
      </c>
      <c r="F23" s="4" t="s">
        <v>13</v>
      </c>
      <c r="G23" s="7">
        <f>STDEV(G19:G21)</f>
        <v>52.915026221291811</v>
      </c>
      <c r="H23" s="7">
        <f t="shared" ref="H23" si="16">STDEV(H19:H21)</f>
        <v>3547.2994422987954</v>
      </c>
      <c r="I23" s="7">
        <f>STDEV(I19:I21)</f>
        <v>15275.252316519463</v>
      </c>
      <c r="J23" s="7">
        <f>STDEV(J19:J21)</f>
        <v>17559.42292142125</v>
      </c>
    </row>
    <row r="24" spans="1:10" x14ac:dyDescent="0.2">
      <c r="A24" t="s">
        <v>6</v>
      </c>
      <c r="B24">
        <f>10*10^1</f>
        <v>100</v>
      </c>
      <c r="C24">
        <f>25*10^3</f>
        <v>25000</v>
      </c>
      <c r="D24">
        <f>7*10^4</f>
        <v>70000</v>
      </c>
      <c r="E24">
        <f>26*10^4</f>
        <v>260000</v>
      </c>
      <c r="F24" t="s">
        <v>6</v>
      </c>
      <c r="G24" s="1">
        <f t="shared" si="1"/>
        <v>500</v>
      </c>
      <c r="H24" s="1">
        <f t="shared" si="1"/>
        <v>125000</v>
      </c>
      <c r="I24" s="1">
        <f>D24*5</f>
        <v>350000</v>
      </c>
      <c r="J24" s="1">
        <f t="shared" si="1"/>
        <v>1300000</v>
      </c>
    </row>
    <row r="25" spans="1:10" x14ac:dyDescent="0.2">
      <c r="A25" t="s">
        <v>6</v>
      </c>
      <c r="B25">
        <f>14*10^1</f>
        <v>140</v>
      </c>
      <c r="C25">
        <f>12*10^3</f>
        <v>12000</v>
      </c>
      <c r="D25">
        <f>44*10^3</f>
        <v>44000</v>
      </c>
      <c r="E25">
        <f>21*10^4</f>
        <v>210000</v>
      </c>
      <c r="F25" t="s">
        <v>6</v>
      </c>
      <c r="G25" s="1">
        <f t="shared" si="1"/>
        <v>700</v>
      </c>
      <c r="H25" s="1">
        <f t="shared" si="1"/>
        <v>60000</v>
      </c>
      <c r="I25" s="1">
        <f>D25*5</f>
        <v>220000</v>
      </c>
      <c r="J25" s="1">
        <f t="shared" si="1"/>
        <v>1050000</v>
      </c>
    </row>
    <row r="26" spans="1:10" x14ac:dyDescent="0.2">
      <c r="A26" t="s">
        <v>6</v>
      </c>
      <c r="B26">
        <f>2*10^1</f>
        <v>20</v>
      </c>
      <c r="C26">
        <f>25*10^3</f>
        <v>25000</v>
      </c>
      <c r="D26">
        <f>60*10^3</f>
        <v>60000</v>
      </c>
      <c r="E26">
        <f>24*10^4</f>
        <v>240000</v>
      </c>
      <c r="F26" t="s">
        <v>6</v>
      </c>
      <c r="G26" s="1">
        <f t="shared" si="1"/>
        <v>100</v>
      </c>
      <c r="H26" s="1">
        <f t="shared" si="1"/>
        <v>125000</v>
      </c>
      <c r="I26" s="1">
        <f>D26*5</f>
        <v>300000</v>
      </c>
      <c r="J26" s="1">
        <f t="shared" si="1"/>
        <v>1200000</v>
      </c>
    </row>
    <row r="27" spans="1:10" x14ac:dyDescent="0.2">
      <c r="A27" t="s">
        <v>12</v>
      </c>
      <c r="B27" s="2">
        <f>AVERAGE(B24:B26)</f>
        <v>86.666666666666671</v>
      </c>
      <c r="C27" s="2">
        <f t="shared" ref="C27" si="17">AVERAGE(C24:C26)</f>
        <v>20666.666666666668</v>
      </c>
      <c r="D27" s="2">
        <f>AVERAGE(D24:D25)</f>
        <v>57000</v>
      </c>
      <c r="E27" s="2">
        <f>AVERAGE(E24:E26)</f>
        <v>236666.66666666666</v>
      </c>
      <c r="F27" t="s">
        <v>12</v>
      </c>
      <c r="G27" s="1">
        <f>AVERAGE(G24:G26)</f>
        <v>433.33333333333331</v>
      </c>
      <c r="H27" s="1">
        <f t="shared" ref="H27" si="18">AVERAGE(H24:H26)</f>
        <v>103333.33333333333</v>
      </c>
      <c r="I27" s="1">
        <f>AVERAGE(I24:I26)</f>
        <v>290000</v>
      </c>
      <c r="J27" s="1">
        <f>AVERAGE(J24:J26)</f>
        <v>1183333.3333333333</v>
      </c>
    </row>
    <row r="28" spans="1:10" x14ac:dyDescent="0.2">
      <c r="A28" s="4" t="s">
        <v>13</v>
      </c>
      <c r="B28" s="5">
        <f>STDEV(B24:B26)</f>
        <v>61.101009266077874</v>
      </c>
      <c r="C28" s="5">
        <f t="shared" ref="C28" si="19">STDEV(C24:C26)</f>
        <v>7505.553499465138</v>
      </c>
      <c r="D28" s="5">
        <f>STDEV(D24:D25)</f>
        <v>18384.776310850237</v>
      </c>
      <c r="E28" s="5">
        <f>STDEV(E24:E26)</f>
        <v>25166.11478423583</v>
      </c>
      <c r="F28" s="4" t="s">
        <v>13</v>
      </c>
      <c r="G28" s="7">
        <f>STDEV(G24:G26)</f>
        <v>305.50504633038929</v>
      </c>
      <c r="H28" s="7">
        <f t="shared" ref="H28" si="20">STDEV(H24:H26)</f>
        <v>37527.76749732568</v>
      </c>
      <c r="I28" s="7">
        <f>STDEV(I24:I26)</f>
        <v>65574.385243020006</v>
      </c>
      <c r="J28" s="7">
        <f>STDEV(J24:J26)</f>
        <v>125830.57392117915</v>
      </c>
    </row>
    <row r="29" spans="1:10" x14ac:dyDescent="0.2">
      <c r="A29" t="s">
        <v>7</v>
      </c>
      <c r="B29">
        <f>2*10^1</f>
        <v>20</v>
      </c>
      <c r="C29">
        <f>11*10^3</f>
        <v>11000</v>
      </c>
      <c r="D29">
        <f>7*10^4</f>
        <v>70000</v>
      </c>
      <c r="E29">
        <f>13*10^4</f>
        <v>130000</v>
      </c>
      <c r="F29" t="s">
        <v>7</v>
      </c>
      <c r="G29" s="1">
        <f t="shared" si="1"/>
        <v>100</v>
      </c>
      <c r="H29" s="1">
        <f t="shared" si="1"/>
        <v>55000</v>
      </c>
      <c r="I29" s="1">
        <f>D29*5</f>
        <v>350000</v>
      </c>
      <c r="J29" s="1">
        <f t="shared" si="1"/>
        <v>650000</v>
      </c>
    </row>
    <row r="30" spans="1:10" x14ac:dyDescent="0.2">
      <c r="A30" t="s">
        <v>7</v>
      </c>
      <c r="B30">
        <f>2*10^1</f>
        <v>20</v>
      </c>
      <c r="C30">
        <f>14*10^3</f>
        <v>14000</v>
      </c>
      <c r="D30">
        <f>7*10^4</f>
        <v>70000</v>
      </c>
      <c r="E30">
        <f>19*10^4</f>
        <v>190000</v>
      </c>
      <c r="F30" t="s">
        <v>7</v>
      </c>
      <c r="G30" s="1">
        <f t="shared" si="1"/>
        <v>100</v>
      </c>
      <c r="H30" s="1">
        <f t="shared" si="1"/>
        <v>70000</v>
      </c>
      <c r="I30" s="1">
        <f>D30*5</f>
        <v>350000</v>
      </c>
      <c r="J30" s="1">
        <f t="shared" si="1"/>
        <v>950000</v>
      </c>
    </row>
    <row r="31" spans="1:10" x14ac:dyDescent="0.2">
      <c r="A31" t="s">
        <v>7</v>
      </c>
      <c r="B31">
        <f>4*10^1</f>
        <v>40</v>
      </c>
      <c r="C31">
        <f>8*10^3</f>
        <v>8000</v>
      </c>
      <c r="D31">
        <f>5*10^4</f>
        <v>50000</v>
      </c>
      <c r="E31">
        <f>23*10^4</f>
        <v>230000</v>
      </c>
      <c r="F31" t="s">
        <v>7</v>
      </c>
      <c r="G31" s="1">
        <f t="shared" si="1"/>
        <v>200</v>
      </c>
      <c r="H31" s="1">
        <f t="shared" si="1"/>
        <v>40000</v>
      </c>
      <c r="I31" s="1">
        <f t="shared" si="1"/>
        <v>250000</v>
      </c>
      <c r="J31" s="1">
        <f t="shared" si="1"/>
        <v>1150000</v>
      </c>
    </row>
    <row r="32" spans="1:10" x14ac:dyDescent="0.2">
      <c r="A32" t="s">
        <v>12</v>
      </c>
      <c r="B32" s="2">
        <f>AVERAGE(B29:B31)</f>
        <v>26.666666666666668</v>
      </c>
      <c r="C32" s="2">
        <f t="shared" ref="C32:D32" si="21">AVERAGE(C29:C31)</f>
        <v>11000</v>
      </c>
      <c r="D32" s="2">
        <f t="shared" si="21"/>
        <v>63333.333333333336</v>
      </c>
      <c r="E32" s="2">
        <f>AVERAGE(E29:E31)</f>
        <v>183333.33333333334</v>
      </c>
      <c r="F32" t="s">
        <v>12</v>
      </c>
      <c r="G32" s="1">
        <f>AVERAGE(G29:G31)</f>
        <v>133.33333333333334</v>
      </c>
      <c r="H32" s="1">
        <f t="shared" ref="H32" si="22">AVERAGE(H29:H31)</f>
        <v>55000</v>
      </c>
      <c r="I32" s="1">
        <f>AVERAGE(I29:I31)</f>
        <v>316666.66666666669</v>
      </c>
      <c r="J32" s="1">
        <f>AVERAGE(J29:J31)</f>
        <v>916666.66666666663</v>
      </c>
    </row>
    <row r="33" spans="1:10" x14ac:dyDescent="0.2">
      <c r="A33" s="4" t="s">
        <v>13</v>
      </c>
      <c r="B33" s="5">
        <f>STDEV(B29:B31)</f>
        <v>11.547005383792513</v>
      </c>
      <c r="C33" s="5">
        <f t="shared" ref="C33:D33" si="23">STDEV(C29:C31)</f>
        <v>3000</v>
      </c>
      <c r="D33" s="5">
        <f t="shared" si="23"/>
        <v>11547.005383792501</v>
      </c>
      <c r="E33" s="5">
        <f>STDEV(E29:E31)</f>
        <v>50332.229568471688</v>
      </c>
      <c r="F33" s="4" t="s">
        <v>13</v>
      </c>
      <c r="G33" s="7">
        <f>STDEV(G29:G31)</f>
        <v>57.735026918962568</v>
      </c>
      <c r="H33" s="7">
        <f t="shared" ref="H33" si="24">STDEV(H29:H31)</f>
        <v>15000</v>
      </c>
      <c r="I33" s="7">
        <f>STDEV(I29:I31)</f>
        <v>57735.026918962663</v>
      </c>
      <c r="J33" s="7">
        <f>STDEV(J29:J31)</f>
        <v>251661.14784235816</v>
      </c>
    </row>
    <row r="34" spans="1:10" x14ac:dyDescent="0.2">
      <c r="A34" t="s">
        <v>8</v>
      </c>
      <c r="B34">
        <f>9*10^1</f>
        <v>90</v>
      </c>
      <c r="C34">
        <f>7*10^3</f>
        <v>7000</v>
      </c>
      <c r="D34">
        <f>36*10^3</f>
        <v>36000</v>
      </c>
      <c r="E34">
        <f>6*10^4</f>
        <v>60000</v>
      </c>
      <c r="F34" t="s">
        <v>8</v>
      </c>
      <c r="G34" s="1">
        <f t="shared" si="1"/>
        <v>450</v>
      </c>
      <c r="H34" s="1">
        <f t="shared" si="1"/>
        <v>35000</v>
      </c>
      <c r="I34" s="1">
        <f t="shared" si="1"/>
        <v>180000</v>
      </c>
      <c r="J34" s="1">
        <f t="shared" si="1"/>
        <v>300000</v>
      </c>
    </row>
    <row r="35" spans="1:10" x14ac:dyDescent="0.2">
      <c r="A35" t="s">
        <v>8</v>
      </c>
      <c r="B35">
        <f>6*10^1</f>
        <v>60</v>
      </c>
      <c r="C35">
        <f>6*10^3</f>
        <v>6000</v>
      </c>
      <c r="D35">
        <f>20*10^3</f>
        <v>20000</v>
      </c>
      <c r="E35">
        <f>6*10^4</f>
        <v>60000</v>
      </c>
      <c r="F35" t="s">
        <v>8</v>
      </c>
      <c r="G35" s="1">
        <f t="shared" si="1"/>
        <v>300</v>
      </c>
      <c r="H35" s="1">
        <f t="shared" si="1"/>
        <v>30000</v>
      </c>
      <c r="I35" s="1">
        <f t="shared" si="1"/>
        <v>100000</v>
      </c>
      <c r="J35" s="1">
        <f t="shared" si="1"/>
        <v>300000</v>
      </c>
    </row>
    <row r="36" spans="1:10" x14ac:dyDescent="0.2">
      <c r="A36" t="s">
        <v>8</v>
      </c>
      <c r="B36">
        <f>3*10^1</f>
        <v>30</v>
      </c>
      <c r="C36">
        <f>4*10^3</f>
        <v>4000</v>
      </c>
      <c r="D36">
        <f>23*10^3</f>
        <v>23000</v>
      </c>
      <c r="E36">
        <f>5*10^4</f>
        <v>50000</v>
      </c>
      <c r="F36" t="s">
        <v>8</v>
      </c>
      <c r="G36" s="1">
        <f t="shared" si="1"/>
        <v>150</v>
      </c>
      <c r="H36" s="1">
        <f t="shared" si="1"/>
        <v>20000</v>
      </c>
      <c r="I36" s="1">
        <f>D36*5</f>
        <v>115000</v>
      </c>
      <c r="J36" s="1">
        <f t="shared" si="1"/>
        <v>250000</v>
      </c>
    </row>
    <row r="37" spans="1:10" x14ac:dyDescent="0.2">
      <c r="A37" t="s">
        <v>12</v>
      </c>
      <c r="B37" s="2">
        <f>AVERAGE(B34:B36)</f>
        <v>60</v>
      </c>
      <c r="C37" s="2">
        <f t="shared" ref="C37:D37" si="25">AVERAGE(C34:C36)</f>
        <v>5666.666666666667</v>
      </c>
      <c r="D37" s="2">
        <f t="shared" si="25"/>
        <v>26333.333333333332</v>
      </c>
      <c r="E37" s="2">
        <f>AVERAGE(E34:E36)</f>
        <v>56666.666666666664</v>
      </c>
      <c r="F37" t="s">
        <v>12</v>
      </c>
      <c r="G37" s="1">
        <f>AVERAGE(G34:G36)</f>
        <v>300</v>
      </c>
      <c r="H37" s="1">
        <f t="shared" ref="H37" si="26">AVERAGE(H34:H36)</f>
        <v>28333.333333333332</v>
      </c>
      <c r="I37" s="1">
        <f>AVERAGE(I34:I36)</f>
        <v>131666.66666666666</v>
      </c>
      <c r="J37" s="1">
        <f>AVERAGE(J34:J36)</f>
        <v>283333.33333333331</v>
      </c>
    </row>
    <row r="38" spans="1:10" x14ac:dyDescent="0.2">
      <c r="A38" s="4" t="s">
        <v>13</v>
      </c>
      <c r="B38" s="5">
        <f>STDEV(B34:B36)</f>
        <v>30</v>
      </c>
      <c r="C38" s="5">
        <f t="shared" ref="C38:D38" si="27">STDEV(C34:C36)</f>
        <v>1527.5252316519475</v>
      </c>
      <c r="D38" s="5">
        <f t="shared" si="27"/>
        <v>8504.9005481153854</v>
      </c>
      <c r="E38" s="5">
        <f>STDEV(E34:E36)</f>
        <v>5773.5026918962576</v>
      </c>
      <c r="F38" s="4" t="s">
        <v>13</v>
      </c>
      <c r="G38" s="7">
        <f>STDEV(G34:G36)</f>
        <v>150</v>
      </c>
      <c r="H38" s="7">
        <f t="shared" ref="H38" si="28">STDEV(H34:H36)</f>
        <v>7637.6261582597281</v>
      </c>
      <c r="I38" s="7">
        <f>STDEV(I34:I36)</f>
        <v>42524.5027405769</v>
      </c>
      <c r="J38" s="7">
        <f>STDEV(J34:J36)</f>
        <v>28867.513459481288</v>
      </c>
    </row>
    <row r="39" spans="1:10" x14ac:dyDescent="0.2">
      <c r="A39" t="s">
        <v>9</v>
      </c>
      <c r="B39">
        <f>11*10^1</f>
        <v>110</v>
      </c>
      <c r="C39">
        <f>47*10^2</f>
        <v>4700</v>
      </c>
      <c r="D39">
        <f>111*10^2</f>
        <v>11100</v>
      </c>
      <c r="E39">
        <f>14*10^4</f>
        <v>140000</v>
      </c>
      <c r="F39" t="s">
        <v>9</v>
      </c>
      <c r="G39" s="1">
        <f t="shared" si="1"/>
        <v>550</v>
      </c>
      <c r="H39" s="1">
        <f t="shared" si="1"/>
        <v>23500</v>
      </c>
      <c r="I39" s="1">
        <f>D39*5</f>
        <v>55500</v>
      </c>
      <c r="J39" s="1">
        <f t="shared" si="1"/>
        <v>700000</v>
      </c>
    </row>
    <row r="40" spans="1:10" x14ac:dyDescent="0.2">
      <c r="A40" t="s">
        <v>9</v>
      </c>
      <c r="B40">
        <f>10*10^1</f>
        <v>100</v>
      </c>
      <c r="C40">
        <f>56*10^2</f>
        <v>5600</v>
      </c>
      <c r="D40">
        <f>10*10^3</f>
        <v>10000</v>
      </c>
      <c r="E40">
        <f>13*10^4</f>
        <v>130000</v>
      </c>
      <c r="F40" t="s">
        <v>9</v>
      </c>
      <c r="G40" s="1">
        <f t="shared" si="1"/>
        <v>500</v>
      </c>
      <c r="H40" s="1">
        <f t="shared" si="1"/>
        <v>28000</v>
      </c>
      <c r="I40" s="1">
        <f t="shared" si="1"/>
        <v>50000</v>
      </c>
      <c r="J40" s="1">
        <f t="shared" si="1"/>
        <v>650000</v>
      </c>
    </row>
    <row r="41" spans="1:10" x14ac:dyDescent="0.2">
      <c r="A41" t="s">
        <v>9</v>
      </c>
      <c r="B41">
        <f>8*10^1</f>
        <v>80</v>
      </c>
      <c r="C41">
        <f>66*10^2</f>
        <v>6600</v>
      </c>
      <c r="D41">
        <f>83*10^2</f>
        <v>8300</v>
      </c>
      <c r="E41">
        <f>20*10^4</f>
        <v>200000</v>
      </c>
      <c r="F41" t="s">
        <v>9</v>
      </c>
      <c r="G41" s="1">
        <f t="shared" si="1"/>
        <v>400</v>
      </c>
      <c r="H41" s="1">
        <f t="shared" si="1"/>
        <v>33000</v>
      </c>
      <c r="I41" s="1">
        <f t="shared" si="1"/>
        <v>41500</v>
      </c>
      <c r="J41" s="1">
        <f t="shared" si="1"/>
        <v>1000000</v>
      </c>
    </row>
    <row r="42" spans="1:10" x14ac:dyDescent="0.2">
      <c r="A42" t="s">
        <v>12</v>
      </c>
      <c r="B42" s="2">
        <f>AVERAGE(B39:B41)</f>
        <v>96.666666666666671</v>
      </c>
      <c r="C42" s="2">
        <f t="shared" ref="C42:D42" si="29">AVERAGE(C39:C41)</f>
        <v>5633.333333333333</v>
      </c>
      <c r="D42" s="2">
        <f t="shared" si="29"/>
        <v>9800</v>
      </c>
      <c r="E42" s="2">
        <f>AVERAGE(E39:E41)</f>
        <v>156666.66666666666</v>
      </c>
      <c r="F42" t="s">
        <v>12</v>
      </c>
      <c r="G42" s="1">
        <f>AVERAGE(G39:G41)</f>
        <v>483.33333333333331</v>
      </c>
      <c r="H42" s="1">
        <f>AVERAGE(H39:H41)</f>
        <v>28166.666666666668</v>
      </c>
      <c r="I42" s="1">
        <f>AVERAGE(I39:I41)</f>
        <v>49000</v>
      </c>
      <c r="J42" s="1">
        <f>AVERAGE(J39:J41)</f>
        <v>783333.33333333337</v>
      </c>
    </row>
    <row r="43" spans="1:10" x14ac:dyDescent="0.2">
      <c r="A43" s="4" t="s">
        <v>13</v>
      </c>
      <c r="B43" s="5">
        <f>STDEV(B39:B41)</f>
        <v>15.275252316519486</v>
      </c>
      <c r="C43" s="5">
        <f t="shared" ref="C43:D43" si="30">STDEV(C39:C41)</f>
        <v>950.43849529221814</v>
      </c>
      <c r="D43" s="5">
        <f t="shared" si="30"/>
        <v>1410.6735979665884</v>
      </c>
      <c r="E43" s="5">
        <f>STDEV(E39:E41)</f>
        <v>37859.388972001856</v>
      </c>
      <c r="F43" s="4" t="s">
        <v>13</v>
      </c>
      <c r="G43" s="7">
        <f>STDEV(G39:G41)</f>
        <v>76.376261582597209</v>
      </c>
      <c r="H43" s="7">
        <f>STDEV(H39:H41)</f>
        <v>4752.1924764610758</v>
      </c>
      <c r="I43" s="7">
        <f>STDEV(I39:I41)</f>
        <v>7053.3679898329419</v>
      </c>
      <c r="J43" s="7">
        <f>STDEV(J39:J41)</f>
        <v>189296.94486000921</v>
      </c>
    </row>
    <row r="44" spans="1:10" x14ac:dyDescent="0.2">
      <c r="A44" t="s">
        <v>10</v>
      </c>
      <c r="B44">
        <f>4*10^1</f>
        <v>40</v>
      </c>
      <c r="C44">
        <f>29*10^2</f>
        <v>2900</v>
      </c>
      <c r="D44">
        <f>64*10^2</f>
        <v>6400</v>
      </c>
      <c r="E44">
        <f>5*10^4</f>
        <v>50000</v>
      </c>
      <c r="F44" t="s">
        <v>10</v>
      </c>
      <c r="G44" s="1">
        <f t="shared" si="1"/>
        <v>200</v>
      </c>
      <c r="H44" s="1">
        <f t="shared" si="1"/>
        <v>14500</v>
      </c>
      <c r="I44" s="1">
        <f t="shared" si="1"/>
        <v>32000</v>
      </c>
      <c r="J44" s="1">
        <f t="shared" si="1"/>
        <v>250000</v>
      </c>
    </row>
    <row r="45" spans="1:10" x14ac:dyDescent="0.2">
      <c r="A45" t="s">
        <v>10</v>
      </c>
      <c r="B45">
        <f>1*10^1</f>
        <v>10</v>
      </c>
      <c r="C45">
        <f>20*10^2</f>
        <v>2000</v>
      </c>
      <c r="D45">
        <f>12*10^3</f>
        <v>12000</v>
      </c>
      <c r="E45">
        <f>8*10^4</f>
        <v>80000</v>
      </c>
      <c r="F45" t="s">
        <v>10</v>
      </c>
      <c r="G45" s="1">
        <f t="shared" si="1"/>
        <v>50</v>
      </c>
      <c r="H45" s="1">
        <f t="shared" si="1"/>
        <v>10000</v>
      </c>
      <c r="I45" s="1">
        <f t="shared" si="1"/>
        <v>60000</v>
      </c>
      <c r="J45" s="1">
        <f t="shared" si="1"/>
        <v>400000</v>
      </c>
    </row>
    <row r="46" spans="1:10" x14ac:dyDescent="0.2">
      <c r="A46" t="s">
        <v>10</v>
      </c>
      <c r="B46">
        <f>2*10^1</f>
        <v>20</v>
      </c>
      <c r="C46">
        <f>20*10^2</f>
        <v>2000</v>
      </c>
      <c r="D46">
        <f>10*10^3</f>
        <v>10000</v>
      </c>
      <c r="E46">
        <f>4*10^4</f>
        <v>40000</v>
      </c>
      <c r="F46" t="s">
        <v>10</v>
      </c>
      <c r="G46" s="1">
        <f t="shared" si="1"/>
        <v>100</v>
      </c>
      <c r="H46" s="1">
        <f t="shared" si="1"/>
        <v>10000</v>
      </c>
      <c r="I46" s="1">
        <f t="shared" si="1"/>
        <v>50000</v>
      </c>
      <c r="J46" s="1">
        <f t="shared" si="1"/>
        <v>200000</v>
      </c>
    </row>
    <row r="47" spans="1:10" x14ac:dyDescent="0.2">
      <c r="A47" t="s">
        <v>12</v>
      </c>
      <c r="B47" s="2">
        <f>AVERAGE(B44:B46)</f>
        <v>23.333333333333332</v>
      </c>
      <c r="C47" s="2">
        <f t="shared" ref="C47:D47" si="31">AVERAGE(C44:C46)</f>
        <v>2300</v>
      </c>
      <c r="D47" s="2">
        <f t="shared" si="31"/>
        <v>9466.6666666666661</v>
      </c>
      <c r="E47" s="2">
        <f>AVERAGE(E44:E46)</f>
        <v>56666.666666666664</v>
      </c>
      <c r="F47" t="s">
        <v>12</v>
      </c>
      <c r="G47" s="1">
        <f>AVERAGE(G44:G46)</f>
        <v>116.66666666666667</v>
      </c>
      <c r="H47" s="1">
        <f t="shared" ref="H47" si="32">AVERAGE(H44:H46)</f>
        <v>11500</v>
      </c>
      <c r="I47" s="1">
        <f>AVERAGE(I44:I46)</f>
        <v>47333.333333333336</v>
      </c>
      <c r="J47" s="1">
        <f>AVERAGE(J44:J46)</f>
        <v>283333.33333333331</v>
      </c>
    </row>
    <row r="48" spans="1:10" x14ac:dyDescent="0.2">
      <c r="A48" s="4" t="s">
        <v>13</v>
      </c>
      <c r="B48" s="5">
        <f>STDEV(B44:B46)</f>
        <v>15.275252316519468</v>
      </c>
      <c r="C48" s="5">
        <f t="shared" ref="C48:D48" si="33">STDEV(C44:C46)</f>
        <v>519.6152422706632</v>
      </c>
      <c r="D48" s="5">
        <f t="shared" si="33"/>
        <v>2837.8395538390369</v>
      </c>
      <c r="E48" s="5">
        <f>STDEV(E44:E46)</f>
        <v>20816.659994661321</v>
      </c>
      <c r="F48" s="4" t="s">
        <v>13</v>
      </c>
      <c r="G48" s="7">
        <f>STDEV(G44:G46)</f>
        <v>76.376261582597323</v>
      </c>
      <c r="H48" s="7">
        <f t="shared" ref="H48" si="34">STDEV(H44:H46)</f>
        <v>2598.076211353316</v>
      </c>
      <c r="I48" s="7">
        <f>STDEV(I44:I46)</f>
        <v>14189.197769195182</v>
      </c>
      <c r="J48" s="7">
        <f>STDEV(J44:J46)</f>
        <v>104083.29997330661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MOI=0.01 August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Shiho  TORII</cp:lastModifiedBy>
  <dcterms:created xsi:type="dcterms:W3CDTF">2023-08-28T11:59:30Z</dcterms:created>
  <dcterms:modified xsi:type="dcterms:W3CDTF">2023-11-27T10:33:49Z</dcterms:modified>
</cp:coreProperties>
</file>