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3"/>
    <sheet state="visible" name="Comms" sheetId="2" r:id="rId4"/>
    <sheet state="visible" name="Processor" sheetId="3" r:id="rId5"/>
    <sheet state="visible" name="Part Numbers" sheetId="4" r:id="rId6"/>
  </sheets>
  <definedNames/>
  <calcPr/>
</workbook>
</file>

<file path=xl/sharedStrings.xml><?xml version="1.0" encoding="utf-8"?>
<sst xmlns="http://schemas.openxmlformats.org/spreadsheetml/2006/main" count="278" uniqueCount="191">
  <si>
    <t>Item</t>
  </si>
  <si>
    <t>Designator</t>
  </si>
  <si>
    <t>Min # of Units</t>
  </si>
  <si>
    <t>Price/Unit</t>
  </si>
  <si>
    <t>Total Price</t>
  </si>
  <si>
    <t xml:space="preserve">10000 Price/Unit </t>
  </si>
  <si>
    <t>10000 Total Price</t>
  </si>
  <si>
    <t>Link</t>
  </si>
  <si>
    <t>Energy Harvester</t>
  </si>
  <si>
    <t xml:space="preserve">U1 </t>
  </si>
  <si>
    <t>https://www.digikey.com/product-detail/en/texas-instruments/BQ25570RGRR/296-39934-1-ND/5177811</t>
  </si>
  <si>
    <t>Battery</t>
  </si>
  <si>
    <t xml:space="preserve">U2 </t>
  </si>
  <si>
    <t>https://www.digikey.com/products/en?keywords=RJD2430C1ST1</t>
  </si>
  <si>
    <t>Fuel Gauge</t>
  </si>
  <si>
    <t xml:space="preserve">U3 </t>
  </si>
  <si>
    <t>https://www.digikey.com/product-detail/en/texas-instruments/BQ27411DRZR-G1A/296-39935-1-ND/5177812</t>
  </si>
  <si>
    <t>Solarcell</t>
  </si>
  <si>
    <t xml:space="preserve">U4-U7 </t>
  </si>
  <si>
    <t>NA</t>
  </si>
  <si>
    <t>7.5MΩ</t>
  </si>
  <si>
    <t>R1</t>
  </si>
  <si>
    <t>https://www.mouser.com/ProductDetail/ROHM-Semiconductor/KTR03EZPF7504?qs=sGAEpiMZZMvdGkrng054tywGjayRHxH22u0oLuGbbwl5gEr9%252BX1miA%3D%3D</t>
  </si>
  <si>
    <t>5.76MΩ</t>
  </si>
  <si>
    <t>R2</t>
  </si>
  <si>
    <t>https://www.mouser.com/ProductDetail/Vishay/CRCW06035M76FKEA?qs=sGAEpiMZZMvdGkrng054t9YoKDts9whp3wjiTgYcou0%3d</t>
  </si>
  <si>
    <t>374kΩ</t>
  </si>
  <si>
    <t>R3</t>
  </si>
  <si>
    <t>https://www.mouser.com/ProductDetail/Yageo/RT0603FRE07374KL?qs=sGAEpiMZZMvdGkrng054t01EY%252bddBKhiXcIZg%252bnIRFQ%3d</t>
  </si>
  <si>
    <t>6.65MΩ</t>
  </si>
  <si>
    <t>R4</t>
  </si>
  <si>
    <t>https://www.mouser.com/ProductDetail/Vishay/CRCW06036M65FKEA?qs=sGAEpiMZZMvdGkrng054t9YoKDts9whp80c4NOm47Uw%3d</t>
  </si>
  <si>
    <t>4.53MΩ</t>
  </si>
  <si>
    <t>R5</t>
  </si>
  <si>
    <t>https://www.mouser.com/ProductDetail/Yageo/RC0603FR-074M53L?qs=sGAEpiMZZMvdGkrng054tx7%2f6%252bNA3LAJ6J7cAaW9wfw%3d</t>
  </si>
  <si>
    <t>7.68MΩ</t>
  </si>
  <si>
    <t>R6</t>
  </si>
  <si>
    <t>https://www.mouser.com/ProductDetail/Vishay/CRCW06037M68FKEA?qs=sGAEpiMZZMvdGkrng054tygjBeyq%2fOAO2P3DpTV2uYw%3d</t>
  </si>
  <si>
    <t>4.42 MΩ</t>
  </si>
  <si>
    <t>R7</t>
  </si>
  <si>
    <t>https://www.mouser.com/ProductDetail/Yageo/RC0603FR-074M42L?qs=sGAEpiMZZMvdGkrng054tx7%2f6%252bNA3LAJRBC2PQJbkcs%3d</t>
  </si>
  <si>
    <t>0.01Ω</t>
  </si>
  <si>
    <t>R8</t>
  </si>
  <si>
    <t>https://www.mouser.com/ProductDetail/ROHM-Semiconductor/PMR03EZPFU10L0?qs=sGAEpiMZZMvdGkrng054t621aZ%2fa1rARAEVEbuIQu%2ftr8Nu74flWOQ%3d%3d</t>
  </si>
  <si>
    <t>DNP</t>
  </si>
  <si>
    <t>R9-R10, R20</t>
  </si>
  <si>
    <t>-</t>
  </si>
  <si>
    <t>0Ω</t>
  </si>
  <si>
    <t>R14,R19</t>
  </si>
  <si>
    <t>1Ω</t>
  </si>
  <si>
    <t>R15-R16</t>
  </si>
  <si>
    <t>https://www.mouser.com/ProductDetail/Yageo/SR0603FR-7T1RL?qs=sGAEpiMZZMvdGkrng054t7z4BkURc4LzffTtjhXQwv%252b2F2NZVqBBTA%3d%3d</t>
  </si>
  <si>
    <t>1MΩ</t>
  </si>
  <si>
    <t>R17-R18</t>
  </si>
  <si>
    <t>https://www.mouser.com/ProductDetail/vishay/crcw06031m96fkea/?qs=algJsbUzQnE4Q85rm1F%2Fxg%3D%3D&amp;countrycode=US&amp;currencycode=USD</t>
  </si>
  <si>
    <t>22uH</t>
  </si>
  <si>
    <t>L3</t>
  </si>
  <si>
    <t>https://www.mouser.com/ProductDetail/TDK/KLZ1608MHR220WTD25?qs=sGAEpiMZZMsg%252by3WlYCkU5FHiQf6D01S1SA6I%2fdwOG8%3d</t>
  </si>
  <si>
    <t>10uH</t>
  </si>
  <si>
    <t>L6</t>
  </si>
  <si>
    <t>https://www.mouser.com/ProductDetail/TDK/MLZ1608N100L?qs=sGAEpiMZZMsg%252by3WlYCkUxULy5EXuT33WSSjnVXEC6I%3d</t>
  </si>
  <si>
    <t>headers</t>
  </si>
  <si>
    <t>J-</t>
  </si>
  <si>
    <t>https://www.adafruit.com/product/3008</t>
  </si>
  <si>
    <t>.01uF*</t>
  </si>
  <si>
    <t>C1</t>
  </si>
  <si>
    <t>0.1uF*</t>
  </si>
  <si>
    <t>C2, C9</t>
  </si>
  <si>
    <t>4.7uF</t>
  </si>
  <si>
    <t>C3, C8</t>
  </si>
  <si>
    <t>https://www.mouser.com/ProductDetail/Murata-Electronics/GRT188C81E475KE13D?qs=sGAEpiMZZMs0AnBnWHyRQKtaB%2fEehnE2LWJr5qFlfVZ66Vr4k7OU%2fQ%3d%3d</t>
  </si>
  <si>
    <t>0.47uF</t>
  </si>
  <si>
    <t>C4</t>
  </si>
  <si>
    <t>https://www.mouser.com/ProductDetail/KEMET/C0603C474J4RACAUTO?qs=sGAEpiMZZMs0AnBnWHyRQL8L3bkL%252bvtyaMuIEQvga7kI37yIXUplJA%3d%3d</t>
  </si>
  <si>
    <t>22uF</t>
  </si>
  <si>
    <t>C5</t>
  </si>
  <si>
    <t>https://www.mouser.com/ProductDetail/Murata-Electronics/ZRB18AR61A226ME01L?qs=sGAEpiMZZMs0AnBnWHyRQN7%2fAA2D2lPPknK%252bZ26wfT%2fc2YZrPwOUrA%3d%3d</t>
  </si>
  <si>
    <t>100uF</t>
  </si>
  <si>
    <t>C6</t>
  </si>
  <si>
    <t>https://www.mouser.com/ProductDetail/AVX/F980J107MMAAXE?qs=%2fha2pyFaduj%252bfRzhFX%252bXoZ5eNPZXcC4O7TWUDlu5y4luE9G9CFAPMA%3d%3d</t>
  </si>
  <si>
    <t>1uF*</t>
  </si>
  <si>
    <t>C13</t>
  </si>
  <si>
    <t>Total component costs</t>
  </si>
  <si>
    <t>Final Cost Breakdown</t>
  </si>
  <si>
    <t>Prototype</t>
  </si>
  <si>
    <t>10,000 unit production</t>
  </si>
  <si>
    <t>Components</t>
  </si>
  <si>
    <t>Base PCB</t>
  </si>
  <si>
    <t>Labor</t>
  </si>
  <si>
    <t>Total</t>
  </si>
  <si>
    <t>designator</t>
  </si>
  <si>
    <t>10000Total Price</t>
  </si>
  <si>
    <t>32KHz crystal oscillator*</t>
  </si>
  <si>
    <t>32K</t>
  </si>
  <si>
    <t>48MHz crystal oscillator*</t>
  </si>
  <si>
    <t>48M</t>
  </si>
  <si>
    <t>12pF</t>
  </si>
  <si>
    <t>C2,C5-C6,C101</t>
  </si>
  <si>
    <t>https://www.digikey.com/product-detail/en/CC0603JRNPO9BN120/311-1059-1-ND/302969?utm_medium=email&amp;utm_source=oce&amp;utm_campaign=2491_OCE19RT&amp;utm_content=productdetail_US&amp;utm_cid=852367&amp;so=58739282&amp;mkt_tok=eyJpIjoiWlRNMk9UUmpPVGMzWVRSaSIsInQiOiJLNDlqMERQZk5TMkR1Qk5vOXRzZWVDU1wveWFXeXpiSHlYS21oNERiQ1dnd0w4VkluaHFqeGU3eURtY1B1aW13bFZRcjV0bGtaOHFQZCtVbUJtK2I0cDRCM1JPQkZJU3YrV3RCS0hMNTVxUWxVWWNsR3QyU3dHWG1EME5UTm1laXIifQ%3D%3D</t>
  </si>
  <si>
    <t>1.8pF</t>
  </si>
  <si>
    <t>C102</t>
  </si>
  <si>
    <t>https://www.digikey.com/product-detail/en/yageo/CC0603CRNPO9BN1R8/311-3852-1-ND/8024941</t>
  </si>
  <si>
    <t>C10,C14</t>
  </si>
  <si>
    <t>C8-C9,C11-C13,C15-C16</t>
  </si>
  <si>
    <t>1pF</t>
  </si>
  <si>
    <t>C1,C3,C7</t>
  </si>
  <si>
    <t>C4,CIN</t>
  </si>
  <si>
    <t>1nF*</t>
  </si>
  <si>
    <t>CT</t>
  </si>
  <si>
    <t>schottky diode*</t>
  </si>
  <si>
    <t>D1</t>
  </si>
  <si>
    <t>ferrite beads*</t>
  </si>
  <si>
    <t>Filter</t>
  </si>
  <si>
    <t>https://www.digikey.com/product-detail/en/murata-electronics-north-america/BLM18HE152SN1D/490-5216-1-ND/1948392</t>
  </si>
  <si>
    <t>J1-J6</t>
  </si>
  <si>
    <t>2.4nH</t>
  </si>
  <si>
    <t>L1,L4</t>
  </si>
  <si>
    <t>https://www.digikey.com/product-detail/en/murata-electronics-north-america/LQW18AN2N4C80D/490-14721-1-ND/6606327</t>
  </si>
  <si>
    <t>2nH</t>
  </si>
  <si>
    <t>L2-L3</t>
  </si>
  <si>
    <t>https://www.digikey.com/product-detail/en/johanson-technology-inc/L-14W2N0CV4E/712-1618-1-ND/6612954</t>
  </si>
  <si>
    <t>8.6uH</t>
  </si>
  <si>
    <t>https://www.digikey.com/product-detail/en/abracon-llc/AISC-0603F-8R2J-T/535-12536-1-ND/4864679</t>
  </si>
  <si>
    <t>green led*</t>
  </si>
  <si>
    <t>LED1</t>
  </si>
  <si>
    <t>100kΩ*</t>
  </si>
  <si>
    <t>100Ω*</t>
  </si>
  <si>
    <t>REXT</t>
  </si>
  <si>
    <t>https://www.digikey.com/product-detail/en/vishay-dale/TNPU0603500RAZEN00/541-3301-1-ND/6615958</t>
  </si>
  <si>
    <t>R_BP</t>
  </si>
  <si>
    <t>47kΩ</t>
  </si>
  <si>
    <t>R_PD</t>
  </si>
  <si>
    <t>https://www.digikey.com/product-detail/en/yageo/RC0603JR-0747KL/311-47KGRCT-ND/729741</t>
  </si>
  <si>
    <t>R_SMA</t>
  </si>
  <si>
    <t>SMA</t>
  </si>
  <si>
    <t>load switch</t>
  </si>
  <si>
    <t>TPS22918</t>
  </si>
  <si>
    <t>http://www.ti.com/product/TPS22918/technicaldocuments?HQS=TI-null-null-octopart-df-pf-null-wwe</t>
  </si>
  <si>
    <t>mcu</t>
  </si>
  <si>
    <t>U1</t>
  </si>
  <si>
    <t>http://www.ti.com/product/CC2652R</t>
  </si>
  <si>
    <t>Total Components Cost</t>
  </si>
  <si>
    <t>Accelerometer</t>
  </si>
  <si>
    <t>ACCEL</t>
  </si>
  <si>
    <t>https://www.mouser.com/ProductDetail/Bosch-Sensortec/BMA253?qs=z6PAvqrnkvQsf%2FKkNyclQA%3D%3D</t>
  </si>
  <si>
    <t>C0-C1,C3,C5,C7,C9,C11,C15</t>
  </si>
  <si>
    <t>C2,C4,C6,C8,C10,C12</t>
  </si>
  <si>
    <t>C14</t>
  </si>
  <si>
    <t>Schottky diode*</t>
  </si>
  <si>
    <t>J1-5</t>
  </si>
  <si>
    <t>JTAG</t>
  </si>
  <si>
    <t>red led*</t>
  </si>
  <si>
    <t>LED2</t>
  </si>
  <si>
    <t>msp430fr59941pnr</t>
  </si>
  <si>
    <t>MSP430</t>
  </si>
  <si>
    <t>https://www.mouser.com/ProductDetail/Texas-Instruments/MSP430FR5994IPNR?qs=sGAEpiMZZMsp%252Bcahb6g%252BW38ubgq5m5vQwjcK4zvHnT%2FBZLkz3oEa6g%3D%3D</t>
  </si>
  <si>
    <t>2kΩ*</t>
  </si>
  <si>
    <t>R1-R2</t>
  </si>
  <si>
    <t>4.7kΩ*</t>
  </si>
  <si>
    <t>100Ω</t>
  </si>
  <si>
    <t>R4-R5</t>
  </si>
  <si>
    <t>R8-R9</t>
  </si>
  <si>
    <t>temperature &amp; humidity sensor</t>
  </si>
  <si>
    <t>TEMP_SENSOR</t>
  </si>
  <si>
    <t>https://www.mouser.com/ProductDetail/Texas-Instruments/HDC1080DMBR?qs=sGAEpiMZZMvt1VFuCspEMoKaiDcGzdlwPI84WwsUYd8%3D</t>
  </si>
  <si>
    <t>Part Name</t>
  </si>
  <si>
    <t>Part Designator</t>
  </si>
  <si>
    <t>Part Number</t>
  </si>
  <si>
    <t>Energy harvesting</t>
  </si>
  <si>
    <t>BQ25570RGRR</t>
  </si>
  <si>
    <t>RJD2430C1ST1</t>
  </si>
  <si>
    <t>Fuel gauge</t>
  </si>
  <si>
    <t>U3</t>
  </si>
  <si>
    <t>BQ27411DRZR-G1A</t>
  </si>
  <si>
    <t>U4-U7</t>
  </si>
  <si>
    <t>KXOB22-04X3F</t>
  </si>
  <si>
    <t>Processor</t>
  </si>
  <si>
    <t>MSP430FR9941PNR</t>
  </si>
  <si>
    <t>Temperature &amp; Humidity Sensor</t>
  </si>
  <si>
    <t>HDC1080DMBR</t>
  </si>
  <si>
    <t>BMA253</t>
  </si>
  <si>
    <t>32KHz crystal oscillator</t>
  </si>
  <si>
    <t>FC-135 32.7680KA-A3</t>
  </si>
  <si>
    <t>48MHz crystal oscillator</t>
  </si>
  <si>
    <t>NX2016SA-48M-EXS00A-CS05517</t>
  </si>
  <si>
    <t>schottky diode</t>
  </si>
  <si>
    <t>MF-DIO-SOD123-BAT42</t>
  </si>
  <si>
    <t>ferrite beads</t>
  </si>
  <si>
    <t>BLM18HE152SN1D</t>
  </si>
  <si>
    <t>MCU</t>
  </si>
  <si>
    <t>CC2652R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</si>
</sst>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12.0"/>
      <name val="Arial"/>
    </font>
    <font>
      <sz val="11.0"/>
      <color rgb="FF000000"/>
      <name val="Arial"/>
    </font>
    <font/>
    <font>
      <u/>
      <color rgb="FF0000FF"/>
    </font>
    <font>
      <u/>
      <color rgb="FF1155CC"/>
      <name val="Arial"/>
    </font>
    <font>
      <color rgb="FF000000"/>
      <name val="Arial"/>
    </font>
    <font>
      <b/>
      <color rgb="FF000000"/>
      <name val="Arial"/>
    </font>
    <font>
      <b/>
      <name val="Arial"/>
    </font>
    <font>
      <b/>
    </font>
    <font>
      <sz val="11.0"/>
      <color rgb="FF000000"/>
      <name val="Inconsolata"/>
    </font>
    <font>
      <sz val="10.0"/>
    </font>
    <font>
      <sz val="10.0"/>
      <name val="Arial"/>
    </font>
    <font>
      <b/>
      <sz val="24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ck">
        <color rgb="FF000000"/>
      </top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2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1" fillId="0" fontId="1" numFmtId="0" xfId="0" applyAlignment="1" applyBorder="1" applyFont="1">
      <alignment horizontal="left" vertical="bottom"/>
    </xf>
    <xf borderId="1" fillId="0" fontId="1" numFmtId="164" xfId="0" applyAlignment="1" applyBorder="1" applyFont="1" applyNumberForma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2" fontId="10" numFmtId="0" xfId="0" applyAlignment="1" applyFont="1">
      <alignment horizontal="right"/>
    </xf>
    <xf borderId="0" fillId="2" fontId="6" numFmtId="0" xfId="0" applyAlignment="1" applyFont="1">
      <alignment horizontal="left" readingOrder="0"/>
    </xf>
    <xf borderId="0" fillId="0" fontId="9" numFmtId="164" xfId="0" applyFont="1" applyNumberFormat="1"/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6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texas-instruments/BQ25570RGRR/296-39934-1-ND/5177811" TargetMode="External"/><Relationship Id="rId2" Type="http://schemas.openxmlformats.org/officeDocument/2006/relationships/hyperlink" Target="https://www.digikey.com/products/en?keywords=RJD2430C1ST1" TargetMode="External"/><Relationship Id="rId3" Type="http://schemas.openxmlformats.org/officeDocument/2006/relationships/hyperlink" Target="https://www.digikey.com/product-detail/en/texas-instruments/BQ27411DRZR-G1A/296-39935-1-ND/5177812" TargetMode="External"/><Relationship Id="rId4" Type="http://schemas.openxmlformats.org/officeDocument/2006/relationships/hyperlink" Target="https://www.mouser.com/ProductDetail/ROHM-Semiconductor/KTR03EZPF7504?qs=sGAEpiMZZMvdGkrng054tywGjayRHxH22u0oLuGbbwl5gEr9%252BX1miA%3D%3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ouser.com/ProductDetail/vishay/crcw06031m96fkea/?qs=algJsbUzQnE4Q85rm1F%2Fxg%3D%3D&amp;countrycode=US&amp;currencycode=USD" TargetMode="External"/><Relationship Id="rId5" Type="http://schemas.openxmlformats.org/officeDocument/2006/relationships/hyperlink" Target="https://www.mouser.com/ProductDetail/Vishay/CRCW06036M65FKEA?qs=sGAEpiMZZMvdGkrng054t9YoKDts9whp80c4NOm47Uw%3d" TargetMode="External"/><Relationship Id="rId6" Type="http://schemas.openxmlformats.org/officeDocument/2006/relationships/hyperlink" Target="https://www.mouser.com/ProductDetail/Yageo/RC0603FR-074M53L?qs=sGAEpiMZZMvdGkrng054tx7%2f6%252bNA3LAJ6J7cAaW9wfw%3d" TargetMode="External"/><Relationship Id="rId7" Type="http://schemas.openxmlformats.org/officeDocument/2006/relationships/hyperlink" Target="https://www.mouser.com/ProductDetail/Vishay/CRCW06037M68FKEA?qs=sGAEpiMZZMvdGkrng054tygjBeyq%2fOAO2P3DpTV2uYw%3d" TargetMode="External"/><Relationship Id="rId8" Type="http://schemas.openxmlformats.org/officeDocument/2006/relationships/hyperlink" Target="https://www.mouser.com/ProductDetail/Yageo/RC0603FR-074M42L?qs=sGAEpiMZZMvdGkrng054tx7%2f6%252bNA3LAJRBC2PQJbkcs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CC0603JRNPO9BN120/311-1059-1-ND/302969?utm_medium=email&amp;utm_source=oce&amp;utm_campaign=2491_OCE19RT&amp;utm_content=productdetail_US&amp;utm_cid=852367&amp;so=58739282&amp;mkt_tok=eyJpIjoiWlRNMk9UUmpPVGMzWVRSaSIsInQiOiJLNDlqMERQZk5TMkR1Qk5vOXRzZWVDU1wveWFXeXpiSHlYS21oNERiQ1dnd0w4VkluaHFqeGU3eURtY1B1aW13bFZRcjV0bGtaOHFQZCtVbUJtK2I0cDRCM1JPQkZJU3YrV3RCS0hMNTVxUWxVWWNsR3QyU3dHWG1EME5UTm1laXIifQ%3D%3D" TargetMode="External"/><Relationship Id="rId2" Type="http://schemas.openxmlformats.org/officeDocument/2006/relationships/hyperlink" Target="https://www.digikey.com/product-detail/en/murata-electronics-north-america/BLM18HE152SN1D/490-5216-1-ND/1948392" TargetMode="External"/><Relationship Id="rId3" Type="http://schemas.openxmlformats.org/officeDocument/2006/relationships/hyperlink" Target="https://www.digikey.com/product-detail/en/murata-electronics-north-america/LQW18AN2N4C80D/490-14721-1-ND/6606327" TargetMode="External"/><Relationship Id="rId4" Type="http://schemas.openxmlformats.org/officeDocument/2006/relationships/hyperlink" Target="https://www.digikey.com/product-detail/en/johanson-technology-inc/L-14W2N0CV4E/712-1618-1-ND/6612954" TargetMode="External"/><Relationship Id="rId5" Type="http://schemas.openxmlformats.org/officeDocument/2006/relationships/hyperlink" Target="http://www.ti.com/product/TPS22918/technicaldocuments?HQS=TI-null-null-octopart-df-pf-null-wwe" TargetMode="External"/><Relationship Id="rId6" Type="http://schemas.openxmlformats.org/officeDocument/2006/relationships/hyperlink" Target="http://www.ti.com/product/CC2652R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3" max="3" width="16.86"/>
    <col customWidth="1" min="6" max="6" width="18.86"/>
    <col customWidth="1" min="7" max="7" width="19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1" t="s">
        <v>7</v>
      </c>
    </row>
    <row r="2">
      <c r="A2" s="7" t="s">
        <v>8</v>
      </c>
      <c r="B2" s="8" t="s">
        <v>9</v>
      </c>
      <c r="C2" s="8">
        <v>1.0</v>
      </c>
      <c r="D2" s="8">
        <v>6.236</v>
      </c>
      <c r="E2">
        <f t="shared" ref="E2:E13" si="1">C2*D2</f>
        <v>6.236</v>
      </c>
      <c r="F2" s="8">
        <v>3.915</v>
      </c>
      <c r="G2">
        <f t="shared" ref="G2:G13" si="2">C2*F2</f>
        <v>3.915</v>
      </c>
      <c r="H2" s="9" t="s">
        <v>10</v>
      </c>
    </row>
    <row r="3">
      <c r="A3" s="7" t="s">
        <v>11</v>
      </c>
      <c r="B3" s="8" t="s">
        <v>12</v>
      </c>
      <c r="C3" s="8">
        <v>1.0</v>
      </c>
      <c r="D3" s="8">
        <v>11.09</v>
      </c>
      <c r="E3">
        <f t="shared" si="1"/>
        <v>11.09</v>
      </c>
      <c r="F3" s="8">
        <v>7.033</v>
      </c>
      <c r="G3">
        <f t="shared" si="2"/>
        <v>7.033</v>
      </c>
      <c r="H3" s="9" t="s">
        <v>13</v>
      </c>
    </row>
    <row r="4">
      <c r="A4" s="7" t="s">
        <v>14</v>
      </c>
      <c r="B4" s="8" t="s">
        <v>15</v>
      </c>
      <c r="C4" s="8">
        <v>1.0</v>
      </c>
      <c r="D4" s="8">
        <v>2.33</v>
      </c>
      <c r="E4">
        <f t="shared" si="1"/>
        <v>2.33</v>
      </c>
      <c r="F4" s="8">
        <v>1.27</v>
      </c>
      <c r="G4">
        <f t="shared" si="2"/>
        <v>1.27</v>
      </c>
      <c r="H4" s="9" t="s">
        <v>16</v>
      </c>
    </row>
    <row r="5">
      <c r="A5" s="7" t="s">
        <v>17</v>
      </c>
      <c r="B5" s="8" t="s">
        <v>18</v>
      </c>
      <c r="C5" s="8">
        <v>4.0</v>
      </c>
      <c r="D5" s="10">
        <v>3.3</v>
      </c>
      <c r="E5" s="11">
        <f t="shared" si="1"/>
        <v>13.2</v>
      </c>
      <c r="F5" s="8">
        <v>1.9536</v>
      </c>
      <c r="G5">
        <f t="shared" si="2"/>
        <v>7.8144</v>
      </c>
      <c r="H5" s="8" t="s">
        <v>19</v>
      </c>
    </row>
    <row r="6">
      <c r="A6" s="8" t="s">
        <v>20</v>
      </c>
      <c r="B6" s="8" t="s">
        <v>21</v>
      </c>
      <c r="C6" s="8">
        <v>1.0</v>
      </c>
      <c r="D6" s="8">
        <v>0.12</v>
      </c>
      <c r="E6">
        <f t="shared" si="1"/>
        <v>0.12</v>
      </c>
      <c r="F6" s="8">
        <v>0.02</v>
      </c>
      <c r="G6">
        <f t="shared" si="2"/>
        <v>0.02</v>
      </c>
      <c r="H6" s="9" t="s">
        <v>22</v>
      </c>
    </row>
    <row r="7">
      <c r="A7" s="8" t="s">
        <v>23</v>
      </c>
      <c r="B7" s="8" t="s">
        <v>24</v>
      </c>
      <c r="C7" s="8">
        <v>1.0</v>
      </c>
      <c r="D7" s="8">
        <v>0.04</v>
      </c>
      <c r="E7">
        <f t="shared" si="1"/>
        <v>0.04</v>
      </c>
      <c r="F7">
        <f>40/10000</f>
        <v>0.004</v>
      </c>
      <c r="G7">
        <f t="shared" si="2"/>
        <v>0.004</v>
      </c>
      <c r="H7" s="8" t="s">
        <v>25</v>
      </c>
    </row>
    <row r="8">
      <c r="A8" s="8" t="s">
        <v>26</v>
      </c>
      <c r="B8" s="8" t="s">
        <v>27</v>
      </c>
      <c r="C8" s="8">
        <v>1.0</v>
      </c>
      <c r="D8" s="8">
        <v>0.05</v>
      </c>
      <c r="E8">
        <f t="shared" si="1"/>
        <v>0.05</v>
      </c>
      <c r="F8" s="8">
        <v>0.01</v>
      </c>
      <c r="G8">
        <f t="shared" si="2"/>
        <v>0.01</v>
      </c>
      <c r="H8" s="8" t="s">
        <v>28</v>
      </c>
    </row>
    <row r="9">
      <c r="A9" s="8" t="s">
        <v>29</v>
      </c>
      <c r="B9" s="8" t="s">
        <v>30</v>
      </c>
      <c r="C9" s="8">
        <v>1.0</v>
      </c>
      <c r="D9" s="8">
        <v>0.1</v>
      </c>
      <c r="E9">
        <f t="shared" si="1"/>
        <v>0.1</v>
      </c>
      <c r="F9" s="8">
        <v>0.004</v>
      </c>
      <c r="G9">
        <f t="shared" si="2"/>
        <v>0.004</v>
      </c>
      <c r="H9" s="12" t="s">
        <v>31</v>
      </c>
    </row>
    <row r="10">
      <c r="A10" s="8" t="s">
        <v>32</v>
      </c>
      <c r="B10" s="8" t="s">
        <v>33</v>
      </c>
      <c r="C10" s="8">
        <v>1.0</v>
      </c>
      <c r="D10" s="8">
        <v>0.01</v>
      </c>
      <c r="E10">
        <f t="shared" si="1"/>
        <v>0.01</v>
      </c>
      <c r="F10" s="8">
        <f t="shared" ref="F10:F12" si="3">20/10000</f>
        <v>0.002</v>
      </c>
      <c r="G10">
        <f t="shared" si="2"/>
        <v>0.002</v>
      </c>
      <c r="H10" s="12" t="s">
        <v>34</v>
      </c>
    </row>
    <row r="11">
      <c r="A11" s="8" t="s">
        <v>35</v>
      </c>
      <c r="B11" s="8" t="s">
        <v>36</v>
      </c>
      <c r="C11" s="8">
        <v>1.0</v>
      </c>
      <c r="D11" s="8">
        <v>0.04</v>
      </c>
      <c r="E11">
        <f t="shared" si="1"/>
        <v>0.04</v>
      </c>
      <c r="F11" s="8">
        <f t="shared" si="3"/>
        <v>0.002</v>
      </c>
      <c r="G11">
        <f t="shared" si="2"/>
        <v>0.002</v>
      </c>
      <c r="H11" s="12" t="s">
        <v>37</v>
      </c>
    </row>
    <row r="12">
      <c r="A12" s="8" t="s">
        <v>38</v>
      </c>
      <c r="B12" s="8" t="s">
        <v>39</v>
      </c>
      <c r="C12" s="8">
        <v>1.0</v>
      </c>
      <c r="D12" s="8">
        <v>0.01</v>
      </c>
      <c r="E12">
        <f t="shared" si="1"/>
        <v>0.01</v>
      </c>
      <c r="F12" s="8">
        <f t="shared" si="3"/>
        <v>0.002</v>
      </c>
      <c r="G12">
        <f t="shared" si="2"/>
        <v>0.002</v>
      </c>
      <c r="H12" s="12" t="s">
        <v>40</v>
      </c>
    </row>
    <row r="13">
      <c r="A13" s="8" t="s">
        <v>41</v>
      </c>
      <c r="B13" s="8" t="s">
        <v>42</v>
      </c>
      <c r="C13" s="8">
        <v>1.0</v>
      </c>
      <c r="D13" s="8">
        <v>0.47</v>
      </c>
      <c r="E13">
        <f t="shared" si="1"/>
        <v>0.47</v>
      </c>
      <c r="F13" s="8">
        <v>0.2</v>
      </c>
      <c r="G13">
        <f t="shared" si="2"/>
        <v>0.2</v>
      </c>
      <c r="H13" s="8" t="s">
        <v>43</v>
      </c>
    </row>
    <row r="14">
      <c r="A14" s="8" t="s">
        <v>44</v>
      </c>
      <c r="B14" s="8" t="s">
        <v>45</v>
      </c>
      <c r="C14" s="13" t="s">
        <v>46</v>
      </c>
      <c r="D14" s="13" t="s">
        <v>46</v>
      </c>
      <c r="E14" s="13" t="s">
        <v>46</v>
      </c>
      <c r="F14" s="13" t="s">
        <v>46</v>
      </c>
      <c r="G14" s="13" t="s">
        <v>46</v>
      </c>
    </row>
    <row r="15">
      <c r="A15" s="8" t="s">
        <v>47</v>
      </c>
      <c r="B15" s="8" t="s">
        <v>48</v>
      </c>
      <c r="C15" s="13" t="s">
        <v>46</v>
      </c>
      <c r="D15" s="13" t="s">
        <v>46</v>
      </c>
      <c r="E15" s="13" t="s">
        <v>46</v>
      </c>
      <c r="F15" s="13" t="s">
        <v>46</v>
      </c>
      <c r="G15" s="13" t="s">
        <v>46</v>
      </c>
    </row>
    <row r="16">
      <c r="A16" s="8" t="s">
        <v>49</v>
      </c>
      <c r="B16" s="8" t="s">
        <v>50</v>
      </c>
      <c r="C16" s="8">
        <v>2.0</v>
      </c>
      <c r="D16" s="8">
        <v>0.41</v>
      </c>
      <c r="E16">
        <f t="shared" ref="E16:E27" si="4">C16*D16</f>
        <v>0.82</v>
      </c>
      <c r="F16" s="8">
        <v>0.16</v>
      </c>
      <c r="G16">
        <f t="shared" ref="G16:G27" si="5">C16*F16</f>
        <v>0.32</v>
      </c>
      <c r="H16" s="8" t="s">
        <v>51</v>
      </c>
    </row>
    <row r="17">
      <c r="A17" s="8" t="s">
        <v>52</v>
      </c>
      <c r="B17" s="8" t="s">
        <v>53</v>
      </c>
      <c r="C17" s="8">
        <v>2.0</v>
      </c>
      <c r="D17" s="8">
        <v>0.04</v>
      </c>
      <c r="E17">
        <f t="shared" si="4"/>
        <v>0.08</v>
      </c>
      <c r="F17" s="8">
        <v>0.002</v>
      </c>
      <c r="G17">
        <f t="shared" si="5"/>
        <v>0.004</v>
      </c>
      <c r="H17" s="9" t="s">
        <v>54</v>
      </c>
    </row>
    <row r="18">
      <c r="A18" s="8" t="s">
        <v>55</v>
      </c>
      <c r="B18" s="8" t="s">
        <v>56</v>
      </c>
      <c r="C18" s="8">
        <v>1.0</v>
      </c>
      <c r="D18" s="8">
        <v>0.14</v>
      </c>
      <c r="E18">
        <f t="shared" si="4"/>
        <v>0.14</v>
      </c>
      <c r="F18" s="8">
        <v>0.0632</v>
      </c>
      <c r="G18">
        <f t="shared" si="5"/>
        <v>0.0632</v>
      </c>
      <c r="H18" s="8" t="s">
        <v>57</v>
      </c>
    </row>
    <row r="19">
      <c r="A19" s="8" t="s">
        <v>58</v>
      </c>
      <c r="B19" s="8" t="s">
        <v>59</v>
      </c>
      <c r="C19" s="8">
        <v>1.0</v>
      </c>
      <c r="D19" s="8">
        <v>0.12</v>
      </c>
      <c r="E19">
        <f t="shared" si="4"/>
        <v>0.12</v>
      </c>
      <c r="F19" s="8">
        <v>0.0542</v>
      </c>
      <c r="G19">
        <f t="shared" si="5"/>
        <v>0.0542</v>
      </c>
      <c r="H19" s="8" t="s">
        <v>60</v>
      </c>
    </row>
    <row r="20">
      <c r="A20" s="8" t="s">
        <v>61</v>
      </c>
      <c r="B20" s="8" t="s">
        <v>62</v>
      </c>
      <c r="C20" s="8">
        <v>1.0</v>
      </c>
      <c r="D20" s="8">
        <v>7.95</v>
      </c>
      <c r="E20">
        <f t="shared" si="4"/>
        <v>7.95</v>
      </c>
      <c r="F20" s="8">
        <v>6.36</v>
      </c>
      <c r="G20">
        <f t="shared" si="5"/>
        <v>6.36</v>
      </c>
      <c r="H20" s="8" t="s">
        <v>63</v>
      </c>
    </row>
    <row r="21">
      <c r="A21" s="14" t="s">
        <v>64</v>
      </c>
      <c r="B21" s="8" t="s">
        <v>65</v>
      </c>
      <c r="C21" s="8">
        <v>1.0</v>
      </c>
      <c r="D21" s="8">
        <v>0.012</v>
      </c>
      <c r="E21">
        <f t="shared" si="4"/>
        <v>0.012</v>
      </c>
      <c r="F21">
        <f>48.78/10000</f>
        <v>0.004878</v>
      </c>
      <c r="G21">
        <f t="shared" si="5"/>
        <v>0.004878</v>
      </c>
    </row>
    <row r="22">
      <c r="A22" s="8" t="s">
        <v>66</v>
      </c>
      <c r="B22" s="8" t="s">
        <v>67</v>
      </c>
      <c r="C22" s="8">
        <v>2.0</v>
      </c>
      <c r="D22" s="8">
        <v>0.00853</v>
      </c>
      <c r="E22">
        <f t="shared" si="4"/>
        <v>0.01706</v>
      </c>
      <c r="F22">
        <f>97.56/10000</f>
        <v>0.009756</v>
      </c>
      <c r="G22">
        <f t="shared" si="5"/>
        <v>0.019512</v>
      </c>
    </row>
    <row r="23">
      <c r="A23" s="8" t="s">
        <v>68</v>
      </c>
      <c r="B23" s="8" t="s">
        <v>69</v>
      </c>
      <c r="C23" s="8">
        <v>2.0</v>
      </c>
      <c r="D23" s="8">
        <v>0.36</v>
      </c>
      <c r="E23">
        <f t="shared" si="4"/>
        <v>0.72</v>
      </c>
      <c r="F23" s="8">
        <v>0.12</v>
      </c>
      <c r="G23">
        <f t="shared" si="5"/>
        <v>0.24</v>
      </c>
      <c r="H23" s="8" t="s">
        <v>70</v>
      </c>
    </row>
    <row r="24">
      <c r="A24" s="8" t="s">
        <v>71</v>
      </c>
      <c r="B24" s="8" t="s">
        <v>72</v>
      </c>
      <c r="C24" s="8">
        <v>1.0</v>
      </c>
      <c r="D24" s="8">
        <v>0.32</v>
      </c>
      <c r="E24">
        <f t="shared" si="4"/>
        <v>0.32</v>
      </c>
      <c r="F24" s="8">
        <v>0.1</v>
      </c>
      <c r="G24">
        <f t="shared" si="5"/>
        <v>0.1</v>
      </c>
      <c r="H24" s="8" t="s">
        <v>73</v>
      </c>
    </row>
    <row r="25">
      <c r="A25" s="8" t="s">
        <v>74</v>
      </c>
      <c r="B25" s="8" t="s">
        <v>75</v>
      </c>
      <c r="C25" s="8">
        <v>1.0</v>
      </c>
      <c r="D25" s="8">
        <v>0.3</v>
      </c>
      <c r="E25">
        <f t="shared" si="4"/>
        <v>0.3</v>
      </c>
      <c r="F25" s="8">
        <v>0.08</v>
      </c>
      <c r="G25">
        <f t="shared" si="5"/>
        <v>0.08</v>
      </c>
      <c r="H25" s="8" t="s">
        <v>76</v>
      </c>
    </row>
    <row r="26">
      <c r="A26" s="8" t="s">
        <v>77</v>
      </c>
      <c r="B26" s="8" t="s">
        <v>78</v>
      </c>
      <c r="C26" s="8">
        <v>1.0</v>
      </c>
      <c r="D26" s="8">
        <v>0.38</v>
      </c>
      <c r="E26">
        <f t="shared" si="4"/>
        <v>0.38</v>
      </c>
      <c r="F26" s="8">
        <v>0.17</v>
      </c>
      <c r="G26">
        <f t="shared" si="5"/>
        <v>0.17</v>
      </c>
      <c r="H26" s="8" t="s">
        <v>79</v>
      </c>
    </row>
    <row r="27">
      <c r="A27" s="8" t="s">
        <v>80</v>
      </c>
      <c r="B27" s="8" t="s">
        <v>81</v>
      </c>
      <c r="C27" s="8">
        <v>1.0</v>
      </c>
      <c r="D27" s="8">
        <v>0.0243</v>
      </c>
      <c r="E27">
        <f t="shared" si="4"/>
        <v>0.0243</v>
      </c>
      <c r="F27">
        <f>195.12/10000</f>
        <v>0.019512</v>
      </c>
      <c r="G27">
        <f t="shared" si="5"/>
        <v>0.019512</v>
      </c>
    </row>
    <row r="28">
      <c r="B28" s="15"/>
      <c r="C28" s="16" t="s">
        <v>82</v>
      </c>
      <c r="E28" s="17">
        <f>SUM(E2:E27)</f>
        <v>44.57936</v>
      </c>
      <c r="F28" s="17"/>
      <c r="G28" s="17">
        <f>SUM(G2:G27)</f>
        <v>27.711702</v>
      </c>
    </row>
    <row r="30">
      <c r="A30" s="18" t="s">
        <v>83</v>
      </c>
      <c r="B30" s="18" t="s">
        <v>84</v>
      </c>
      <c r="C30" s="18" t="s">
        <v>85</v>
      </c>
    </row>
    <row r="31">
      <c r="A31" s="18" t="s">
        <v>86</v>
      </c>
      <c r="B31">
        <f>E28</f>
        <v>44.57936</v>
      </c>
      <c r="C31">
        <f>G28</f>
        <v>27.711702</v>
      </c>
    </row>
    <row r="32">
      <c r="A32" s="18" t="s">
        <v>87</v>
      </c>
      <c r="B32" s="8">
        <f>74.47/10</f>
        <v>7.447</v>
      </c>
      <c r="C32">
        <f>8634.65/10000</f>
        <v>0.863465</v>
      </c>
    </row>
    <row r="33">
      <c r="A33" s="18" t="s">
        <v>88</v>
      </c>
      <c r="B33" s="8">
        <f>483.7/10</f>
        <v>48.37</v>
      </c>
      <c r="C33">
        <f>22431.88/10000</f>
        <v>2.243188</v>
      </c>
    </row>
    <row r="34">
      <c r="A34" s="18" t="s">
        <v>89</v>
      </c>
      <c r="B34">
        <f t="shared" ref="B34:C34" si="6">sum(B31:B33)</f>
        <v>100.39636</v>
      </c>
      <c r="C34">
        <f t="shared" si="6"/>
        <v>30.818355</v>
      </c>
    </row>
  </sheetData>
  <hyperlinks>
    <hyperlink r:id="rId1" ref="H2"/>
    <hyperlink r:id="rId2" ref="H3"/>
    <hyperlink r:id="rId3" ref="H4"/>
    <hyperlink r:id="rId4" ref="H6"/>
    <hyperlink r:id="rId5" ref="H9"/>
    <hyperlink r:id="rId6" ref="H10"/>
    <hyperlink r:id="rId7" ref="H11"/>
    <hyperlink r:id="rId8" ref="H12"/>
    <hyperlink r:id="rId9" ref="H17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31.43"/>
    <col customWidth="1" min="3" max="3" width="19.57"/>
    <col customWidth="1" min="5" max="5" width="13.86"/>
    <col customWidth="1" min="6" max="6" width="21.43"/>
    <col customWidth="1" min="7" max="7" width="18.71"/>
  </cols>
  <sheetData>
    <row r="1">
      <c r="A1" s="1" t="s">
        <v>0</v>
      </c>
      <c r="B1" s="2" t="s">
        <v>90</v>
      </c>
      <c r="C1" s="2" t="s">
        <v>2</v>
      </c>
      <c r="D1" s="3" t="s">
        <v>3</v>
      </c>
      <c r="E1" s="19" t="s">
        <v>4</v>
      </c>
      <c r="F1" s="20" t="s">
        <v>5</v>
      </c>
      <c r="G1" s="21" t="s">
        <v>91</v>
      </c>
      <c r="H1" s="1" t="s">
        <v>7</v>
      </c>
    </row>
    <row r="2">
      <c r="A2" s="8" t="s">
        <v>92</v>
      </c>
      <c r="B2" s="8" t="s">
        <v>93</v>
      </c>
      <c r="C2" s="8">
        <v>1.0</v>
      </c>
      <c r="D2" s="8">
        <v>0.46</v>
      </c>
      <c r="E2">
        <f t="shared" ref="E2:E26" si="1">C2*D2</f>
        <v>0.46</v>
      </c>
      <c r="F2" s="8">
        <f>2349.91/11011</f>
        <v>0.2134147671</v>
      </c>
      <c r="G2">
        <f t="shared" ref="G2:G26" si="2">C2*F2</f>
        <v>0.2134147671</v>
      </c>
    </row>
    <row r="3">
      <c r="A3" s="8" t="s">
        <v>94</v>
      </c>
      <c r="B3" s="8" t="s">
        <v>95</v>
      </c>
      <c r="C3" s="8">
        <v>1.0</v>
      </c>
      <c r="D3" s="8">
        <v>0.86</v>
      </c>
      <c r="E3">
        <f t="shared" si="1"/>
        <v>0.86</v>
      </c>
      <c r="F3" s="8">
        <v>0.48</v>
      </c>
      <c r="G3">
        <f t="shared" si="2"/>
        <v>0.48</v>
      </c>
    </row>
    <row r="4">
      <c r="A4" s="8" t="s">
        <v>96</v>
      </c>
      <c r="B4" s="8" t="s">
        <v>97</v>
      </c>
      <c r="C4" s="8">
        <v>4.0</v>
      </c>
      <c r="D4" s="8">
        <v>0.0286</v>
      </c>
      <c r="E4">
        <f t="shared" si="1"/>
        <v>0.1144</v>
      </c>
      <c r="F4" s="8">
        <v>0.01663</v>
      </c>
      <c r="G4">
        <f t="shared" si="2"/>
        <v>0.06652</v>
      </c>
      <c r="H4" s="9" t="s">
        <v>98</v>
      </c>
    </row>
    <row r="5">
      <c r="A5" s="8" t="s">
        <v>99</v>
      </c>
      <c r="B5" s="8" t="s">
        <v>100</v>
      </c>
      <c r="C5" s="8">
        <v>1.0</v>
      </c>
      <c r="D5" s="8">
        <v>0.061</v>
      </c>
      <c r="E5">
        <f t="shared" si="1"/>
        <v>0.061</v>
      </c>
      <c r="F5" s="8">
        <v>0.0153</v>
      </c>
      <c r="G5">
        <f t="shared" si="2"/>
        <v>0.0153</v>
      </c>
      <c r="H5" s="8" t="s">
        <v>101</v>
      </c>
    </row>
    <row r="6">
      <c r="A6" s="8" t="s">
        <v>74</v>
      </c>
      <c r="B6" s="8" t="s">
        <v>102</v>
      </c>
      <c r="C6" s="8">
        <v>2.0</v>
      </c>
      <c r="D6" s="8">
        <v>0.3</v>
      </c>
      <c r="E6">
        <f t="shared" si="1"/>
        <v>0.6</v>
      </c>
      <c r="F6" s="8">
        <v>0.08</v>
      </c>
      <c r="G6">
        <f t="shared" si="2"/>
        <v>0.16</v>
      </c>
      <c r="H6" s="8" t="s">
        <v>76</v>
      </c>
    </row>
    <row r="7">
      <c r="A7" s="8" t="s">
        <v>66</v>
      </c>
      <c r="B7" s="8" t="s">
        <v>103</v>
      </c>
      <c r="C7" s="8">
        <v>7.0</v>
      </c>
      <c r="D7" s="8">
        <v>0.00853</v>
      </c>
      <c r="E7">
        <f t="shared" si="1"/>
        <v>0.05971</v>
      </c>
      <c r="F7" s="8">
        <f>341.46/70000</f>
        <v>0.004878</v>
      </c>
      <c r="G7">
        <f t="shared" si="2"/>
        <v>0.034146</v>
      </c>
    </row>
    <row r="8">
      <c r="A8" s="8" t="s">
        <v>104</v>
      </c>
      <c r="B8" s="8" t="s">
        <v>105</v>
      </c>
      <c r="C8" s="8">
        <v>3.0</v>
      </c>
      <c r="D8" s="8">
        <v>0.061</v>
      </c>
      <c r="E8">
        <f t="shared" si="1"/>
        <v>0.183</v>
      </c>
      <c r="F8" s="8">
        <v>0.0153</v>
      </c>
      <c r="G8">
        <f t="shared" si="2"/>
        <v>0.0459</v>
      </c>
      <c r="H8" s="8" t="s">
        <v>101</v>
      </c>
    </row>
    <row r="9">
      <c r="A9" s="8" t="s">
        <v>80</v>
      </c>
      <c r="B9" s="8" t="s">
        <v>106</v>
      </c>
      <c r="C9" s="8">
        <v>2.0</v>
      </c>
      <c r="D9" s="8">
        <v>0.0243</v>
      </c>
      <c r="E9">
        <f t="shared" si="1"/>
        <v>0.0486</v>
      </c>
      <c r="F9" s="8">
        <f>390.24/20000</f>
        <v>0.019512</v>
      </c>
      <c r="G9">
        <f t="shared" si="2"/>
        <v>0.039024</v>
      </c>
    </row>
    <row r="10">
      <c r="A10" s="8" t="s">
        <v>107</v>
      </c>
      <c r="B10" s="8" t="s">
        <v>108</v>
      </c>
      <c r="C10" s="8">
        <v>1.0</v>
      </c>
      <c r="D10" s="8">
        <v>0.0109</v>
      </c>
      <c r="E10">
        <f t="shared" si="1"/>
        <v>0.0109</v>
      </c>
      <c r="F10" s="8">
        <f>60.98/10000</f>
        <v>0.006098</v>
      </c>
      <c r="G10">
        <f t="shared" si="2"/>
        <v>0.006098</v>
      </c>
    </row>
    <row r="11">
      <c r="A11" s="8" t="s">
        <v>109</v>
      </c>
      <c r="B11" s="8" t="s">
        <v>110</v>
      </c>
      <c r="C11" s="8">
        <v>1.0</v>
      </c>
      <c r="D11" s="8">
        <v>0.1097</v>
      </c>
      <c r="E11">
        <f t="shared" si="1"/>
        <v>0.1097</v>
      </c>
      <c r="F11" s="8">
        <f>719.51/10000</f>
        <v>0.071951</v>
      </c>
      <c r="G11">
        <f t="shared" si="2"/>
        <v>0.071951</v>
      </c>
    </row>
    <row r="12">
      <c r="A12" s="8" t="s">
        <v>111</v>
      </c>
      <c r="B12" s="8" t="s">
        <v>112</v>
      </c>
      <c r="C12" s="8">
        <v>1.0</v>
      </c>
      <c r="D12" s="8">
        <v>0.16</v>
      </c>
      <c r="E12">
        <f t="shared" si="1"/>
        <v>0.16</v>
      </c>
      <c r="F12" s="8">
        <f>716.12/11011</f>
        <v>0.0650367814</v>
      </c>
      <c r="G12">
        <f t="shared" si="2"/>
        <v>0.0650367814</v>
      </c>
      <c r="H12" s="9" t="s">
        <v>113</v>
      </c>
    </row>
    <row r="13">
      <c r="A13" s="8" t="s">
        <v>61</v>
      </c>
      <c r="B13" s="8" t="s">
        <v>114</v>
      </c>
      <c r="C13" s="8">
        <v>4.0</v>
      </c>
      <c r="D13" s="8">
        <v>0.59</v>
      </c>
      <c r="E13">
        <f t="shared" si="1"/>
        <v>2.36</v>
      </c>
      <c r="G13">
        <f t="shared" si="2"/>
        <v>0</v>
      </c>
    </row>
    <row r="14">
      <c r="A14" s="8" t="s">
        <v>115</v>
      </c>
      <c r="B14" s="8" t="s">
        <v>116</v>
      </c>
      <c r="C14" s="8">
        <v>2.0</v>
      </c>
      <c r="D14" s="8">
        <v>0.21</v>
      </c>
      <c r="E14">
        <f t="shared" si="1"/>
        <v>0.42</v>
      </c>
      <c r="F14" s="8">
        <v>0.09782</v>
      </c>
      <c r="G14">
        <f t="shared" si="2"/>
        <v>0.19564</v>
      </c>
      <c r="H14" s="12" t="s">
        <v>117</v>
      </c>
    </row>
    <row r="15">
      <c r="A15" s="8" t="s">
        <v>118</v>
      </c>
      <c r="B15" s="8" t="s">
        <v>119</v>
      </c>
      <c r="C15" s="8">
        <v>2.0</v>
      </c>
      <c r="D15" s="8">
        <v>0.244</v>
      </c>
      <c r="E15">
        <f t="shared" si="1"/>
        <v>0.488</v>
      </c>
      <c r="F15" s="8">
        <v>0.1097</v>
      </c>
      <c r="G15">
        <f t="shared" si="2"/>
        <v>0.2194</v>
      </c>
      <c r="H15" s="12" t="s">
        <v>120</v>
      </c>
    </row>
    <row r="16">
      <c r="A16" s="8" t="s">
        <v>121</v>
      </c>
      <c r="B16" s="8" t="s">
        <v>59</v>
      </c>
      <c r="C16" s="8">
        <v>1.0</v>
      </c>
      <c r="D16" s="8">
        <v>0.471</v>
      </c>
      <c r="E16">
        <f t="shared" si="1"/>
        <v>0.471</v>
      </c>
      <c r="F16" s="8">
        <v>0.22874</v>
      </c>
      <c r="G16">
        <f t="shared" si="2"/>
        <v>0.22874</v>
      </c>
      <c r="H16" s="8" t="s">
        <v>122</v>
      </c>
    </row>
    <row r="17">
      <c r="A17" s="8" t="s">
        <v>123</v>
      </c>
      <c r="B17" s="8" t="s">
        <v>124</v>
      </c>
      <c r="C17" s="8">
        <v>1.0</v>
      </c>
      <c r="D17" s="8">
        <v>0.219</v>
      </c>
      <c r="E17">
        <f t="shared" si="1"/>
        <v>0.219</v>
      </c>
      <c r="F17" s="8">
        <f>609.76/10000</f>
        <v>0.060976</v>
      </c>
      <c r="G17">
        <f t="shared" si="2"/>
        <v>0.060976</v>
      </c>
    </row>
    <row r="18">
      <c r="A18" s="8" t="s">
        <v>125</v>
      </c>
      <c r="B18" s="8" t="s">
        <v>21</v>
      </c>
      <c r="C18" s="8">
        <v>1.0</v>
      </c>
      <c r="D18" s="8">
        <v>0.0097</v>
      </c>
      <c r="E18">
        <f t="shared" si="1"/>
        <v>0.0097</v>
      </c>
      <c r="F18" s="8">
        <f t="shared" ref="F18:F19" si="3">36.59/10000</f>
        <v>0.003659</v>
      </c>
      <c r="G18">
        <f t="shared" si="2"/>
        <v>0.003659</v>
      </c>
    </row>
    <row r="19">
      <c r="A19" s="8" t="s">
        <v>126</v>
      </c>
      <c r="B19" s="8" t="s">
        <v>30</v>
      </c>
      <c r="C19" s="8">
        <v>1.0</v>
      </c>
      <c r="D19" s="8">
        <v>0.0097</v>
      </c>
      <c r="E19">
        <f t="shared" si="1"/>
        <v>0.0097</v>
      </c>
      <c r="F19" s="8">
        <f t="shared" si="3"/>
        <v>0.003659</v>
      </c>
      <c r="G19">
        <f t="shared" si="2"/>
        <v>0.003659</v>
      </c>
    </row>
    <row r="20">
      <c r="A20" s="22">
        <v>500.0</v>
      </c>
      <c r="B20" s="8" t="s">
        <v>127</v>
      </c>
      <c r="C20" s="8">
        <v>1.0</v>
      </c>
      <c r="D20" s="8">
        <v>2.812</v>
      </c>
      <c r="E20">
        <f t="shared" si="1"/>
        <v>2.812</v>
      </c>
      <c r="F20" s="8">
        <v>1.28</v>
      </c>
      <c r="G20">
        <f t="shared" si="2"/>
        <v>1.28</v>
      </c>
      <c r="H20" s="8" t="s">
        <v>128</v>
      </c>
    </row>
    <row r="21">
      <c r="A21" s="8" t="s">
        <v>44</v>
      </c>
      <c r="B21" s="8" t="s">
        <v>129</v>
      </c>
      <c r="C21" s="8">
        <v>0.0</v>
      </c>
      <c r="E21">
        <f t="shared" si="1"/>
        <v>0</v>
      </c>
      <c r="G21">
        <f t="shared" si="2"/>
        <v>0</v>
      </c>
    </row>
    <row r="22">
      <c r="A22" s="8" t="s">
        <v>130</v>
      </c>
      <c r="B22" s="8" t="s">
        <v>131</v>
      </c>
      <c r="C22" s="8">
        <v>1.0</v>
      </c>
      <c r="D22" s="8">
        <v>0.02</v>
      </c>
      <c r="E22">
        <f t="shared" si="1"/>
        <v>0.02</v>
      </c>
      <c r="F22" s="8">
        <v>0.00395</v>
      </c>
      <c r="G22">
        <f t="shared" si="2"/>
        <v>0.00395</v>
      </c>
      <c r="H22" s="8" t="s">
        <v>132</v>
      </c>
    </row>
    <row r="23">
      <c r="A23" s="8" t="s">
        <v>44</v>
      </c>
      <c r="B23" s="8" t="s">
        <v>133</v>
      </c>
      <c r="C23" s="8">
        <v>0.0</v>
      </c>
      <c r="E23">
        <f t="shared" si="1"/>
        <v>0</v>
      </c>
      <c r="G23">
        <f t="shared" si="2"/>
        <v>0</v>
      </c>
    </row>
    <row r="24">
      <c r="A24" s="8" t="s">
        <v>44</v>
      </c>
      <c r="B24" s="8" t="s">
        <v>134</v>
      </c>
      <c r="C24" s="8">
        <v>0.0</v>
      </c>
      <c r="E24">
        <f t="shared" si="1"/>
        <v>0</v>
      </c>
      <c r="G24">
        <f t="shared" si="2"/>
        <v>0</v>
      </c>
    </row>
    <row r="25">
      <c r="A25" s="8" t="s">
        <v>135</v>
      </c>
      <c r="B25" s="8" t="s">
        <v>136</v>
      </c>
      <c r="C25" s="8">
        <v>1.0</v>
      </c>
      <c r="D25" s="8">
        <v>0.38</v>
      </c>
      <c r="E25">
        <f t="shared" si="1"/>
        <v>0.38</v>
      </c>
      <c r="F25" s="8">
        <f>2242.48/11011</f>
        <v>0.20365816</v>
      </c>
      <c r="G25">
        <f t="shared" si="2"/>
        <v>0.20365816</v>
      </c>
      <c r="H25" s="9" t="s">
        <v>137</v>
      </c>
    </row>
    <row r="26">
      <c r="A26" s="8" t="s">
        <v>138</v>
      </c>
      <c r="B26" s="8" t="s">
        <v>139</v>
      </c>
      <c r="C26" s="8">
        <v>1.0</v>
      </c>
      <c r="D26" s="8">
        <v>5.29</v>
      </c>
      <c r="E26">
        <f t="shared" si="1"/>
        <v>5.29</v>
      </c>
      <c r="F26" s="8">
        <v>3.0</v>
      </c>
      <c r="G26">
        <f t="shared" si="2"/>
        <v>3</v>
      </c>
      <c r="H26" s="9" t="s">
        <v>140</v>
      </c>
    </row>
    <row r="27">
      <c r="B27" s="15"/>
      <c r="C27" s="18" t="s">
        <v>141</v>
      </c>
      <c r="D27" s="18"/>
      <c r="E27" s="17">
        <f>SUM(E2:E26)</f>
        <v>15.14671</v>
      </c>
      <c r="F27" s="17"/>
      <c r="G27" s="17">
        <f>sum(G2:G26)</f>
        <v>6.397072708</v>
      </c>
    </row>
    <row r="28">
      <c r="A28" s="18"/>
      <c r="B28" s="18"/>
      <c r="C28" s="18"/>
    </row>
    <row r="29">
      <c r="A29" s="18" t="s">
        <v>83</v>
      </c>
      <c r="B29" s="18" t="s">
        <v>84</v>
      </c>
      <c r="C29" s="18" t="s">
        <v>85</v>
      </c>
    </row>
    <row r="30">
      <c r="A30" s="18" t="s">
        <v>86</v>
      </c>
      <c r="B30">
        <f>E27</f>
        <v>15.14671</v>
      </c>
      <c r="C30">
        <f>G27</f>
        <v>6.397072708</v>
      </c>
    </row>
    <row r="31">
      <c r="A31" s="18" t="s">
        <v>87</v>
      </c>
      <c r="B31" s="8">
        <f>89.54/10</f>
        <v>8.954</v>
      </c>
      <c r="C31">
        <f>10792.9/10000</f>
        <v>1.07929</v>
      </c>
    </row>
    <row r="32">
      <c r="A32" s="18" t="s">
        <v>88</v>
      </c>
      <c r="B32">
        <f>611.78/10</f>
        <v>61.178</v>
      </c>
      <c r="C32">
        <f>22737.23/10000</f>
        <v>2.273723</v>
      </c>
    </row>
    <row r="33">
      <c r="A33" s="18" t="s">
        <v>89</v>
      </c>
      <c r="B33">
        <f t="shared" ref="B33:C33" si="4">sum(B30:B32)</f>
        <v>85.27871</v>
      </c>
      <c r="C33">
        <f t="shared" si="4"/>
        <v>9.750085708</v>
      </c>
    </row>
  </sheetData>
  <hyperlinks>
    <hyperlink r:id="rId1" ref="H4"/>
    <hyperlink r:id="rId2" ref="H12"/>
    <hyperlink r:id="rId3" ref="H14"/>
    <hyperlink r:id="rId4" ref="H15"/>
    <hyperlink r:id="rId5" ref="H25"/>
    <hyperlink r:id="rId6" ref="H2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3" max="3" width="19.86"/>
    <col customWidth="1" min="4" max="4" width="15.43"/>
    <col customWidth="1" min="6" max="6" width="21.57"/>
    <col customWidth="1" min="7" max="7" width="19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91</v>
      </c>
      <c r="H1" s="1" t="s">
        <v>7</v>
      </c>
    </row>
    <row r="2">
      <c r="A2" s="8" t="s">
        <v>142</v>
      </c>
      <c r="B2" s="8" t="s">
        <v>143</v>
      </c>
      <c r="C2" s="8">
        <v>1.0</v>
      </c>
      <c r="D2" s="10">
        <v>1.61</v>
      </c>
      <c r="E2" s="11">
        <f t="shared" ref="E2:E7" si="1">C2*D2</f>
        <v>1.61</v>
      </c>
      <c r="F2" s="8">
        <v>0.63</v>
      </c>
      <c r="G2">
        <f t="shared" ref="G2:G7" si="2">F2*C2</f>
        <v>0.63</v>
      </c>
      <c r="H2" s="8" t="s">
        <v>144</v>
      </c>
    </row>
    <row r="3">
      <c r="A3" s="8" t="s">
        <v>66</v>
      </c>
      <c r="B3" s="8" t="s">
        <v>145</v>
      </c>
      <c r="C3" s="8">
        <v>8.0</v>
      </c>
      <c r="D3" s="8">
        <v>0.00853</v>
      </c>
      <c r="E3">
        <f t="shared" si="1"/>
        <v>0.06824</v>
      </c>
      <c r="F3">
        <f>390.24/80000</f>
        <v>0.004878</v>
      </c>
      <c r="G3">
        <f t="shared" si="2"/>
        <v>0.039024</v>
      </c>
    </row>
    <row r="4">
      <c r="A4" s="8" t="s">
        <v>80</v>
      </c>
      <c r="B4" s="8" t="s">
        <v>146</v>
      </c>
      <c r="C4" s="8">
        <v>6.0</v>
      </c>
      <c r="D4" s="8">
        <v>0.0243</v>
      </c>
      <c r="E4">
        <f t="shared" si="1"/>
        <v>0.1458</v>
      </c>
      <c r="F4">
        <f>1170.73/60000</f>
        <v>0.01951216667</v>
      </c>
      <c r="G4">
        <f t="shared" si="2"/>
        <v>0.117073</v>
      </c>
    </row>
    <row r="5">
      <c r="A5" s="8" t="s">
        <v>107</v>
      </c>
      <c r="B5" s="8" t="s">
        <v>81</v>
      </c>
      <c r="C5" s="8">
        <v>1.0</v>
      </c>
      <c r="D5" s="8">
        <v>0.0109</v>
      </c>
      <c r="E5">
        <f t="shared" si="1"/>
        <v>0.0109</v>
      </c>
      <c r="F5">
        <f>60.98/10000</f>
        <v>0.006098</v>
      </c>
      <c r="G5">
        <f t="shared" si="2"/>
        <v>0.006098</v>
      </c>
    </row>
    <row r="6">
      <c r="A6" s="8" t="s">
        <v>74</v>
      </c>
      <c r="B6" s="8" t="s">
        <v>147</v>
      </c>
      <c r="C6" s="8">
        <v>1.0</v>
      </c>
      <c r="D6" s="8">
        <v>0.3</v>
      </c>
      <c r="E6">
        <f t="shared" si="1"/>
        <v>0.3</v>
      </c>
      <c r="F6" s="8">
        <v>0.08</v>
      </c>
      <c r="G6">
        <f t="shared" si="2"/>
        <v>0.08</v>
      </c>
      <c r="H6" s="8" t="s">
        <v>76</v>
      </c>
    </row>
    <row r="7">
      <c r="A7" s="8" t="s">
        <v>148</v>
      </c>
      <c r="B7" s="8" t="s">
        <v>110</v>
      </c>
      <c r="C7" s="8">
        <v>1.0</v>
      </c>
      <c r="D7" s="8">
        <v>0.1097</v>
      </c>
      <c r="E7">
        <f t="shared" si="1"/>
        <v>0.1097</v>
      </c>
      <c r="F7">
        <f>719.51/10000</f>
        <v>0.071951</v>
      </c>
      <c r="G7">
        <f t="shared" si="2"/>
        <v>0.071951</v>
      </c>
    </row>
    <row r="8">
      <c r="A8" s="8" t="s">
        <v>61</v>
      </c>
      <c r="B8" s="8" t="s">
        <v>149</v>
      </c>
      <c r="C8" s="8">
        <v>1.0</v>
      </c>
      <c r="D8" s="13" t="s">
        <v>46</v>
      </c>
      <c r="E8" s="13" t="s">
        <v>46</v>
      </c>
      <c r="F8" s="13" t="s">
        <v>46</v>
      </c>
      <c r="G8" s="13" t="s">
        <v>46</v>
      </c>
    </row>
    <row r="9">
      <c r="A9" s="8" t="s">
        <v>61</v>
      </c>
      <c r="B9" s="8" t="s">
        <v>150</v>
      </c>
      <c r="C9" s="8">
        <v>1.0</v>
      </c>
      <c r="D9" s="13" t="s">
        <v>46</v>
      </c>
      <c r="E9" s="13" t="s">
        <v>46</v>
      </c>
      <c r="F9" s="13" t="s">
        <v>46</v>
      </c>
      <c r="G9" s="13" t="s">
        <v>46</v>
      </c>
    </row>
    <row r="10">
      <c r="A10" s="8" t="s">
        <v>123</v>
      </c>
      <c r="B10" s="8" t="s">
        <v>124</v>
      </c>
      <c r="C10" s="8">
        <v>1.0</v>
      </c>
      <c r="D10" s="8">
        <v>0.219</v>
      </c>
      <c r="E10">
        <f t="shared" ref="E10:E17" si="3">C10*D10</f>
        <v>0.219</v>
      </c>
      <c r="F10">
        <f t="shared" ref="F10:F11" si="4">609.76/10000</f>
        <v>0.060976</v>
      </c>
      <c r="G10">
        <f t="shared" ref="G10:G17" si="5">F10*C10</f>
        <v>0.060976</v>
      </c>
    </row>
    <row r="11">
      <c r="A11" s="8" t="s">
        <v>151</v>
      </c>
      <c r="B11" s="8" t="s">
        <v>152</v>
      </c>
      <c r="C11" s="8">
        <v>1.0</v>
      </c>
      <c r="D11" s="8">
        <v>0.219</v>
      </c>
      <c r="E11">
        <f t="shared" si="3"/>
        <v>0.219</v>
      </c>
      <c r="F11" s="23">
        <f t="shared" si="4"/>
        <v>0.060976</v>
      </c>
      <c r="G11">
        <f t="shared" si="5"/>
        <v>0.060976</v>
      </c>
    </row>
    <row r="12">
      <c r="A12" s="8" t="s">
        <v>153</v>
      </c>
      <c r="B12" s="8" t="s">
        <v>154</v>
      </c>
      <c r="C12" s="8">
        <v>1.0</v>
      </c>
      <c r="D12" s="10">
        <v>6.91</v>
      </c>
      <c r="E12" s="11">
        <f t="shared" si="3"/>
        <v>6.91</v>
      </c>
      <c r="F12" s="8">
        <v>4.18</v>
      </c>
      <c r="G12">
        <f t="shared" si="5"/>
        <v>4.18</v>
      </c>
      <c r="H12" s="8" t="s">
        <v>155</v>
      </c>
    </row>
    <row r="13">
      <c r="A13" s="8" t="s">
        <v>156</v>
      </c>
      <c r="B13" s="24" t="s">
        <v>157</v>
      </c>
      <c r="C13" s="8">
        <v>2.0</v>
      </c>
      <c r="D13" s="8">
        <v>0.00975</v>
      </c>
      <c r="E13">
        <f t="shared" si="3"/>
        <v>0.0195</v>
      </c>
      <c r="F13">
        <f>73.17/20000</f>
        <v>0.0036585</v>
      </c>
      <c r="G13">
        <f t="shared" si="5"/>
        <v>0.007317</v>
      </c>
    </row>
    <row r="14">
      <c r="A14" s="8" t="s">
        <v>158</v>
      </c>
      <c r="B14" s="8" t="s">
        <v>27</v>
      </c>
      <c r="C14" s="8">
        <v>1.0</v>
      </c>
      <c r="D14" s="8">
        <v>0.00975</v>
      </c>
      <c r="E14">
        <f t="shared" si="3"/>
        <v>0.00975</v>
      </c>
      <c r="F14">
        <f>36.59/10000</f>
        <v>0.003659</v>
      </c>
      <c r="G14">
        <f t="shared" si="5"/>
        <v>0.003659</v>
      </c>
    </row>
    <row r="15">
      <c r="A15" s="22" t="s">
        <v>159</v>
      </c>
      <c r="B15" s="8" t="s">
        <v>160</v>
      </c>
      <c r="C15" s="8">
        <v>2.0</v>
      </c>
      <c r="D15" s="8">
        <v>0.00975</v>
      </c>
      <c r="E15">
        <f t="shared" si="3"/>
        <v>0.0195</v>
      </c>
      <c r="F15">
        <f t="shared" ref="F15:F16" si="6">73.17/20000</f>
        <v>0.0036585</v>
      </c>
      <c r="G15">
        <f t="shared" si="5"/>
        <v>0.007317</v>
      </c>
    </row>
    <row r="16">
      <c r="A16" s="8" t="s">
        <v>156</v>
      </c>
      <c r="B16" s="8" t="s">
        <v>161</v>
      </c>
      <c r="C16" s="8">
        <v>2.0</v>
      </c>
      <c r="D16" s="8">
        <v>0.00975</v>
      </c>
      <c r="E16">
        <f t="shared" si="3"/>
        <v>0.0195</v>
      </c>
      <c r="F16">
        <f t="shared" si="6"/>
        <v>0.0036585</v>
      </c>
      <c r="G16">
        <f t="shared" si="5"/>
        <v>0.007317</v>
      </c>
    </row>
    <row r="17">
      <c r="A17" s="8" t="s">
        <v>162</v>
      </c>
      <c r="B17" s="8" t="s">
        <v>163</v>
      </c>
      <c r="C17" s="8">
        <v>1.0</v>
      </c>
      <c r="D17" s="10">
        <v>2.51</v>
      </c>
      <c r="E17" s="11">
        <f t="shared" si="3"/>
        <v>2.51</v>
      </c>
      <c r="F17" s="8">
        <v>1.27</v>
      </c>
      <c r="G17">
        <f t="shared" si="5"/>
        <v>1.27</v>
      </c>
      <c r="H17" s="8" t="s">
        <v>164</v>
      </c>
    </row>
    <row r="18">
      <c r="C18" s="15" t="s">
        <v>82</v>
      </c>
      <c r="D18" s="18"/>
      <c r="E18" s="25">
        <f>SUM(E2:E17)</f>
        <v>12.17089</v>
      </c>
      <c r="F18" s="17"/>
      <c r="G18" s="17">
        <f>SUM(G2:G17)</f>
        <v>6.541708</v>
      </c>
    </row>
    <row r="20">
      <c r="A20" s="18" t="s">
        <v>83</v>
      </c>
      <c r="B20" s="18" t="s">
        <v>84</v>
      </c>
      <c r="C20" s="18" t="s">
        <v>85</v>
      </c>
    </row>
    <row r="21">
      <c r="A21" s="18" t="s">
        <v>86</v>
      </c>
      <c r="B21" s="11">
        <f>E18</f>
        <v>12.17089</v>
      </c>
      <c r="C21">
        <f>G18</f>
        <v>6.541708</v>
      </c>
    </row>
    <row r="22">
      <c r="A22" s="18" t="s">
        <v>87</v>
      </c>
      <c r="B22" s="8">
        <f>74.47/10</f>
        <v>7.447</v>
      </c>
      <c r="C22">
        <f>8634.65/10000</f>
        <v>0.863465</v>
      </c>
    </row>
    <row r="23">
      <c r="A23" s="18" t="s">
        <v>88</v>
      </c>
      <c r="B23" s="8">
        <f>512.52/10</f>
        <v>51.252</v>
      </c>
      <c r="C23">
        <f>22533.66/10000</f>
        <v>2.253366</v>
      </c>
    </row>
    <row r="24">
      <c r="A24" s="18" t="s">
        <v>89</v>
      </c>
      <c r="B24" s="11">
        <f t="shared" ref="B24:C24" si="7">sum(B21:B23)</f>
        <v>70.86989</v>
      </c>
      <c r="C24">
        <f t="shared" si="7"/>
        <v>9.658539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22.57"/>
    <col customWidth="1" min="3" max="3" width="30.0"/>
  </cols>
  <sheetData>
    <row r="1">
      <c r="A1" s="2" t="s">
        <v>165</v>
      </c>
      <c r="B1" s="2" t="s">
        <v>166</v>
      </c>
      <c r="C1" s="2" t="s">
        <v>167</v>
      </c>
    </row>
    <row r="2">
      <c r="A2" s="8" t="s">
        <v>168</v>
      </c>
      <c r="B2" s="8" t="s">
        <v>139</v>
      </c>
      <c r="C2" s="7" t="s">
        <v>169</v>
      </c>
    </row>
    <row r="3">
      <c r="A3" s="8" t="s">
        <v>11</v>
      </c>
      <c r="B3" s="8" t="s">
        <v>139</v>
      </c>
      <c r="C3" s="26" t="s">
        <v>170</v>
      </c>
    </row>
    <row r="4">
      <c r="A4" s="8" t="s">
        <v>171</v>
      </c>
      <c r="B4" s="8" t="s">
        <v>172</v>
      </c>
      <c r="C4" s="27" t="s">
        <v>173</v>
      </c>
    </row>
    <row r="5">
      <c r="A5" s="8" t="s">
        <v>17</v>
      </c>
      <c r="B5" s="8" t="s">
        <v>174</v>
      </c>
      <c r="C5" s="28" t="s">
        <v>175</v>
      </c>
    </row>
    <row r="6">
      <c r="A6" s="8" t="s">
        <v>176</v>
      </c>
      <c r="B6" s="8" t="s">
        <v>154</v>
      </c>
      <c r="C6" s="8" t="s">
        <v>177</v>
      </c>
    </row>
    <row r="7">
      <c r="A7" s="24" t="s">
        <v>178</v>
      </c>
      <c r="B7" s="8" t="s">
        <v>163</v>
      </c>
      <c r="C7" s="29" t="s">
        <v>179</v>
      </c>
    </row>
    <row r="8">
      <c r="A8" s="8" t="s">
        <v>142</v>
      </c>
      <c r="B8" s="8" t="s">
        <v>143</v>
      </c>
      <c r="C8" s="8" t="s">
        <v>180</v>
      </c>
    </row>
    <row r="9">
      <c r="A9" s="8" t="s">
        <v>181</v>
      </c>
      <c r="B9" s="8" t="s">
        <v>93</v>
      </c>
      <c r="C9" s="30" t="s">
        <v>182</v>
      </c>
    </row>
    <row r="10">
      <c r="A10" s="8" t="s">
        <v>183</v>
      </c>
      <c r="B10" s="8" t="s">
        <v>95</v>
      </c>
      <c r="C10" s="31" t="s">
        <v>184</v>
      </c>
    </row>
    <row r="11">
      <c r="A11" s="8" t="s">
        <v>185</v>
      </c>
      <c r="B11" s="8" t="s">
        <v>110</v>
      </c>
      <c r="C11" s="30" t="s">
        <v>186</v>
      </c>
    </row>
    <row r="12">
      <c r="A12" s="8" t="s">
        <v>187</v>
      </c>
      <c r="B12" s="8" t="s">
        <v>112</v>
      </c>
      <c r="C12" s="31" t="s">
        <v>188</v>
      </c>
    </row>
    <row r="13">
      <c r="A13" s="8" t="s">
        <v>135</v>
      </c>
      <c r="B13" s="8" t="s">
        <v>136</v>
      </c>
      <c r="C13" s="32" t="s">
        <v>136</v>
      </c>
    </row>
    <row r="14">
      <c r="A14" s="8" t="s">
        <v>189</v>
      </c>
      <c r="B14" s="8" t="s">
        <v>139</v>
      </c>
      <c r="C14" s="8" t="s">
        <v>190</v>
      </c>
    </row>
    <row r="17">
      <c r="C17" s="29"/>
    </row>
    <row r="30">
      <c r="E30" s="33"/>
    </row>
  </sheetData>
  <drawing r:id="rId1"/>
</worksheet>
</file>