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pencer/Desktop/TOPS Projects/bisexual_hpv_model/"/>
    </mc:Choice>
  </mc:AlternateContent>
  <xr:revisionPtr revIDLastSave="0" documentId="13_ncr:1_{BD2033E8-918B-FF4A-AF78-EB8EE7BA9232}" xr6:coauthVersionLast="45" xr6:coauthVersionMax="45" xr10:uidLastSave="{00000000-0000-0000-0000-000000000000}"/>
  <bookViews>
    <workbookView xWindow="-36920" yWindow="840" windowWidth="33140" windowHeight="19180" xr2:uid="{B5090517-C438-B242-A142-C857B09D7F36}"/>
  </bookViews>
  <sheets>
    <sheet name="Intro" sheetId="3" r:id="rId1"/>
    <sheet name="Sheet1" sheetId="4" r:id="rId2"/>
    <sheet name="Calculations" sheetId="2" r:id="rId3"/>
  </sheets>
  <definedNames>
    <definedName name="msm_0_Partners">Intro!$C$37</definedName>
    <definedName name="msm_1_Partner">Intro!$C$38</definedName>
    <definedName name="msm_2_Partners">Intro!$C$39</definedName>
    <definedName name="msmw_0_Partners">Intro!$C$45</definedName>
    <definedName name="msmw_1_Partner">Intro!$C$46</definedName>
    <definedName name="msmw_2_Partners">Intro!$C$47</definedName>
    <definedName name="msw_0_Partners">Intro!$C$41</definedName>
    <definedName name="msw_1_Partner">Intro!$C$42</definedName>
    <definedName name="msw_2_Partners">Intro!$C$43</definedName>
    <definedName name="n.m_msmw">Calculations!$P$15</definedName>
    <definedName name="n.m_wsmw">Calculations!$L$15</definedName>
    <definedName name="n.men">Calculations!$P$1</definedName>
    <definedName name="n.msm">Calculations!$P$11</definedName>
    <definedName name="n.msmw">Calculations!$P$13</definedName>
    <definedName name="n.msw">Calculations!$P$12</definedName>
    <definedName name="n.w_msmw">Calculations!$P$14</definedName>
    <definedName name="n.w_wsmw">Calculations!$L$14</definedName>
    <definedName name="n.women">Calculations!$L$1</definedName>
    <definedName name="n.wsm">Calculations!$L$12</definedName>
    <definedName name="n.wsmw">Calculations!$L$13</definedName>
    <definedName name="n.wsw">Calculations!$L$11</definedName>
    <definedName name="pct.msm">Calculations!$P$4</definedName>
    <definedName name="pct.msmw">Calculations!$P$6</definedName>
    <definedName name="pct.msw">Calculations!$P$5</definedName>
    <definedName name="pct.wsm">Calculations!$L$5</definedName>
    <definedName name="pct.wsmw">Calculations!$L$6</definedName>
    <definedName name="pct.wsw">Calculations!$L$4</definedName>
    <definedName name="prop.m_msmw">Calculations!$P$8</definedName>
    <definedName name="prop.m_wsmw">Calculations!$L$8</definedName>
    <definedName name="prop.w_msmw">Calculations!$P$7</definedName>
    <definedName name="prop.w_wsmw">Calculations!$L$7</definedName>
    <definedName name="wsm_0_Partners">Intro!$C$27</definedName>
    <definedName name="wsm_1_Partner">Intro!$C$28</definedName>
    <definedName name="wsm_2_Partners">Intro!$C$29</definedName>
    <definedName name="wsmw_0_Partners">Intro!$C$31</definedName>
    <definedName name="wsmw_1_Partner">Intro!$C$32</definedName>
    <definedName name="wsmw_2_Partners">Intro!$C$33</definedName>
    <definedName name="wsw_0_Partners">Intro!$C$23</definedName>
    <definedName name="wsw_1_Partner">Intro!$C$24</definedName>
    <definedName name="wsw_2_Partners">Intro!$C$25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3" l="1"/>
  <c r="D37" i="3" l="1"/>
  <c r="M37" i="4"/>
  <c r="M38" i="4"/>
  <c r="M44" i="4"/>
  <c r="M46" i="4"/>
  <c r="M47" i="4"/>
  <c r="M49" i="4"/>
  <c r="M51" i="4"/>
  <c r="M58" i="4"/>
  <c r="M60" i="4"/>
  <c r="D31" i="3"/>
  <c r="M35" i="4"/>
  <c r="C31" i="3"/>
  <c r="C41" i="3"/>
  <c r="O8" i="4" l="1"/>
  <c r="P8" i="4" s="1"/>
  <c r="O6" i="4"/>
  <c r="P6" i="4" s="1"/>
  <c r="O10" i="4"/>
  <c r="P10" i="4" s="1"/>
  <c r="O9" i="4"/>
  <c r="P9" i="4" s="1"/>
  <c r="O5" i="4"/>
  <c r="P5" i="4" s="1"/>
  <c r="J10" i="4"/>
  <c r="K10" i="4" s="1"/>
  <c r="L10" i="4" s="1"/>
  <c r="J9" i="4"/>
  <c r="K9" i="4" s="1"/>
  <c r="L9" i="4" s="1"/>
  <c r="J8" i="4"/>
  <c r="K7" i="4" s="1"/>
  <c r="L7" i="4" s="1"/>
  <c r="J7" i="4"/>
  <c r="K8" i="4" s="1"/>
  <c r="L8" i="4" s="1"/>
  <c r="J6" i="4"/>
  <c r="K6" i="4" s="1"/>
  <c r="L6" i="4" s="1"/>
  <c r="J5" i="4"/>
  <c r="K5" i="4" s="1"/>
  <c r="L5" i="4" s="1"/>
  <c r="E10" i="2"/>
  <c r="C27" i="3" l="1"/>
  <c r="D27" i="3"/>
  <c r="D23" i="3"/>
  <c r="M6" i="4" l="1"/>
  <c r="M5" i="4"/>
  <c r="M9" i="4"/>
  <c r="M7" i="4"/>
  <c r="D45" i="3"/>
  <c r="D41" i="3"/>
  <c r="M10" i="4" l="1"/>
  <c r="N9" i="4"/>
  <c r="M8" i="4"/>
  <c r="N7" i="4"/>
  <c r="N5" i="4"/>
  <c r="N6" i="4"/>
  <c r="C56" i="3"/>
  <c r="P7" i="2" s="1"/>
  <c r="L8" i="2"/>
  <c r="C52" i="3"/>
  <c r="L7" i="2" s="1"/>
  <c r="P8" i="2"/>
  <c r="P6" i="2"/>
  <c r="P5" i="2"/>
  <c r="P4" i="2"/>
  <c r="L6" i="2"/>
  <c r="L5" i="2"/>
  <c r="L4" i="2"/>
  <c r="P1" i="2"/>
  <c r="L1" i="2"/>
  <c r="D13" i="3"/>
  <c r="D18" i="3"/>
  <c r="B23" i="2"/>
  <c r="C24" i="2"/>
  <c r="B25" i="2"/>
  <c r="C25" i="2"/>
  <c r="D25" i="2"/>
  <c r="B26" i="2"/>
  <c r="C26" i="2"/>
  <c r="D26" i="2"/>
  <c r="E26" i="2"/>
  <c r="B27" i="2"/>
  <c r="E27" i="2"/>
  <c r="F27" i="2"/>
  <c r="B28" i="2"/>
  <c r="E28" i="2"/>
  <c r="G28" i="2"/>
  <c r="Q7" i="4" l="1"/>
  <c r="Q6" i="4"/>
  <c r="Q5" i="4"/>
  <c r="Q10" i="4"/>
  <c r="N10" i="4"/>
  <c r="N8" i="4"/>
  <c r="Q8" i="4"/>
  <c r="Q9" i="4"/>
  <c r="P12" i="2"/>
  <c r="P13" i="2"/>
  <c r="L12" i="2"/>
  <c r="P11" i="2"/>
  <c r="L13" i="2"/>
  <c r="L11" i="2"/>
  <c r="B38" i="2" l="1"/>
  <c r="B36" i="2"/>
  <c r="L14" i="2"/>
  <c r="D3" i="2" s="1"/>
  <c r="D42" i="2"/>
  <c r="D36" i="2"/>
  <c r="D41" i="2"/>
  <c r="D38" i="2"/>
  <c r="F42" i="2"/>
  <c r="F40" i="2"/>
  <c r="C42" i="2"/>
  <c r="C41" i="2"/>
  <c r="P14" i="2"/>
  <c r="C9" i="2" s="1"/>
  <c r="H40" i="2"/>
  <c r="H42" i="2"/>
  <c r="H38" i="2"/>
  <c r="H37" i="2"/>
  <c r="G37" i="2"/>
  <c r="G38" i="2"/>
  <c r="P15" i="2"/>
  <c r="F7" i="2" s="1"/>
  <c r="L15" i="2"/>
  <c r="G5" i="2" s="1"/>
  <c r="P17" i="2"/>
  <c r="H9" i="2"/>
  <c r="H28" i="2" s="1"/>
  <c r="F23" i="3" s="1"/>
  <c r="F9" i="2"/>
  <c r="H7" i="2"/>
  <c r="H4" i="2" l="1"/>
  <c r="C28" i="2" s="1"/>
  <c r="F22" i="3" s="1"/>
  <c r="C8" i="2"/>
  <c r="C10" i="2" s="1"/>
  <c r="L17" i="2"/>
  <c r="D5" i="2"/>
  <c r="D24" i="2" s="1"/>
  <c r="F11" i="3" s="1"/>
  <c r="B5" i="2"/>
  <c r="B3" i="2"/>
  <c r="B14" i="2" s="1"/>
  <c r="F26" i="2"/>
  <c r="F36" i="3" s="1"/>
  <c r="F10" i="2"/>
  <c r="D9" i="2"/>
  <c r="G4" i="2"/>
  <c r="D8" i="2"/>
  <c r="B24" i="2"/>
  <c r="F13" i="3" s="1"/>
  <c r="H5" i="2"/>
  <c r="F28" i="2"/>
  <c r="F34" i="3" s="1"/>
  <c r="F15" i="2"/>
  <c r="F14" i="2"/>
  <c r="C14" i="2" l="1"/>
  <c r="B22" i="2"/>
  <c r="F14" i="3" s="1"/>
  <c r="D10" i="2"/>
  <c r="B10" i="2"/>
  <c r="B15" i="2"/>
  <c r="C15" i="2"/>
  <c r="H10" i="2"/>
  <c r="J12" i="3"/>
  <c r="E62" i="3"/>
  <c r="E64" i="3" s="1"/>
  <c r="E65" i="3" s="1"/>
  <c r="E67" i="3" s="1"/>
  <c r="E68" i="3" s="1"/>
  <c r="E69" i="3" s="1"/>
  <c r="G15" i="2"/>
  <c r="G10" i="2"/>
  <c r="J11" i="3"/>
  <c r="D28" i="2"/>
  <c r="F20" i="3" s="1"/>
  <c r="D14" i="2"/>
  <c r="H15" i="2"/>
  <c r="D15" i="2"/>
  <c r="D27" i="2"/>
  <c r="F25" i="3" s="1"/>
  <c r="H14" i="2"/>
  <c r="C27" i="2"/>
  <c r="F27" i="3" s="1"/>
  <c r="G14" i="2"/>
  <c r="E71" i="3" l="1"/>
  <c r="E72" i="3" s="1"/>
  <c r="E73" i="3" s="1"/>
  <c r="E74" i="3" s="1"/>
  <c r="E76" i="3" s="1"/>
  <c r="E77" i="3" s="1"/>
  <c r="E78" i="3" s="1"/>
  <c r="E79" i="3" s="1"/>
  <c r="E80" i="3" s="1"/>
  <c r="E82" i="3" s="1"/>
  <c r="E83" i="3" s="1"/>
  <c r="E84" i="3" s="1"/>
  <c r="E85" i="3" s="1"/>
  <c r="E86" i="3" s="1"/>
  <c r="E87" i="3" s="1"/>
  <c r="E42" i="3" s="1"/>
  <c r="I14" i="2"/>
  <c r="J13" i="3"/>
  <c r="J15" i="3" s="1"/>
  <c r="P18" i="2"/>
  <c r="F7" i="3" s="1"/>
  <c r="L18" i="2"/>
  <c r="F6" i="3" s="1"/>
  <c r="F5" i="3" s="1"/>
  <c r="K11" i="3" l="1"/>
  <c r="J19" i="3"/>
  <c r="K12" i="3"/>
  <c r="K13" i="3"/>
  <c r="E7" i="3"/>
  <c r="E6" i="3" l="1"/>
</calcChain>
</file>

<file path=xl/sharedStrings.xml><?xml version="1.0" encoding="utf-8"?>
<sst xmlns="http://schemas.openxmlformats.org/spreadsheetml/2006/main" count="391" uniqueCount="165">
  <si>
    <t>Population</t>
  </si>
  <si>
    <t>Total</t>
  </si>
  <si>
    <t>Total Edges</t>
  </si>
  <si>
    <t>WSW</t>
  </si>
  <si>
    <t>WSM</t>
  </si>
  <si>
    <t>WSMW</t>
  </si>
  <si>
    <t>MSM</t>
  </si>
  <si>
    <t>MSW</t>
  </si>
  <si>
    <t>MSMW</t>
  </si>
  <si>
    <t>n.women</t>
  </si>
  <si>
    <t>n.men</t>
  </si>
  <si>
    <t>pct.wsw</t>
  </si>
  <si>
    <t>pct.wsm</t>
  </si>
  <si>
    <t>pct.wsmw</t>
  </si>
  <si>
    <t>pct.msm</t>
  </si>
  <si>
    <t>pct.msw</t>
  </si>
  <si>
    <t>pct.msmw</t>
  </si>
  <si>
    <t>Partner Requirements</t>
  </si>
  <si>
    <t>prop.m_wsmw</t>
  </si>
  <si>
    <t>prop.w_wsmw</t>
  </si>
  <si>
    <t>n.wsw</t>
  </si>
  <si>
    <t>n.wsm</t>
  </si>
  <si>
    <t>n.wsmw</t>
  </si>
  <si>
    <t>n.w_wsmw</t>
  </si>
  <si>
    <t>prop.w_msmw</t>
  </si>
  <si>
    <t>prop.m_msmw</t>
  </si>
  <si>
    <t>n.m_wsmw</t>
  </si>
  <si>
    <t>n.msm</t>
  </si>
  <si>
    <t>n.msw</t>
  </si>
  <si>
    <t>n.msmw</t>
  </si>
  <si>
    <t>n.w_msmw</t>
  </si>
  <si>
    <t>n.m_msmw</t>
  </si>
  <si>
    <t>Check</t>
  </si>
  <si>
    <t>Inputs</t>
  </si>
  <si>
    <t>Outputs</t>
  </si>
  <si>
    <t>Number of Women</t>
  </si>
  <si>
    <t>Number of Men</t>
  </si>
  <si>
    <t>Sex with Women Only</t>
  </si>
  <si>
    <t>Sex with Men Only</t>
  </si>
  <si>
    <t>Sex with Both Men and Women</t>
  </si>
  <si>
    <t>Edges</t>
  </si>
  <si>
    <t xml:space="preserve">     Women (% of women)</t>
  </si>
  <si>
    <t xml:space="preserve">     Men (% of men) </t>
  </si>
  <si>
    <t>Sexual Behavior Category</t>
  </si>
  <si>
    <t>Degree Distribution</t>
  </si>
  <si>
    <t>Partner Distribution Among Bisexuals</t>
  </si>
  <si>
    <t xml:space="preserve">      0 Partners</t>
  </si>
  <si>
    <t xml:space="preserve">      1 Partner</t>
  </si>
  <si>
    <t xml:space="preserve">      2+ Partners</t>
  </si>
  <si>
    <t xml:space="preserve">     Women</t>
  </si>
  <si>
    <t xml:space="preserve">     Men</t>
  </si>
  <si>
    <t>Sex with women only</t>
  </si>
  <si>
    <t>Sex with men only</t>
  </si>
  <si>
    <t>Sex with men and women</t>
  </si>
  <si>
    <t>Percent Male</t>
  </si>
  <si>
    <t>Percent Female</t>
  </si>
  <si>
    <t xml:space="preserve">     Men      </t>
  </si>
  <si>
    <t xml:space="preserve">     Women     </t>
  </si>
  <si>
    <t>n.women_requesting</t>
  </si>
  <si>
    <t xml:space="preserve">n.women_requested </t>
  </si>
  <si>
    <t>Edges Total</t>
  </si>
  <si>
    <t>n.men_requesting</t>
  </si>
  <si>
    <t xml:space="preserve">n.men_requested </t>
  </si>
  <si>
    <t xml:space="preserve">Edge Balance: </t>
  </si>
  <si>
    <t>Edges by Combination</t>
  </si>
  <si>
    <r>
      <t>WSW</t>
    </r>
    <r>
      <rPr>
        <sz val="12"/>
        <color theme="1"/>
        <rFont val="Calibri (Body)"/>
      </rPr>
      <t>*</t>
    </r>
    <r>
      <rPr>
        <sz val="12"/>
        <color rgb="FF1A9F77"/>
        <rFont val="Calibri"/>
        <family val="2"/>
        <scheme val="minor"/>
      </rPr>
      <t>WSW</t>
    </r>
  </si>
  <si>
    <r>
      <rPr>
        <sz val="12"/>
        <color rgb="FF1A9F77"/>
        <rFont val="Calibri (Body)"/>
      </rPr>
      <t>WSW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WSM</t>
    </r>
  </si>
  <si>
    <r>
      <rPr>
        <sz val="12"/>
        <color rgb="FF1A9F77"/>
        <rFont val="Calibri (Body)"/>
      </rPr>
      <t>WSW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MSM</t>
    </r>
  </si>
  <si>
    <r>
      <rPr>
        <sz val="12"/>
        <color rgb="FF1A9F77"/>
        <rFont val="Calibri (Body)"/>
      </rPr>
      <t>WSW</t>
    </r>
    <r>
      <rPr>
        <sz val="12"/>
        <color theme="1"/>
        <rFont val="Calibri (Body)"/>
      </rPr>
      <t>*</t>
    </r>
    <r>
      <rPr>
        <sz val="12"/>
        <color rgb="FFDB5F00"/>
        <rFont val="Calibri"/>
        <family val="2"/>
        <scheme val="minor"/>
      </rPr>
      <t>MSMW</t>
    </r>
  </si>
  <si>
    <r>
      <t>WSW</t>
    </r>
    <r>
      <rPr>
        <sz val="12"/>
        <color theme="1"/>
        <rFont val="Calibri (Body)"/>
      </rPr>
      <t>*</t>
    </r>
    <r>
      <rPr>
        <sz val="12"/>
        <color rgb="FF1A9F77"/>
        <rFont val="Calibri"/>
        <family val="2"/>
        <scheme val="minor"/>
      </rPr>
      <t>MSW</t>
    </r>
  </si>
  <si>
    <r>
      <rPr>
        <sz val="12"/>
        <color rgb="FF7570B3"/>
        <rFont val="Calibri (Body)"/>
      </rPr>
      <t>WSM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WSM</t>
    </r>
  </si>
  <si>
    <r>
      <rPr>
        <sz val="12"/>
        <color rgb="FF7570B3"/>
        <rFont val="Calibri (Body)"/>
      </rPr>
      <t>WSM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MSM</t>
    </r>
  </si>
  <si>
    <r>
      <rPr>
        <sz val="12"/>
        <color rgb="FF7570B3"/>
        <rFont val="Calibri (Body)"/>
      </rPr>
      <t>WSM</t>
    </r>
    <r>
      <rPr>
        <sz val="12"/>
        <color theme="1"/>
        <rFont val="Calibri (Body)"/>
      </rPr>
      <t>*</t>
    </r>
    <r>
      <rPr>
        <sz val="12"/>
        <color rgb="FF1A9F77"/>
        <rFont val="Calibri"/>
        <family val="2"/>
        <scheme val="minor"/>
      </rPr>
      <t>MSW</t>
    </r>
  </si>
  <si>
    <r>
      <rPr>
        <sz val="12"/>
        <color rgb="FF7570B3"/>
        <rFont val="Calibri (Body)"/>
      </rPr>
      <t>WSM</t>
    </r>
    <r>
      <rPr>
        <sz val="12"/>
        <color theme="1"/>
        <rFont val="Calibri (Body)"/>
      </rPr>
      <t>*</t>
    </r>
    <r>
      <rPr>
        <sz val="12"/>
        <color rgb="FFDB5F00"/>
        <rFont val="Calibri"/>
        <family val="2"/>
        <scheme val="minor"/>
      </rPr>
      <t>MSMW</t>
    </r>
  </si>
  <si>
    <r>
      <t>MSMW</t>
    </r>
    <r>
      <rPr>
        <sz val="12"/>
        <color theme="1"/>
        <rFont val="Calibri (Body)"/>
      </rPr>
      <t>*</t>
    </r>
    <r>
      <rPr>
        <sz val="12"/>
        <color rgb="FFDB5F00"/>
        <rFont val="Calibri"/>
        <family val="2"/>
        <scheme val="minor"/>
      </rPr>
      <t>MSMW</t>
    </r>
  </si>
  <si>
    <r>
      <t>WSMW</t>
    </r>
    <r>
      <rPr>
        <sz val="12"/>
        <color theme="1"/>
        <rFont val="Calibri (Body)"/>
      </rPr>
      <t>*</t>
    </r>
    <r>
      <rPr>
        <sz val="12"/>
        <color rgb="FFDB5F00"/>
        <rFont val="Calibri"/>
        <family val="2"/>
        <scheme val="minor"/>
      </rPr>
      <t>MSMW</t>
    </r>
  </si>
  <si>
    <r>
      <rPr>
        <sz val="12"/>
        <color rgb="FFDB5F00"/>
        <rFont val="Calibri (Body)"/>
      </rPr>
      <t>WSMW</t>
    </r>
    <r>
      <rPr>
        <sz val="12"/>
        <color theme="1"/>
        <rFont val="Calibri (Body)"/>
      </rPr>
      <t>*</t>
    </r>
    <r>
      <rPr>
        <sz val="12"/>
        <color rgb="FF1A9F77"/>
        <rFont val="Calibri"/>
        <family val="2"/>
        <scheme val="minor"/>
      </rPr>
      <t>MSW</t>
    </r>
  </si>
  <si>
    <r>
      <rPr>
        <sz val="12"/>
        <color rgb="FFDB5F00"/>
        <rFont val="Calibri (Body)"/>
      </rPr>
      <t>MSMW</t>
    </r>
    <r>
      <rPr>
        <sz val="12"/>
        <color theme="1"/>
        <rFont val="Calibri (Body)"/>
      </rPr>
      <t>*</t>
    </r>
    <r>
      <rPr>
        <sz val="12"/>
        <color rgb="FF1A9F77"/>
        <rFont val="Calibri (Body)"/>
      </rPr>
      <t>MSW</t>
    </r>
  </si>
  <si>
    <r>
      <t>MSW</t>
    </r>
    <r>
      <rPr>
        <sz val="12"/>
        <color theme="1"/>
        <rFont val="Calibri (Body)"/>
      </rPr>
      <t>*</t>
    </r>
    <r>
      <rPr>
        <sz val="12"/>
        <color rgb="FF1A9F77"/>
        <rFont val="Calibri"/>
        <family val="2"/>
        <scheme val="minor"/>
      </rPr>
      <t>MSW</t>
    </r>
  </si>
  <si>
    <r>
      <t>MSMW</t>
    </r>
    <r>
      <rPr>
        <sz val="12"/>
        <color theme="1"/>
        <rFont val="Calibri (Body)"/>
      </rPr>
      <t>*</t>
    </r>
    <r>
      <rPr>
        <sz val="12"/>
        <color rgb="FF7570B3"/>
        <rFont val="Calibri (Body)"/>
      </rPr>
      <t>MSM</t>
    </r>
  </si>
  <si>
    <r>
      <t>WSMW</t>
    </r>
    <r>
      <rPr>
        <sz val="12"/>
        <color theme="1"/>
        <rFont val="Calibri (Body)"/>
      </rPr>
      <t>*</t>
    </r>
    <r>
      <rPr>
        <sz val="12"/>
        <color rgb="FF7570B3"/>
        <rFont val="Calibri (Body)"/>
      </rPr>
      <t>MSM</t>
    </r>
  </si>
  <si>
    <r>
      <rPr>
        <sz val="12"/>
        <color rgb="FF1A9F77"/>
        <rFont val="Calibri (Body)"/>
      </rPr>
      <t>MSW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MSM</t>
    </r>
  </si>
  <si>
    <r>
      <t>WSMW</t>
    </r>
    <r>
      <rPr>
        <sz val="12"/>
        <color theme="1"/>
        <rFont val="Calibri (Body)"/>
      </rPr>
      <t>*</t>
    </r>
    <r>
      <rPr>
        <sz val="12"/>
        <color rgb="FF1A9F77"/>
        <rFont val="Calibri (Body)"/>
      </rPr>
      <t>WSW</t>
    </r>
  </si>
  <si>
    <r>
      <t>WSMW</t>
    </r>
    <r>
      <rPr>
        <sz val="12"/>
        <color theme="1"/>
        <rFont val="Calibri (Body)"/>
      </rPr>
      <t>*</t>
    </r>
    <r>
      <rPr>
        <sz val="12"/>
        <color rgb="FF7570B3"/>
        <rFont val="Calibri (Body)"/>
      </rPr>
      <t>WSM</t>
    </r>
  </si>
  <si>
    <r>
      <t>WSMW</t>
    </r>
    <r>
      <rPr>
        <sz val="12"/>
        <color theme="1"/>
        <rFont val="Calibri (Body)"/>
      </rPr>
      <t>*</t>
    </r>
    <r>
      <rPr>
        <sz val="12"/>
        <color rgb="FFDB5F00"/>
        <rFont val="Calibri"/>
        <family val="2"/>
        <scheme val="minor"/>
      </rPr>
      <t>WSMW</t>
    </r>
  </si>
  <si>
    <r>
      <t>MSM</t>
    </r>
    <r>
      <rPr>
        <sz val="12"/>
        <color theme="1"/>
        <rFont val="Calibri (Body)"/>
      </rPr>
      <t>*</t>
    </r>
    <r>
      <rPr>
        <sz val="12"/>
        <color rgb="FF7570B3"/>
        <rFont val="Calibri"/>
        <family val="2"/>
        <scheme val="minor"/>
      </rPr>
      <t>MSM</t>
    </r>
  </si>
  <si>
    <t xml:space="preserve">For R: </t>
  </si>
  <si>
    <t>W-W Edges</t>
  </si>
  <si>
    <t>M-M Edges</t>
  </si>
  <si>
    <t>M-W Edges</t>
  </si>
  <si>
    <t>Edges by Sex</t>
  </si>
  <si>
    <t>Edges (% of Pop)</t>
  </si>
  <si>
    <t xml:space="preserve">Concurrency (% of Pop) </t>
  </si>
  <si>
    <t>Partner Availability</t>
  </si>
  <si>
    <t>Target</t>
  </si>
  <si>
    <t>&lt;dbl&gt;</t>
  </si>
  <si>
    <t>Sim Mean</t>
  </si>
  <si>
    <t>Pct Diff</t>
  </si>
  <si>
    <t>Sim SD</t>
  </si>
  <si>
    <t>edges</t>
  </si>
  <si>
    <t>concurrent</t>
  </si>
  <si>
    <t>NA</t>
  </si>
  <si>
    <t>mix.combo.FB.FB</t>
  </si>
  <si>
    <t>mix.combo.FB.FF</t>
  </si>
  <si>
    <t>mix.combo.FF.FF</t>
  </si>
  <si>
    <t>mix.combo.FB.FM</t>
  </si>
  <si>
    <t>NaN</t>
  </si>
  <si>
    <t>mix.combo.FF.FM</t>
  </si>
  <si>
    <t>mix.combo.FM.FM</t>
  </si>
  <si>
    <t>mix.combo.FB.MB</t>
  </si>
  <si>
    <t>mix.combo.FF.MB</t>
  </si>
  <si>
    <t>mix.combo.FM.MB</t>
  </si>
  <si>
    <t>mix.combo.MB.MB</t>
  </si>
  <si>
    <t>mix.combo.FB.MF</t>
  </si>
  <si>
    <t>mix.combo.FF.MF</t>
  </si>
  <si>
    <t>mix.combo.FM.MF</t>
  </si>
  <si>
    <t>mix.combo.MB.MF</t>
  </si>
  <si>
    <t>mix.combo.MF.MF</t>
  </si>
  <si>
    <t>mix.combo.FB.MM</t>
  </si>
  <si>
    <t>mix.combo.FF.MM</t>
  </si>
  <si>
    <t>mix.combo.FM.MM</t>
  </si>
  <si>
    <t>mix.combo.MB.MM</t>
  </si>
  <si>
    <t>mix.combo.MF.MM</t>
  </si>
  <si>
    <t>mix.combo.MM.MM</t>
  </si>
  <si>
    <t>nodefactor.combo.FB</t>
  </si>
  <si>
    <t>nodefactor.combo.FF</t>
  </si>
  <si>
    <t>nodefactor.combo.FM</t>
  </si>
  <si>
    <t>nodefactor.combo.MB</t>
  </si>
  <si>
    <t>nodefactor.combo.MM</t>
  </si>
  <si>
    <t>FB</t>
  </si>
  <si>
    <t>FF</t>
  </si>
  <si>
    <t>FM</t>
  </si>
  <si>
    <t>MF</t>
  </si>
  <si>
    <t>MM</t>
  </si>
  <si>
    <t>MB</t>
  </si>
  <si>
    <t># of ind</t>
  </si>
  <si>
    <t># of potential partners</t>
  </si>
  <si>
    <t>Percent of pop available</t>
  </si>
  <si>
    <t>Number requested</t>
  </si>
  <si>
    <t>Percent of available requested</t>
  </si>
  <si>
    <t>Percent of overall edges (edge/restriction only model)</t>
  </si>
  <si>
    <t>Desired</t>
  </si>
  <si>
    <t>Mean Observed</t>
  </si>
  <si>
    <t>% Difference</t>
  </si>
  <si>
    <t>WSMW*WSMW</t>
  </si>
  <si>
    <t>WSMW*WSW</t>
  </si>
  <si>
    <t>WSW*WSW</t>
  </si>
  <si>
    <t>WSMW*WSM</t>
  </si>
  <si>
    <t>WSW*WSM</t>
  </si>
  <si>
    <t>WSM*WSM</t>
  </si>
  <si>
    <t>WSMW*MSMW</t>
  </si>
  <si>
    <t>WSW*MSMW</t>
  </si>
  <si>
    <t>WSM*MSMW</t>
  </si>
  <si>
    <t>MSMW*MSMW</t>
  </si>
  <si>
    <t>WSMW*MSW</t>
  </si>
  <si>
    <t>WSW*MSW</t>
  </si>
  <si>
    <t>WSM*MSW</t>
  </si>
  <si>
    <t>MSMW*MSW</t>
  </si>
  <si>
    <t>MSW*MSW</t>
  </si>
  <si>
    <t>WSMW*MSM</t>
  </si>
  <si>
    <t>WSW*MSM</t>
  </si>
  <si>
    <t>WSM*MSM</t>
  </si>
  <si>
    <t>MSMW*MSM</t>
  </si>
  <si>
    <t>MSW*MSM</t>
  </si>
  <si>
    <t>MSM*MSM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</si>
</sst>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4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570B3"/>
      <name val="Calibri"/>
      <family val="2"/>
      <scheme val="minor"/>
    </font>
    <font>
      <sz val="12"/>
      <color rgb="FF1A9F77"/>
      <name val="Calibri"/>
      <family val="2"/>
      <scheme val="minor"/>
    </font>
    <font>
      <sz val="12"/>
      <color rgb="FFDB5F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2" tint="-0.74999237037263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1A9F77"/>
      <name val="Times New Roman"/>
      <family val="1"/>
    </font>
    <font>
      <sz val="11"/>
      <color rgb="FF7570B3"/>
      <name val="Times New Roman"/>
      <family val="1"/>
    </font>
    <font>
      <sz val="11"/>
      <color rgb="FFDB5F00"/>
      <name val="Times New Roman"/>
      <family val="1"/>
    </font>
    <font>
      <sz val="11"/>
      <color rgb="FF7570B3"/>
      <name val="Calibri"/>
      <family val="2"/>
      <scheme val="minor"/>
    </font>
    <font>
      <sz val="11"/>
      <color rgb="FFDB5F00"/>
      <name val="Calibri"/>
      <family val="2"/>
      <scheme val="minor"/>
    </font>
    <font>
      <b/>
      <i/>
      <u/>
      <sz val="11"/>
      <color theme="1"/>
      <name val="Times New Roman"/>
      <family val="1"/>
    </font>
    <font>
      <sz val="11"/>
      <color rgb="FF1A9F77"/>
      <name val="Calibri"/>
      <family val="2"/>
      <scheme val="minor"/>
    </font>
    <font>
      <sz val="12"/>
      <color rgb="FF1A9F77"/>
      <name val="Calibri (Body)"/>
    </font>
    <font>
      <b/>
      <sz val="11"/>
      <color theme="1"/>
      <name val="Calibri"/>
      <family val="2"/>
      <scheme val="minor"/>
    </font>
    <font>
      <sz val="12"/>
      <color rgb="FF7570B3"/>
      <name val="Calibri (Body)"/>
    </font>
    <font>
      <sz val="12"/>
      <color theme="1"/>
      <name val="Calibri (Body)"/>
    </font>
    <font>
      <sz val="12"/>
      <color rgb="FFDB5F00"/>
      <name val="Calibri (Body)"/>
    </font>
    <font>
      <sz val="12"/>
      <color theme="5"/>
      <name val="Calibri (Body)"/>
    </font>
    <font>
      <sz val="11"/>
      <color theme="2" tint="-9.9978637043366805E-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Lucida Sans"/>
      <family val="2"/>
    </font>
    <font>
      <sz val="11"/>
      <color rgb="FF000000"/>
      <name val="Lucida Sans"/>
      <family val="2"/>
    </font>
    <font>
      <sz val="12"/>
      <color rgb="FF000000"/>
      <name val="Lucida Sans"/>
      <family val="2"/>
    </font>
    <font>
      <i/>
      <sz val="12"/>
      <color rgb="FF000000"/>
      <name val="Lucida Sans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name val="Arial"/>
      <family val="2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DB5F00"/>
      <name val="Times New Roman"/>
      <family val="1"/>
    </font>
    <font>
      <sz val="14"/>
      <color rgb="FFFF0000"/>
      <name val="Times New Roman"/>
      <family val="1"/>
    </font>
    <font>
      <sz val="14"/>
      <color rgb="FF7570B3"/>
      <name val="Times New Roman"/>
      <family val="1"/>
    </font>
    <font>
      <sz val="14"/>
      <color rgb="FF1B9F78"/>
      <name val="Times New Roman"/>
      <family val="1"/>
    </font>
    <font>
      <sz val="14"/>
      <color rgb="FF1A9F77"/>
      <name val="Times New Roman"/>
      <family val="1"/>
    </font>
    <font>
      <sz val="14"/>
      <color rgb="FF7470B4"/>
      <name val="Times New Roman"/>
      <family val="1"/>
    </font>
    <font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A9F77"/>
        <bgColor indexed="64"/>
      </patternFill>
    </fill>
    <fill>
      <patternFill patternType="solid">
        <fgColor rgb="FF7570B3"/>
        <bgColor indexed="64"/>
      </patternFill>
    </fill>
    <fill>
      <patternFill patternType="solid">
        <fgColor rgb="FFDB5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4B08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2" fontId="3" fillId="3" borderId="2" xfId="0" applyNumberFormat="1" applyFont="1" applyFill="1" applyBorder="1"/>
    <xf numFmtId="164" fontId="3" fillId="5" borderId="2" xfId="0" applyNumberFormat="1" applyFont="1" applyFill="1" applyBorder="1"/>
    <xf numFmtId="0" fontId="0" fillId="0" borderId="3" xfId="0" applyBorder="1"/>
    <xf numFmtId="0" fontId="5" fillId="0" borderId="4" xfId="0" applyFont="1" applyBorder="1"/>
    <xf numFmtId="0" fontId="4" fillId="0" borderId="4" xfId="0" applyFont="1" applyBorder="1"/>
    <xf numFmtId="0" fontId="6" fillId="0" borderId="4" xfId="0" applyFont="1" applyBorder="1"/>
    <xf numFmtId="0" fontId="0" fillId="0" borderId="4" xfId="0" applyBorder="1"/>
    <xf numFmtId="0" fontId="6" fillId="0" borderId="5" xfId="0" applyFont="1" applyBorder="1"/>
    <xf numFmtId="0" fontId="5" fillId="0" borderId="6" xfId="0" applyFont="1" applyBorder="1"/>
    <xf numFmtId="164" fontId="3" fillId="5" borderId="0" xfId="0" applyNumberFormat="1" applyFont="1" applyFill="1" applyBorder="1"/>
    <xf numFmtId="0" fontId="4" fillId="0" borderId="6" xfId="0" applyFont="1" applyBorder="1"/>
    <xf numFmtId="2" fontId="3" fillId="3" borderId="0" xfId="0" applyNumberFormat="1" applyFont="1" applyFill="1" applyBorder="1"/>
    <xf numFmtId="0" fontId="6" fillId="0" borderId="6" xfId="0" applyFont="1" applyBorder="1"/>
    <xf numFmtId="0" fontId="0" fillId="0" borderId="6" xfId="0" applyBorder="1"/>
    <xf numFmtId="164" fontId="3" fillId="4" borderId="0" xfId="0" applyNumberFormat="1" applyFont="1" applyFill="1" applyBorder="1"/>
    <xf numFmtId="164" fontId="3" fillId="0" borderId="0" xfId="0" applyNumberFormat="1" applyFont="1" applyBorder="1"/>
    <xf numFmtId="0" fontId="6" fillId="0" borderId="8" xfId="0" applyFont="1" applyBorder="1"/>
    <xf numFmtId="2" fontId="3" fillId="2" borderId="0" xfId="0" applyNumberFormat="1" applyFont="1" applyFill="1" applyBorder="1"/>
    <xf numFmtId="2" fontId="3" fillId="4" borderId="0" xfId="0" applyNumberFormat="1" applyFont="1" applyFill="1" applyBorder="1"/>
    <xf numFmtId="2" fontId="3" fillId="5" borderId="0" xfId="0" applyNumberFormat="1" applyFont="1" applyFill="1" applyBorder="1"/>
    <xf numFmtId="2" fontId="3" fillId="5" borderId="2" xfId="0" applyNumberFormat="1" applyFont="1" applyFill="1" applyBorder="1"/>
    <xf numFmtId="2" fontId="3" fillId="4" borderId="2" xfId="0" applyNumberFormat="1" applyFont="1" applyFill="1" applyBorder="1"/>
    <xf numFmtId="2" fontId="3" fillId="6" borderId="2" xfId="0" applyNumberFormat="1" applyFont="1" applyFill="1" applyBorder="1"/>
    <xf numFmtId="2" fontId="3" fillId="2" borderId="9" xfId="0" applyNumberFormat="1" applyFont="1" applyFill="1" applyBorder="1"/>
    <xf numFmtId="2" fontId="3" fillId="4" borderId="9" xfId="0" applyNumberFormat="1" applyFont="1" applyFill="1" applyBorder="1"/>
    <xf numFmtId="2" fontId="3" fillId="5" borderId="9" xfId="0" applyNumberFormat="1" applyFont="1" applyFill="1" applyBorder="1"/>
    <xf numFmtId="164" fontId="3" fillId="4" borderId="2" xfId="0" applyNumberFormat="1" applyFont="1" applyFill="1" applyBorder="1"/>
    <xf numFmtId="2" fontId="3" fillId="6" borderId="0" xfId="0" applyNumberFormat="1" applyFont="1" applyFill="1" applyBorder="1"/>
    <xf numFmtId="2" fontId="3" fillId="6" borderId="7" xfId="0" applyNumberFormat="1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3" fillId="2" borderId="6" xfId="0" applyFont="1" applyFill="1" applyBorder="1"/>
    <xf numFmtId="0" fontId="14" fillId="2" borderId="6" xfId="0" applyFont="1" applyFill="1" applyBorder="1"/>
    <xf numFmtId="9" fontId="14" fillId="2" borderId="7" xfId="1" applyFont="1" applyFill="1" applyBorder="1"/>
    <xf numFmtId="0" fontId="15" fillId="2" borderId="6" xfId="0" applyFont="1" applyFill="1" applyBorder="1"/>
    <xf numFmtId="9" fontId="15" fillId="2" borderId="7" xfId="1" applyFont="1" applyFill="1" applyBorder="1"/>
    <xf numFmtId="0" fontId="16" fillId="2" borderId="6" xfId="0" applyFont="1" applyFill="1" applyBorder="1"/>
    <xf numFmtId="9" fontId="16" fillId="2" borderId="7" xfId="1" applyFont="1" applyFill="1" applyBorder="1"/>
    <xf numFmtId="9" fontId="10" fillId="2" borderId="7" xfId="1" applyFont="1" applyFill="1" applyBorder="1"/>
    <xf numFmtId="0" fontId="19" fillId="2" borderId="6" xfId="0" applyFont="1" applyFill="1" applyBorder="1"/>
    <xf numFmtId="0" fontId="14" fillId="2" borderId="6" xfId="0" applyFont="1" applyFill="1" applyBorder="1" applyAlignment="1">
      <alignment vertical="center"/>
    </xf>
    <xf numFmtId="0" fontId="15" fillId="2" borderId="6" xfId="0" applyFont="1" applyFill="1" applyBorder="1" applyAlignment="1"/>
    <xf numFmtId="0" fontId="16" fillId="2" borderId="6" xfId="0" applyFont="1" applyFill="1" applyBorder="1" applyAlignment="1">
      <alignment vertical="top"/>
    </xf>
    <xf numFmtId="165" fontId="14" fillId="2" borderId="7" xfId="1" applyNumberFormat="1" applyFont="1" applyFill="1" applyBorder="1"/>
    <xf numFmtId="165" fontId="15" fillId="2" borderId="7" xfId="1" applyNumberFormat="1" applyFont="1" applyFill="1" applyBorder="1"/>
    <xf numFmtId="165" fontId="16" fillId="2" borderId="7" xfId="1" applyNumberFormat="1" applyFont="1" applyFill="1" applyBorder="1"/>
    <xf numFmtId="0" fontId="9" fillId="6" borderId="0" xfId="0" applyFont="1" applyFill="1"/>
    <xf numFmtId="0" fontId="9" fillId="6" borderId="0" xfId="0" applyFont="1" applyFill="1" applyBorder="1"/>
    <xf numFmtId="0" fontId="10" fillId="6" borderId="0" xfId="0" applyFont="1" applyFill="1" applyBorder="1"/>
    <xf numFmtId="0" fontId="16" fillId="8" borderId="6" xfId="0" applyFont="1" applyFill="1" applyBorder="1"/>
    <xf numFmtId="0" fontId="9" fillId="2" borderId="7" xfId="0" applyFont="1" applyFill="1" applyBorder="1"/>
    <xf numFmtId="0" fontId="9" fillId="2" borderId="6" xfId="0" applyFont="1" applyFill="1" applyBorder="1"/>
    <xf numFmtId="0" fontId="17" fillId="2" borderId="6" xfId="0" applyFont="1" applyFill="1" applyBorder="1"/>
    <xf numFmtId="0" fontId="20" fillId="2" borderId="6" xfId="0" applyFont="1" applyFill="1" applyBorder="1"/>
    <xf numFmtId="0" fontId="9" fillId="2" borderId="8" xfId="0" applyFont="1" applyFill="1" applyBorder="1"/>
    <xf numFmtId="0" fontId="9" fillId="2" borderId="17" xfId="0" applyFont="1" applyFill="1" applyBorder="1"/>
    <xf numFmtId="0" fontId="11" fillId="10" borderId="10" xfId="0" applyFont="1" applyFill="1" applyBorder="1"/>
    <xf numFmtId="0" fontId="10" fillId="10" borderId="11" xfId="0" applyFont="1" applyFill="1" applyBorder="1"/>
    <xf numFmtId="0" fontId="11" fillId="7" borderId="10" xfId="0" applyFont="1" applyFill="1" applyBorder="1"/>
    <xf numFmtId="0" fontId="10" fillId="7" borderId="11" xfId="0" applyFont="1" applyFill="1" applyBorder="1"/>
    <xf numFmtId="0" fontId="11" fillId="11" borderId="10" xfId="0" applyFont="1" applyFill="1" applyBorder="1"/>
    <xf numFmtId="0" fontId="10" fillId="11" borderId="11" xfId="0" applyFont="1" applyFill="1" applyBorder="1"/>
    <xf numFmtId="2" fontId="9" fillId="2" borderId="7" xfId="0" applyNumberFormat="1" applyFont="1" applyFill="1" applyBorder="1"/>
    <xf numFmtId="2" fontId="17" fillId="2" borderId="7" xfId="0" applyNumberFormat="1" applyFont="1" applyFill="1" applyBorder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/>
    <xf numFmtId="0" fontId="5" fillId="0" borderId="18" xfId="0" applyFont="1" applyBorder="1"/>
    <xf numFmtId="0" fontId="4" fillId="0" borderId="18" xfId="0" applyFont="1" applyBorder="1"/>
    <xf numFmtId="0" fontId="6" fillId="0" borderId="18" xfId="0" applyFont="1" applyBorder="1"/>
    <xf numFmtId="0" fontId="0" fillId="0" borderId="18" xfId="0" applyBorder="1"/>
    <xf numFmtId="0" fontId="6" fillId="0" borderId="14" xfId="0" applyFont="1" applyBorder="1"/>
    <xf numFmtId="0" fontId="5" fillId="0" borderId="15" xfId="0" applyFont="1" applyBorder="1"/>
    <xf numFmtId="0" fontId="0" fillId="0" borderId="16" xfId="0" applyBorder="1"/>
    <xf numFmtId="0" fontId="4" fillId="0" borderId="15" xfId="0" applyFont="1" applyBorder="1"/>
    <xf numFmtId="164" fontId="3" fillId="5" borderId="16" xfId="0" applyNumberFormat="1" applyFont="1" applyFill="1" applyBorder="1"/>
    <xf numFmtId="0" fontId="6" fillId="0" borderId="15" xfId="0" applyFont="1" applyBorder="1"/>
    <xf numFmtId="0" fontId="0" fillId="0" borderId="15" xfId="0" applyBorder="1"/>
    <xf numFmtId="0" fontId="6" fillId="0" borderId="13" xfId="0" applyFont="1" applyBorder="1"/>
    <xf numFmtId="164" fontId="3" fillId="4" borderId="1" xfId="0" applyNumberFormat="1" applyFont="1" applyFill="1" applyBorder="1"/>
    <xf numFmtId="164" fontId="3" fillId="5" borderId="1" xfId="0" applyNumberFormat="1" applyFont="1" applyFill="1" applyBorder="1"/>
    <xf numFmtId="164" fontId="3" fillId="5" borderId="19" xfId="0" applyNumberFormat="1" applyFont="1" applyFill="1" applyBorder="1"/>
    <xf numFmtId="10" fontId="10" fillId="2" borderId="7" xfId="0" applyNumberFormat="1" applyFont="1" applyFill="1" applyBorder="1"/>
    <xf numFmtId="10" fontId="16" fillId="2" borderId="7" xfId="1" applyNumberFormat="1" applyFont="1" applyFill="1" applyBorder="1"/>
    <xf numFmtId="10" fontId="9" fillId="2" borderId="7" xfId="0" applyNumberFormat="1" applyFont="1" applyFill="1" applyBorder="1"/>
    <xf numFmtId="10" fontId="15" fillId="2" borderId="7" xfId="0" applyNumberFormat="1" applyFont="1" applyFill="1" applyBorder="1"/>
    <xf numFmtId="0" fontId="9" fillId="2" borderId="3" xfId="0" applyFont="1" applyFill="1" applyBorder="1"/>
    <xf numFmtId="0" fontId="9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2" borderId="3" xfId="0" applyFont="1" applyFill="1" applyBorder="1"/>
    <xf numFmtId="0" fontId="27" fillId="6" borderId="0" xfId="0" applyFont="1" applyFill="1"/>
    <xf numFmtId="1" fontId="9" fillId="2" borderId="7" xfId="0" applyNumberFormat="1" applyFont="1" applyFill="1" applyBorder="1"/>
    <xf numFmtId="2" fontId="9" fillId="2" borderId="17" xfId="0" applyNumberFormat="1" applyFont="1" applyFill="1" applyBorder="1"/>
    <xf numFmtId="2" fontId="20" fillId="2" borderId="7" xfId="0" applyNumberFormat="1" applyFont="1" applyFill="1" applyBorder="1"/>
    <xf numFmtId="9" fontId="5" fillId="0" borderId="0" xfId="0" applyNumberFormat="1" applyFont="1"/>
    <xf numFmtId="9" fontId="4" fillId="0" borderId="0" xfId="0" applyNumberFormat="1" applyFont="1"/>
    <xf numFmtId="9" fontId="6" fillId="0" borderId="0" xfId="0" applyNumberFormat="1" applyFont="1"/>
    <xf numFmtId="0" fontId="28" fillId="2" borderId="6" xfId="0" applyFont="1" applyFill="1" applyBorder="1"/>
    <xf numFmtId="2" fontId="28" fillId="2" borderId="7" xfId="0" applyNumberFormat="1" applyFont="1" applyFill="1" applyBorder="1"/>
    <xf numFmtId="0" fontId="22" fillId="2" borderId="8" xfId="0" applyFont="1" applyFill="1" applyBorder="1"/>
    <xf numFmtId="2" fontId="22" fillId="2" borderId="17" xfId="0" applyNumberFormat="1" applyFont="1" applyFill="1" applyBorder="1"/>
    <xf numFmtId="165" fontId="18" fillId="2" borderId="7" xfId="0" applyNumberFormat="1" applyFont="1" applyFill="1" applyBorder="1"/>
    <xf numFmtId="165" fontId="17" fillId="2" borderId="7" xfId="0" applyNumberFormat="1" applyFont="1" applyFill="1" applyBorder="1"/>
    <xf numFmtId="9" fontId="17" fillId="2" borderId="7" xfId="1" applyNumberFormat="1" applyFont="1" applyFill="1" applyBorder="1"/>
    <xf numFmtId="9" fontId="20" fillId="2" borderId="7" xfId="1" applyNumberFormat="1" applyFont="1" applyFill="1" applyBorder="1"/>
    <xf numFmtId="9" fontId="9" fillId="2" borderId="7" xfId="1" applyNumberFormat="1" applyFont="1" applyFill="1" applyBorder="1"/>
    <xf numFmtId="2" fontId="9" fillId="6" borderId="0" xfId="0" applyNumberFormat="1" applyFont="1" applyFill="1"/>
    <xf numFmtId="0" fontId="22" fillId="12" borderId="3" xfId="0" applyFont="1" applyFill="1" applyBorder="1"/>
    <xf numFmtId="0" fontId="22" fillId="12" borderId="5" xfId="0" applyFont="1" applyFill="1" applyBorder="1"/>
    <xf numFmtId="0" fontId="22" fillId="13" borderId="3" xfId="0" applyFont="1" applyFill="1" applyBorder="1"/>
    <xf numFmtId="0" fontId="22" fillId="13" borderId="5" xfId="0" applyFont="1" applyFill="1" applyBorder="1"/>
    <xf numFmtId="0" fontId="9" fillId="6" borderId="0" xfId="0" applyFont="1" applyFill="1" applyAlignment="1">
      <alignment horizontal="left"/>
    </xf>
    <xf numFmtId="0" fontId="9" fillId="6" borderId="0" xfId="0" applyFont="1" applyFill="1" applyBorder="1" applyAlignment="1">
      <alignment horizontal="left"/>
    </xf>
    <xf numFmtId="0" fontId="20" fillId="6" borderId="0" xfId="0" applyFont="1" applyFill="1"/>
    <xf numFmtId="9" fontId="9" fillId="6" borderId="0" xfId="1" applyFont="1" applyFill="1"/>
    <xf numFmtId="165" fontId="9" fillId="2" borderId="5" xfId="0" applyNumberFormat="1" applyFont="1" applyFill="1" applyBorder="1"/>
    <xf numFmtId="165" fontId="9" fillId="2" borderId="17" xfId="1" applyNumberFormat="1" applyFont="1" applyFill="1" applyBorder="1"/>
    <xf numFmtId="165" fontId="9" fillId="6" borderId="0" xfId="1" applyNumberFormat="1" applyFont="1" applyFill="1"/>
    <xf numFmtId="0" fontId="29" fillId="14" borderId="0" xfId="0" applyFont="1" applyFill="1"/>
    <xf numFmtId="1" fontId="9" fillId="6" borderId="0" xfId="0" applyNumberFormat="1" applyFont="1" applyFill="1"/>
    <xf numFmtId="9" fontId="0" fillId="0" borderId="0" xfId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1" fontId="0" fillId="0" borderId="0" xfId="2" applyNumberFormat="1" applyFont="1"/>
    <xf numFmtId="165" fontId="0" fillId="0" borderId="0" xfId="1" applyNumberFormat="1" applyFont="1"/>
    <xf numFmtId="0" fontId="8" fillId="6" borderId="0" xfId="0" applyFont="1" applyFill="1" applyBorder="1" applyAlignment="1">
      <alignment horizontal="center" vertical="center"/>
    </xf>
    <xf numFmtId="0" fontId="22" fillId="6" borderId="0" xfId="0" applyFont="1" applyFill="1" applyBorder="1"/>
    <xf numFmtId="2" fontId="9" fillId="6" borderId="0" xfId="0" applyNumberFormat="1" applyFont="1" applyFill="1" applyBorder="1"/>
    <xf numFmtId="0" fontId="9" fillId="6" borderId="0" xfId="0" applyFont="1" applyFill="1" applyBorder="1" applyAlignment="1">
      <alignment horizontal="center" wrapText="1"/>
    </xf>
    <xf numFmtId="2" fontId="34" fillId="6" borderId="0" xfId="0" applyNumberFormat="1" applyFont="1" applyFill="1" applyBorder="1"/>
    <xf numFmtId="2" fontId="35" fillId="6" borderId="0" xfId="0" applyNumberFormat="1" applyFont="1" applyFill="1" applyBorder="1"/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30" fillId="0" borderId="0" xfId="0" applyFont="1"/>
    <xf numFmtId="0" fontId="37" fillId="0" borderId="0" xfId="0" applyFont="1" applyBorder="1" applyAlignment="1">
      <alignment horizontal="right" wrapText="1" readingOrder="1"/>
    </xf>
    <xf numFmtId="9" fontId="36" fillId="0" borderId="0" xfId="1" applyFont="1" applyBorder="1" applyAlignment="1">
      <alignment horizontal="right" wrapText="1"/>
    </xf>
    <xf numFmtId="0" fontId="37" fillId="0" borderId="0" xfId="0" applyFont="1" applyBorder="1" applyAlignment="1">
      <alignment horizontal="left" wrapText="1" readingOrder="1"/>
    </xf>
    <xf numFmtId="0" fontId="36" fillId="0" borderId="0" xfId="0" applyFont="1" applyBorder="1" applyAlignment="1">
      <alignment horizontal="right" wrapText="1"/>
    </xf>
    <xf numFmtId="0" fontId="36" fillId="0" borderId="0" xfId="0" applyFont="1" applyBorder="1" applyAlignment="1">
      <alignment wrapText="1"/>
    </xf>
    <xf numFmtId="0" fontId="37" fillId="0" borderId="0" xfId="0" applyFont="1" applyBorder="1" applyAlignment="1">
      <alignment horizontal="right" vertical="center" wrapText="1" readingOrder="1"/>
    </xf>
    <xf numFmtId="164" fontId="32" fillId="0" borderId="0" xfId="0" applyNumberFormat="1" applyFont="1" applyBorder="1"/>
    <xf numFmtId="0" fontId="38" fillId="15" borderId="3" xfId="0" applyFont="1" applyFill="1" applyBorder="1" applyAlignment="1">
      <alignment horizontal="left" wrapText="1" readingOrder="1"/>
    </xf>
    <xf numFmtId="0" fontId="38" fillId="15" borderId="4" xfId="0" applyFont="1" applyFill="1" applyBorder="1" applyAlignment="1">
      <alignment horizontal="right" wrapText="1" readingOrder="1"/>
    </xf>
    <xf numFmtId="0" fontId="38" fillId="15" borderId="5" xfId="0" applyFont="1" applyFill="1" applyBorder="1" applyAlignment="1">
      <alignment horizontal="right" wrapText="1" readingOrder="1"/>
    </xf>
    <xf numFmtId="0" fontId="39" fillId="0" borderId="6" xfId="0" applyFont="1" applyBorder="1" applyAlignment="1">
      <alignment horizontal="center" wrapText="1" readingOrder="1"/>
    </xf>
    <xf numFmtId="9" fontId="40" fillId="0" borderId="7" xfId="0" applyNumberFormat="1" applyFont="1" applyBorder="1" applyAlignment="1">
      <alignment horizontal="right" wrapText="1" readingOrder="1"/>
    </xf>
    <xf numFmtId="0" fontId="41" fillId="0" borderId="6" xfId="0" applyFont="1" applyBorder="1" applyAlignment="1">
      <alignment horizontal="center" wrapText="1" readingOrder="1"/>
    </xf>
    <xf numFmtId="0" fontId="42" fillId="0" borderId="6" xfId="0" applyFont="1" applyBorder="1" applyAlignment="1">
      <alignment horizontal="center" wrapText="1" readingOrder="1"/>
    </xf>
    <xf numFmtId="0" fontId="43" fillId="0" borderId="6" xfId="0" applyFont="1" applyBorder="1" applyAlignment="1">
      <alignment horizontal="center" wrapText="1" readingOrder="1"/>
    </xf>
    <xf numFmtId="0" fontId="44" fillId="0" borderId="6" xfId="0" applyFont="1" applyBorder="1" applyAlignment="1">
      <alignment horizontal="center" wrapText="1" readingOrder="1"/>
    </xf>
    <xf numFmtId="0" fontId="41" fillId="0" borderId="8" xfId="0" applyFont="1" applyBorder="1" applyAlignment="1">
      <alignment horizontal="center" wrapText="1" readingOrder="1"/>
    </xf>
    <xf numFmtId="0" fontId="37" fillId="0" borderId="9" xfId="0" applyFont="1" applyBorder="1" applyAlignment="1">
      <alignment horizontal="right" wrapText="1" readingOrder="1"/>
    </xf>
    <xf numFmtId="164" fontId="32" fillId="0" borderId="9" xfId="0" applyNumberFormat="1" applyFont="1" applyBorder="1"/>
    <xf numFmtId="9" fontId="40" fillId="0" borderId="17" xfId="0" applyNumberFormat="1" applyFont="1" applyBorder="1" applyAlignment="1">
      <alignment horizontal="right" wrapText="1" readingOrder="1"/>
    </xf>
    <xf numFmtId="164" fontId="0" fillId="0" borderId="0" xfId="0" applyNumberFormat="1" applyBorder="1"/>
    <xf numFmtId="165" fontId="45" fillId="0" borderId="7" xfId="0" applyNumberFormat="1" applyFont="1" applyBorder="1" applyAlignment="1">
      <alignment horizontal="right" wrapText="1" readingOrder="1"/>
    </xf>
    <xf numFmtId="9" fontId="45" fillId="0" borderId="7" xfId="0" applyNumberFormat="1" applyFont="1" applyBorder="1" applyAlignment="1">
      <alignment horizontal="right" wrapText="1" readingOrder="1"/>
    </xf>
  </cellXfs>
  <cellStyles count="3">
    <cellStyle name="Comma" xfId="2" builtinId="3"/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570B3"/>
      <color rgb="FF1A9F77"/>
      <color rgb="FFDB5F00"/>
      <color rgb="FFD4D1F9"/>
      <color rgb="FFBBA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4F1D-5685-1846-953F-1E5FFAC6FEE3}">
  <sheetPr>
    <tabColor theme="5"/>
  </sheetPr>
  <dimension ref="B1:K88"/>
  <sheetViews>
    <sheetView showGridLines="0" tabSelected="1" zoomScale="117" zoomScaleNormal="100" workbookViewId="0">
      <selection activeCell="J21" sqref="J21"/>
    </sheetView>
  </sheetViews>
  <sheetFormatPr baseColWidth="10" defaultRowHeight="15"/>
  <cols>
    <col min="1" max="1" width="10.83203125" style="60"/>
    <col min="2" max="2" width="41.1640625" style="60" customWidth="1"/>
    <col min="3" max="3" width="10.33203125" style="60" customWidth="1"/>
    <col min="4" max="4" width="28.1640625" style="60" customWidth="1"/>
    <col min="5" max="5" width="21.33203125" style="60" customWidth="1"/>
    <col min="6" max="6" width="18.33203125" style="60" bestFit="1" customWidth="1"/>
    <col min="7" max="7" width="15" style="60" customWidth="1"/>
    <col min="8" max="8" width="17.83203125" style="60" customWidth="1"/>
    <col min="9" max="9" width="19.33203125" style="60" bestFit="1" customWidth="1"/>
    <col min="10" max="10" width="8.1640625" style="60" bestFit="1" customWidth="1"/>
    <col min="11" max="16384" width="10.83203125" style="60"/>
  </cols>
  <sheetData>
    <row r="1" spans="2:11" ht="16" thickBot="1">
      <c r="B1" s="61"/>
      <c r="C1" s="61"/>
    </row>
    <row r="2" spans="2:11" ht="17" customHeight="1">
      <c r="B2" s="156" t="s">
        <v>33</v>
      </c>
      <c r="C2" s="157"/>
      <c r="E2" s="156" t="s">
        <v>34</v>
      </c>
      <c r="F2" s="157"/>
      <c r="G2" s="148"/>
    </row>
    <row r="3" spans="2:11" ht="17" customHeight="1" thickBot="1">
      <c r="B3" s="158"/>
      <c r="C3" s="159"/>
      <c r="E3" s="158"/>
      <c r="F3" s="159"/>
      <c r="G3" s="148"/>
    </row>
    <row r="4" spans="2:11" ht="16" thickBot="1">
      <c r="B4" s="62"/>
      <c r="C4" s="62"/>
    </row>
    <row r="5" spans="2:11" ht="16" thickBot="1">
      <c r="B5" s="74" t="s">
        <v>0</v>
      </c>
      <c r="C5" s="75"/>
      <c r="E5" s="101" t="s">
        <v>63</v>
      </c>
      <c r="F5" s="102" t="str">
        <f>IF((F6=" "),"Balanced! Great job!", "Edges are not balanced" )</f>
        <v>Balanced! Great job!</v>
      </c>
      <c r="G5" s="61"/>
    </row>
    <row r="6" spans="2:11">
      <c r="B6" s="41" t="s">
        <v>35</v>
      </c>
      <c r="C6" s="42">
        <v>10000</v>
      </c>
      <c r="E6" s="65" t="str">
        <f>IF(F5="Edges are not balanced", "W error", "  ")</f>
        <v xml:space="preserve">  </v>
      </c>
      <c r="F6" s="64" t="str">
        <f>IF((ROUND(Calculations!L17,0))=(ROUND(Calculations!L18,0))," ",ROUND((Calculations!L18-Calculations!L17),1))</f>
        <v xml:space="preserve"> </v>
      </c>
      <c r="G6" s="61"/>
      <c r="I6" s="127"/>
    </row>
    <row r="7" spans="2:11" ht="16" thickBot="1">
      <c r="B7" s="41" t="s">
        <v>36</v>
      </c>
      <c r="C7" s="42">
        <v>10000</v>
      </c>
      <c r="E7" s="68" t="str">
        <f>IF(F5="Edges are not balanced", "M error", "  ")</f>
        <v xml:space="preserve">  </v>
      </c>
      <c r="F7" s="69" t="str">
        <f>IF(ROUND(Calculations!P17,0)=ROUND(Calculations!P18,0), " ", ROUND((Calculations!P18-Calculations!P17),1))</f>
        <v xml:space="preserve"> </v>
      </c>
      <c r="G7" s="61"/>
      <c r="I7" s="127"/>
    </row>
    <row r="8" spans="2:11" ht="16" thickBot="1">
      <c r="B8" s="43"/>
      <c r="C8" s="44"/>
    </row>
    <row r="9" spans="2:11" ht="16" thickBot="1">
      <c r="B9" s="72" t="s">
        <v>43</v>
      </c>
      <c r="C9" s="73"/>
      <c r="I9" s="61"/>
    </row>
    <row r="10" spans="2:11">
      <c r="B10" s="45" t="s">
        <v>41</v>
      </c>
      <c r="C10" s="44"/>
      <c r="E10" s="128" t="s">
        <v>64</v>
      </c>
      <c r="F10" s="129"/>
      <c r="G10" s="149"/>
      <c r="I10" s="130" t="s">
        <v>90</v>
      </c>
      <c r="J10" s="131"/>
    </row>
    <row r="11" spans="2:11" ht="16">
      <c r="B11" s="46" t="s">
        <v>37</v>
      </c>
      <c r="C11" s="47">
        <v>0.02</v>
      </c>
      <c r="E11" s="103" t="s">
        <v>84</v>
      </c>
      <c r="F11" s="76">
        <f>Calculations!D24</f>
        <v>80.630175658720191</v>
      </c>
      <c r="G11" s="150"/>
      <c r="H11" s="132"/>
      <c r="I11" s="46" t="s">
        <v>87</v>
      </c>
      <c r="J11" s="114">
        <f>SUM(F14,F13,F11)</f>
        <v>199.24999999999994</v>
      </c>
      <c r="K11" s="138">
        <f>J11/($J$15)</f>
        <v>2.4904382171337142E-2</v>
      </c>
    </row>
    <row r="12" spans="2:11" ht="16">
      <c r="B12" s="48" t="s">
        <v>38</v>
      </c>
      <c r="C12" s="49">
        <v>0.92</v>
      </c>
      <c r="E12" s="104"/>
      <c r="F12" s="64"/>
      <c r="H12" s="132"/>
      <c r="I12" s="66" t="s">
        <v>88</v>
      </c>
      <c r="J12" s="77">
        <f>SUM(F36,F34,F23)</f>
        <v>95.75</v>
      </c>
      <c r="K12" s="138">
        <f t="shared" ref="K12:K13" si="0">J12/($J$15)</f>
        <v>1.1967852411069169E-2</v>
      </c>
    </row>
    <row r="13" spans="2:11" ht="16">
      <c r="B13" s="50" t="s">
        <v>39</v>
      </c>
      <c r="C13" s="51">
        <v>0.06</v>
      </c>
      <c r="D13" s="60" t="str">
        <f>IF(SUM(C11:C13)=1," ","ERROR- NOT 100%")</f>
        <v xml:space="preserve"> </v>
      </c>
      <c r="E13" s="105" t="s">
        <v>82</v>
      </c>
      <c r="F13" s="76">
        <f>Calculations!B24</f>
        <v>92.239648682559576</v>
      </c>
      <c r="G13" s="150"/>
      <c r="H13" s="132"/>
      <c r="I13" s="118" t="s">
        <v>89</v>
      </c>
      <c r="J13" s="119">
        <f>SUM(F20,F22,F25,F27)</f>
        <v>7705.6</v>
      </c>
      <c r="K13" s="138">
        <f t="shared" si="0"/>
        <v>0.96312776541759371</v>
      </c>
    </row>
    <row r="14" spans="2:11" ht="16">
      <c r="B14" s="50"/>
      <c r="C14" s="51"/>
      <c r="E14" s="106" t="s">
        <v>65</v>
      </c>
      <c r="F14" s="76">
        <f>Calculations!B22</f>
        <v>26.380175658720191</v>
      </c>
      <c r="G14" s="153"/>
      <c r="H14" s="132"/>
      <c r="I14" s="65"/>
      <c r="J14" s="64"/>
    </row>
    <row r="15" spans="2:11" ht="17" thickBot="1">
      <c r="B15" s="45" t="s">
        <v>42</v>
      </c>
      <c r="C15" s="52"/>
      <c r="E15" s="105"/>
      <c r="F15" s="64"/>
      <c r="H15" s="132"/>
      <c r="I15" s="120" t="s">
        <v>2</v>
      </c>
      <c r="J15" s="121">
        <f>SUM(J11:J13)</f>
        <v>8000.6</v>
      </c>
    </row>
    <row r="16" spans="2:11" ht="16">
      <c r="B16" s="48" t="s">
        <v>38</v>
      </c>
      <c r="C16" s="49">
        <v>0.02</v>
      </c>
      <c r="E16" s="105" t="s">
        <v>83</v>
      </c>
      <c r="F16" s="112">
        <v>0</v>
      </c>
      <c r="G16" s="150"/>
      <c r="H16" s="132"/>
    </row>
    <row r="17" spans="2:10" ht="16">
      <c r="B17" s="46" t="s">
        <v>37</v>
      </c>
      <c r="C17" s="47">
        <v>0.96</v>
      </c>
      <c r="E17" s="104" t="s">
        <v>66</v>
      </c>
      <c r="F17" s="64">
        <v>0</v>
      </c>
      <c r="G17" s="150"/>
      <c r="H17" s="132"/>
    </row>
    <row r="18" spans="2:10" ht="17" thickBot="1">
      <c r="B18" s="50" t="s">
        <v>39</v>
      </c>
      <c r="C18" s="51">
        <v>0.02</v>
      </c>
      <c r="D18" s="60" t="str">
        <f>IF(SUM(C16:C18)=1," ","ERROR- NOT 100%")</f>
        <v xml:space="preserve"> </v>
      </c>
      <c r="E18" s="104" t="s">
        <v>70</v>
      </c>
      <c r="F18" s="64">
        <v>0</v>
      </c>
      <c r="G18" s="150"/>
      <c r="H18" s="133"/>
    </row>
    <row r="19" spans="2:10" ht="17" thickBot="1">
      <c r="B19" s="43"/>
      <c r="C19" s="44"/>
      <c r="E19" s="104"/>
      <c r="F19" s="64"/>
      <c r="H19" s="133"/>
      <c r="I19" s="101" t="s">
        <v>91</v>
      </c>
      <c r="J19" s="136">
        <f>J15/(C6+C7)</f>
        <v>0.40003</v>
      </c>
    </row>
    <row r="20" spans="2:10" ht="17" thickBot="1">
      <c r="B20" s="70" t="s">
        <v>44</v>
      </c>
      <c r="C20" s="71"/>
      <c r="E20" s="103" t="s">
        <v>75</v>
      </c>
      <c r="F20" s="76">
        <f>Calculations!D28</f>
        <v>1.9508604135345391</v>
      </c>
      <c r="G20" s="150"/>
      <c r="H20" s="133"/>
      <c r="I20" s="68" t="s">
        <v>92</v>
      </c>
      <c r="J20" s="137">
        <f>((((pct.wsw*wsw_2_Partners)+(pct.wsm*wsm_2_Partners)+ (pct.wsmw*wsmw_2_Partners)))*0.5) + (((pct.msw*msw_2_Partners)+(pct.msm*msm_2_Partners)+ (pct.msmw*msmw_2_Partners)))*0.5</f>
        <v>1.6480000000000002E-2</v>
      </c>
    </row>
    <row r="21" spans="2:10" ht="16">
      <c r="B21" s="53" t="s">
        <v>57</v>
      </c>
      <c r="C21" s="44"/>
      <c r="E21" s="105" t="s">
        <v>68</v>
      </c>
      <c r="F21" s="76">
        <v>0</v>
      </c>
      <c r="G21" s="150"/>
      <c r="H21" s="133"/>
    </row>
    <row r="22" spans="2:10" ht="16">
      <c r="B22" s="54" t="s">
        <v>51</v>
      </c>
      <c r="C22" s="97"/>
      <c r="E22" s="105" t="s">
        <v>73</v>
      </c>
      <c r="F22" s="76">
        <f>Calculations!C28</f>
        <v>57.34837002626977</v>
      </c>
      <c r="G22" s="150"/>
      <c r="H22" s="133"/>
    </row>
    <row r="23" spans="2:10" ht="16">
      <c r="B23" s="46" t="s">
        <v>46</v>
      </c>
      <c r="C23" s="57">
        <v>0.28799999999999998</v>
      </c>
      <c r="D23" s="135">
        <f>(wsw_1_Partner + (wsw_2_Partners*2))</f>
        <v>0.72499999999999998</v>
      </c>
      <c r="E23" s="103" t="s">
        <v>74</v>
      </c>
      <c r="F23" s="76">
        <f>Calculations!H28</f>
        <v>9.181436031331593</v>
      </c>
      <c r="G23" s="153"/>
      <c r="H23" s="133"/>
    </row>
    <row r="24" spans="2:10" ht="16">
      <c r="B24" s="46" t="s">
        <v>47</v>
      </c>
      <c r="C24" s="57">
        <v>0.69899999999999995</v>
      </c>
      <c r="E24" s="105"/>
      <c r="F24" s="64"/>
      <c r="H24" s="133"/>
    </row>
    <row r="25" spans="2:10" ht="16">
      <c r="B25" s="46" t="s">
        <v>48</v>
      </c>
      <c r="C25" s="57">
        <v>1.2999999999999999E-2</v>
      </c>
      <c r="D25" s="140"/>
      <c r="E25" s="106" t="s">
        <v>76</v>
      </c>
      <c r="F25" s="76">
        <f>Calculations!D27</f>
        <v>251.55242944435918</v>
      </c>
      <c r="G25" s="150"/>
      <c r="H25" s="132"/>
    </row>
    <row r="26" spans="2:10" ht="16">
      <c r="B26" s="55" t="s">
        <v>52</v>
      </c>
      <c r="C26" s="123"/>
      <c r="E26" s="106" t="s">
        <v>69</v>
      </c>
      <c r="F26" s="64">
        <v>0</v>
      </c>
      <c r="G26" s="150"/>
      <c r="H26" s="132"/>
    </row>
    <row r="27" spans="2:10" ht="16">
      <c r="B27" s="48" t="s">
        <v>46</v>
      </c>
      <c r="C27" s="58">
        <f>1-wsm_1_Partner-wsm_2_Partners</f>
        <v>0.19999999999999996</v>
      </c>
      <c r="D27" s="135">
        <f>(wsm_1_Partner + (wsm_2_Partners*2))</f>
        <v>0.81</v>
      </c>
      <c r="E27" s="106" t="s">
        <v>72</v>
      </c>
      <c r="F27" s="76">
        <f>Calculations!C27</f>
        <v>7394.748340115837</v>
      </c>
      <c r="G27" s="152"/>
      <c r="H27" s="132"/>
    </row>
    <row r="28" spans="2:10" ht="16">
      <c r="B28" s="48" t="s">
        <v>47</v>
      </c>
      <c r="C28" s="58">
        <v>0.79</v>
      </c>
      <c r="D28" s="140"/>
      <c r="E28" s="107" t="s">
        <v>77</v>
      </c>
      <c r="F28" s="64">
        <v>0</v>
      </c>
      <c r="G28" s="150"/>
      <c r="H28" s="133"/>
    </row>
    <row r="29" spans="2:10" ht="16">
      <c r="B29" s="48" t="s">
        <v>48</v>
      </c>
      <c r="C29" s="58">
        <v>0.01</v>
      </c>
      <c r="D29" s="140"/>
      <c r="E29" s="106" t="s">
        <v>78</v>
      </c>
      <c r="F29" s="64">
        <v>0</v>
      </c>
      <c r="G29" s="150"/>
      <c r="H29" s="133"/>
    </row>
    <row r="30" spans="2:10" ht="16">
      <c r="B30" s="56" t="s">
        <v>53</v>
      </c>
      <c r="C30" s="122"/>
      <c r="E30" s="106"/>
      <c r="F30" s="64"/>
      <c r="H30" s="133"/>
    </row>
    <row r="31" spans="2:10" ht="16">
      <c r="B31" s="63" t="s">
        <v>46</v>
      </c>
      <c r="C31" s="59">
        <f>1-wsmw_1_Partner-wsmw_2_Partners</f>
        <v>0.20900000000000002</v>
      </c>
      <c r="D31" s="135">
        <f>(wsmw_1_Partner + (wsmw_2_Partners*2))</f>
        <v>0.84499999999999997</v>
      </c>
      <c r="E31" s="108" t="s">
        <v>80</v>
      </c>
      <c r="F31" s="64">
        <v>0</v>
      </c>
      <c r="G31" s="150"/>
      <c r="H31" s="133"/>
    </row>
    <row r="32" spans="2:10" ht="16">
      <c r="B32" s="63" t="s">
        <v>47</v>
      </c>
      <c r="C32" s="59">
        <v>0.73699999999999999</v>
      </c>
      <c r="D32" s="139"/>
      <c r="E32" s="104" t="s">
        <v>67</v>
      </c>
      <c r="F32" s="64">
        <v>0</v>
      </c>
      <c r="G32" s="150"/>
      <c r="H32" s="132"/>
    </row>
    <row r="33" spans="2:9" ht="16">
      <c r="B33" s="63" t="s">
        <v>48</v>
      </c>
      <c r="C33" s="59">
        <v>5.3999999999999999E-2</v>
      </c>
      <c r="D33" s="140"/>
      <c r="E33" s="104" t="s">
        <v>71</v>
      </c>
      <c r="F33" s="64">
        <v>0</v>
      </c>
      <c r="G33" s="150"/>
      <c r="H33" s="132"/>
    </row>
    <row r="34" spans="2:9" ht="16">
      <c r="B34" s="63"/>
      <c r="C34" s="98"/>
      <c r="E34" s="108" t="s">
        <v>79</v>
      </c>
      <c r="F34" s="76">
        <f>Calculations!F28</f>
        <v>40.937127937336811</v>
      </c>
      <c r="G34" s="153"/>
      <c r="H34" s="132"/>
    </row>
    <row r="35" spans="2:9" ht="16">
      <c r="B35" s="53" t="s">
        <v>56</v>
      </c>
      <c r="C35" s="99"/>
      <c r="E35" s="104" t="s">
        <v>81</v>
      </c>
      <c r="F35" s="64">
        <v>0</v>
      </c>
      <c r="G35" s="150"/>
      <c r="H35" s="132"/>
    </row>
    <row r="36" spans="2:9" ht="17" thickBot="1">
      <c r="B36" s="55" t="s">
        <v>52</v>
      </c>
      <c r="C36" s="100"/>
      <c r="E36" s="109" t="s">
        <v>85</v>
      </c>
      <c r="F36" s="113">
        <f>Calculations!F26</f>
        <v>45.631436031331582</v>
      </c>
      <c r="G36" s="153"/>
      <c r="H36" s="132"/>
      <c r="I36" s="127"/>
    </row>
    <row r="37" spans="2:9">
      <c r="B37" s="48" t="s">
        <v>46</v>
      </c>
      <c r="C37" s="58">
        <v>0.38400000000000001</v>
      </c>
      <c r="D37" s="135">
        <f>(msm_1_Partner + (msm_2_Partners*2))</f>
        <v>0.66099999999999992</v>
      </c>
      <c r="G37" s="127"/>
    </row>
    <row r="38" spans="2:9">
      <c r="B38" s="48" t="s">
        <v>47</v>
      </c>
      <c r="C38" s="58">
        <v>0.57099999999999995</v>
      </c>
      <c r="D38" s="140"/>
    </row>
    <row r="39" spans="2:9">
      <c r="B39" s="48" t="s">
        <v>48</v>
      </c>
      <c r="C39" s="58">
        <v>4.4999999999999998E-2</v>
      </c>
      <c r="D39" s="140"/>
    </row>
    <row r="40" spans="2:9" ht="16" thickBot="1">
      <c r="B40" s="54" t="s">
        <v>51</v>
      </c>
      <c r="C40" s="99"/>
    </row>
    <row r="41" spans="2:9">
      <c r="B41" s="46" t="s">
        <v>46</v>
      </c>
      <c r="C41" s="57">
        <f>1-msw_1_Partner-msw_2_Partners</f>
        <v>0.22250000000000006</v>
      </c>
      <c r="D41" s="135">
        <f>(msw_1_Partner + (msw_2_Partners*2))</f>
        <v>0.79649999999999999</v>
      </c>
      <c r="E41" s="110" t="s">
        <v>86</v>
      </c>
      <c r="F41" s="102"/>
      <c r="G41" s="61"/>
    </row>
    <row r="42" spans="2:9" ht="16" customHeight="1">
      <c r="B42" s="46" t="s">
        <v>47</v>
      </c>
      <c r="C42" s="57">
        <v>0.75849999999999995</v>
      </c>
      <c r="D42" s="140"/>
      <c r="E42" s="160" t="str">
        <f>E87</f>
        <v xml:space="preserve"> c(81 ,92 ,26 ,0 ,0 ,0 ,2 ,0 ,57 ,9 ,252 ,0 ,7395 ,0 ,0 ,0 ,0 ,0 ,41 ,0 ,46 )</v>
      </c>
      <c r="F42" s="161"/>
      <c r="G42" s="151"/>
    </row>
    <row r="43" spans="2:9" ht="16" customHeight="1" thickBot="1">
      <c r="B43" s="46" t="s">
        <v>48</v>
      </c>
      <c r="C43" s="57">
        <v>1.9E-2</v>
      </c>
      <c r="D43" s="140"/>
      <c r="E43" s="162"/>
      <c r="F43" s="163"/>
      <c r="G43" s="151"/>
    </row>
    <row r="44" spans="2:9">
      <c r="B44" s="56" t="s">
        <v>53</v>
      </c>
      <c r="C44" s="122"/>
    </row>
    <row r="45" spans="2:9">
      <c r="B45" s="63" t="s">
        <v>46</v>
      </c>
      <c r="C45" s="59">
        <v>0.46300000000000002</v>
      </c>
      <c r="D45" s="135">
        <f>(msmw_1_Partner + (msmw_2_Partners*2))</f>
        <v>0.59299999999999997</v>
      </c>
    </row>
    <row r="46" spans="2:9">
      <c r="B46" s="63" t="s">
        <v>47</v>
      </c>
      <c r="C46" s="59">
        <v>0.48099999999999998</v>
      </c>
      <c r="D46" s="140"/>
    </row>
    <row r="47" spans="2:9">
      <c r="B47" s="63" t="s">
        <v>48</v>
      </c>
      <c r="C47" s="59">
        <v>5.6000000000000001E-2</v>
      </c>
      <c r="D47" s="140"/>
    </row>
    <row r="48" spans="2:9" ht="16" thickBot="1">
      <c r="B48" s="65"/>
      <c r="C48" s="64"/>
    </row>
    <row r="49" spans="2:5" ht="16" thickBot="1">
      <c r="B49" s="154" t="s">
        <v>45</v>
      </c>
      <c r="C49" s="155"/>
      <c r="E49" s="127"/>
    </row>
    <row r="50" spans="2:5">
      <c r="B50" s="53" t="s">
        <v>49</v>
      </c>
      <c r="C50" s="64"/>
    </row>
    <row r="51" spans="2:5">
      <c r="B51" s="66" t="s">
        <v>54</v>
      </c>
      <c r="C51" s="124">
        <v>0.5</v>
      </c>
    </row>
    <row r="52" spans="2:5">
      <c r="B52" s="67" t="s">
        <v>55</v>
      </c>
      <c r="C52" s="125">
        <f>1-C51</f>
        <v>0.5</v>
      </c>
    </row>
    <row r="53" spans="2:5">
      <c r="B53" s="65"/>
      <c r="C53" s="126"/>
    </row>
    <row r="54" spans="2:5">
      <c r="B54" s="53" t="s">
        <v>50</v>
      </c>
      <c r="C54" s="126"/>
    </row>
    <row r="55" spans="2:5">
      <c r="B55" s="66" t="s">
        <v>54</v>
      </c>
      <c r="C55" s="124">
        <v>0.5</v>
      </c>
    </row>
    <row r="56" spans="2:5">
      <c r="B56" s="67" t="s">
        <v>55</v>
      </c>
      <c r="C56" s="125">
        <f>1-C55</f>
        <v>0.5</v>
      </c>
    </row>
    <row r="57" spans="2:5" ht="16" thickBot="1">
      <c r="B57" s="68"/>
      <c r="C57" s="69"/>
    </row>
    <row r="58" spans="2:5">
      <c r="E58" s="134"/>
    </row>
    <row r="59" spans="2:5">
      <c r="E59" s="134"/>
    </row>
    <row r="60" spans="2:5">
      <c r="E60" s="134"/>
    </row>
    <row r="61" spans="2:5">
      <c r="D61" s="111"/>
      <c r="E61" s="111"/>
    </row>
    <row r="62" spans="2:5">
      <c r="D62" s="111"/>
      <c r="E62" s="111" t="str">
        <f>CONCATENATE(" c(", TEXT(F11,"0")," ,")</f>
        <v xml:space="preserve"> c(81 ,</v>
      </c>
    </row>
    <row r="63" spans="2:5">
      <c r="D63" s="111"/>
      <c r="E63" s="111"/>
    </row>
    <row r="64" spans="2:5">
      <c r="D64" s="111"/>
      <c r="E64" s="111" t="str">
        <f>CONCATENATE(E62, TEXT(F13,"0")," ,")</f>
        <v xml:space="preserve"> c(81 ,92 ,</v>
      </c>
    </row>
    <row r="65" spans="4:5">
      <c r="D65" s="111"/>
      <c r="E65" s="111" t="str">
        <f>CONCATENATE(E64, TEXT(F14,"0")," ,")</f>
        <v xml:space="preserve"> c(81 ,92 ,26 ,</v>
      </c>
    </row>
    <row r="66" spans="4:5">
      <c r="D66" s="111"/>
      <c r="E66" s="111"/>
    </row>
    <row r="67" spans="4:5">
      <c r="D67" s="111"/>
      <c r="E67" s="111" t="str">
        <f>CONCATENATE(E65, TEXT(F16,"0")," ,")</f>
        <v xml:space="preserve"> c(81 ,92 ,26 ,0 ,</v>
      </c>
    </row>
    <row r="68" spans="4:5">
      <c r="D68" s="111"/>
      <c r="E68" s="111" t="str">
        <f>CONCATENATE(E67, TEXT(F17,"0")," ,")</f>
        <v xml:space="preserve"> c(81 ,92 ,26 ,0 ,0 ,</v>
      </c>
    </row>
    <row r="69" spans="4:5">
      <c r="D69" s="111"/>
      <c r="E69" s="111" t="str">
        <f>CONCATENATE(E68, TEXT(F18,"0")," ,")</f>
        <v xml:space="preserve"> c(81 ,92 ,26 ,0 ,0 ,0 ,</v>
      </c>
    </row>
    <row r="70" spans="4:5">
      <c r="D70" s="111"/>
      <c r="E70" s="111"/>
    </row>
    <row r="71" spans="4:5">
      <c r="D71" s="111"/>
      <c r="E71" s="111" t="str">
        <f>CONCATENATE(E69, TEXT(F20,"0")," ,")</f>
        <v xml:space="preserve"> c(81 ,92 ,26 ,0 ,0 ,0 ,2 ,</v>
      </c>
    </row>
    <row r="72" spans="4:5">
      <c r="D72" s="111"/>
      <c r="E72" s="111" t="str">
        <f>CONCATENATE(E71, TEXT(F21,"0")," ,")</f>
        <v xml:space="preserve"> c(81 ,92 ,26 ,0 ,0 ,0 ,2 ,0 ,</v>
      </c>
    </row>
    <row r="73" spans="4:5">
      <c r="D73" s="111"/>
      <c r="E73" s="111" t="str">
        <f>CONCATENATE(E72, TEXT(F22,"0")," ,")</f>
        <v xml:space="preserve"> c(81 ,92 ,26 ,0 ,0 ,0 ,2 ,0 ,57 ,</v>
      </c>
    </row>
    <row r="74" spans="4:5">
      <c r="D74" s="111"/>
      <c r="E74" s="111" t="str">
        <f>CONCATENATE(E73, TEXT(F23,"0")," ,")</f>
        <v xml:space="preserve"> c(81 ,92 ,26 ,0 ,0 ,0 ,2 ,0 ,57 ,9 ,</v>
      </c>
    </row>
    <row r="75" spans="4:5">
      <c r="D75" s="111"/>
      <c r="E75" s="111"/>
    </row>
    <row r="76" spans="4:5">
      <c r="D76" s="111"/>
      <c r="E76" s="111" t="str">
        <f>CONCATENATE(E74, TEXT(F25,"0")," ,")</f>
        <v xml:space="preserve"> c(81 ,92 ,26 ,0 ,0 ,0 ,2 ,0 ,57 ,9 ,252 ,</v>
      </c>
    </row>
    <row r="77" spans="4:5">
      <c r="D77" s="111"/>
      <c r="E77" s="111" t="str">
        <f>CONCATENATE(E76, TEXT(F26,"0")," ,")</f>
        <v xml:space="preserve"> c(81 ,92 ,26 ,0 ,0 ,0 ,2 ,0 ,57 ,9 ,252 ,0 ,</v>
      </c>
    </row>
    <row r="78" spans="4:5">
      <c r="D78" s="111"/>
      <c r="E78" s="111" t="str">
        <f>CONCATENATE(E77, TEXT(F27,"0")," ,")</f>
        <v xml:space="preserve"> c(81 ,92 ,26 ,0 ,0 ,0 ,2 ,0 ,57 ,9 ,252 ,0 ,7395 ,</v>
      </c>
    </row>
    <row r="79" spans="4:5">
      <c r="D79" s="111"/>
      <c r="E79" s="111" t="str">
        <f>CONCATENATE(E78, TEXT(F28,"0")," ,")</f>
        <v xml:space="preserve"> c(81 ,92 ,26 ,0 ,0 ,0 ,2 ,0 ,57 ,9 ,252 ,0 ,7395 ,0 ,</v>
      </c>
    </row>
    <row r="80" spans="4:5">
      <c r="D80" s="111"/>
      <c r="E80" s="111" t="str">
        <f>CONCATENATE(E79, TEXT(F29,"0")," ,")</f>
        <v xml:space="preserve"> c(81 ,92 ,26 ,0 ,0 ,0 ,2 ,0 ,57 ,9 ,252 ,0 ,7395 ,0 ,0 ,</v>
      </c>
    </row>
    <row r="81" spans="4:5">
      <c r="D81" s="111"/>
      <c r="E81" s="111"/>
    </row>
    <row r="82" spans="4:5">
      <c r="D82" s="111"/>
      <c r="E82" s="111" t="str">
        <f>CONCATENATE(E80, TEXT(F31,"0")," ,")</f>
        <v xml:space="preserve"> c(81 ,92 ,26 ,0 ,0 ,0 ,2 ,0 ,57 ,9 ,252 ,0 ,7395 ,0 ,0 ,0 ,</v>
      </c>
    </row>
    <row r="83" spans="4:5">
      <c r="D83" s="111"/>
      <c r="E83" s="111" t="str">
        <f>CONCATENATE(E82, TEXT(F32,"0")," ,")</f>
        <v xml:space="preserve"> c(81 ,92 ,26 ,0 ,0 ,0 ,2 ,0 ,57 ,9 ,252 ,0 ,7395 ,0 ,0 ,0 ,0 ,</v>
      </c>
    </row>
    <row r="84" spans="4:5">
      <c r="D84" s="111"/>
      <c r="E84" s="111" t="str">
        <f>CONCATENATE(E83, TEXT(F33,"0")," ,")</f>
        <v xml:space="preserve"> c(81 ,92 ,26 ,0 ,0 ,0 ,2 ,0 ,57 ,9 ,252 ,0 ,7395 ,0 ,0 ,0 ,0 ,0 ,</v>
      </c>
    </row>
    <row r="85" spans="4:5">
      <c r="D85" s="111"/>
      <c r="E85" s="111" t="str">
        <f>CONCATENATE(E84, TEXT(F34,"0")," ,")</f>
        <v xml:space="preserve"> c(81 ,92 ,26 ,0 ,0 ,0 ,2 ,0 ,57 ,9 ,252 ,0 ,7395 ,0 ,0 ,0 ,0 ,0 ,41 ,</v>
      </c>
    </row>
    <row r="86" spans="4:5">
      <c r="D86" s="111"/>
      <c r="E86" s="111" t="str">
        <f>CONCATENATE(E85, TEXT(F35,"0")," ,")</f>
        <v xml:space="preserve"> c(81 ,92 ,26 ,0 ,0 ,0 ,2 ,0 ,57 ,9 ,252 ,0 ,7395 ,0 ,0 ,0 ,0 ,0 ,41 ,0 ,</v>
      </c>
    </row>
    <row r="87" spans="4:5">
      <c r="D87" s="111"/>
      <c r="E87" s="111" t="str">
        <f>CONCATENATE(E86, TEXT(F36,"0")," )")</f>
        <v xml:space="preserve"> c(81 ,92 ,26 ,0 ,0 ,0 ,2 ,0 ,57 ,9 ,252 ,0 ,7395 ,0 ,0 ,0 ,0 ,0 ,41 ,0 ,46 )</v>
      </c>
    </row>
    <row r="88" spans="4:5">
      <c r="D88" s="111"/>
      <c r="E88" s="111"/>
    </row>
  </sheetData>
  <mergeCells count="4">
    <mergeCell ref="B49:C49"/>
    <mergeCell ref="B2:C3"/>
    <mergeCell ref="E2:F3"/>
    <mergeCell ref="E42:F43"/>
  </mergeCells>
  <conditionalFormatting sqref="D18">
    <cfRule type="containsText" dxfId="12" priority="19" operator="containsText" text="ERROR">
      <formula>NOT(ISERROR(SEARCH("ERROR",D18)))</formula>
    </cfRule>
  </conditionalFormatting>
  <conditionalFormatting sqref="D13:D14">
    <cfRule type="containsText" dxfId="11" priority="17" operator="containsText" text="ERROR">
      <formula>NOT(ISERROR(SEARCH("ERROR",D13)))</formula>
    </cfRule>
  </conditionalFormatting>
  <conditionalFormatting sqref="D25">
    <cfRule type="containsText" dxfId="10" priority="16" operator="containsText" text="ERROR">
      <formula>NOT(ISERROR(SEARCH("ERROR",D25)))</formula>
    </cfRule>
  </conditionalFormatting>
  <conditionalFormatting sqref="D29">
    <cfRule type="containsText" dxfId="9" priority="15" operator="containsText" text="ERROR">
      <formula>NOT(ISERROR(SEARCH("ERROR",D29)))</formula>
    </cfRule>
  </conditionalFormatting>
  <conditionalFormatting sqref="D33:D34">
    <cfRule type="containsText" dxfId="8" priority="14" operator="containsText" text="ERROR">
      <formula>NOT(ISERROR(SEARCH("ERROR",D33)))</formula>
    </cfRule>
  </conditionalFormatting>
  <conditionalFormatting sqref="D47">
    <cfRule type="containsText" dxfId="7" priority="11" operator="containsText" text="ERROR">
      <formula>NOT(ISERROR(SEARCH("ERROR",D47)))</formula>
    </cfRule>
  </conditionalFormatting>
  <conditionalFormatting sqref="F5:G5">
    <cfRule type="containsText" dxfId="6" priority="9" operator="containsText" text="not balanced">
      <formula>NOT(ISERROR(SEARCH("not balanced",F5)))</formula>
    </cfRule>
    <cfRule type="containsText" dxfId="5" priority="10" operator="containsText" text="Balanced">
      <formula>NOT(ISERROR(SEARCH("Balanced",F5)))</formula>
    </cfRule>
  </conditionalFormatting>
  <conditionalFormatting sqref="F6:G7">
    <cfRule type="notContainsBlanks" dxfId="4" priority="5">
      <formula>LEN(TRIM(F6))&gt;0</formula>
    </cfRule>
    <cfRule type="containsText" dxfId="3" priority="6" operator="containsText" text="  ">
      <formula>NOT(ISERROR(SEARCH("  ",F6)))</formula>
    </cfRule>
  </conditionalFormatting>
  <conditionalFormatting sqref="F41:G41">
    <cfRule type="containsText" dxfId="2" priority="3" operator="containsText" text="not balanced">
      <formula>NOT(ISERROR(SEARCH("not balanced",F41)))</formula>
    </cfRule>
    <cfRule type="containsText" dxfId="1" priority="4" operator="containsText" text="Balanced">
      <formula>NOT(ISERROR(SEARCH("Balanced",F41)))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C55A-BE5F-CA4B-AE59-DA3F3DD2D3EF}">
  <dimension ref="A1:Q97"/>
  <sheetViews>
    <sheetView topLeftCell="A33" zoomScale="102" workbookViewId="0">
      <selection activeCell="M60" sqref="J34:M60"/>
    </sheetView>
  </sheetViews>
  <sheetFormatPr baseColWidth="10" defaultRowHeight="16"/>
  <cols>
    <col min="1" max="1" width="23" bestFit="1" customWidth="1"/>
    <col min="10" max="10" width="18.5" customWidth="1"/>
    <col min="11" max="11" width="19.6640625" bestFit="1" customWidth="1"/>
    <col min="12" max="12" width="11.1640625" bestFit="1" customWidth="1"/>
    <col min="13" max="13" width="14.33203125" customWidth="1"/>
    <col min="15" max="15" width="20.1640625" bestFit="1" customWidth="1"/>
  </cols>
  <sheetData>
    <row r="1" spans="1:17">
      <c r="B1" s="142" t="s">
        <v>96</v>
      </c>
      <c r="C1" s="142" t="s">
        <v>97</v>
      </c>
      <c r="D1" s="142" t="s">
        <v>98</v>
      </c>
    </row>
    <row r="2" spans="1:17">
      <c r="A2" s="142" t="s">
        <v>94</v>
      </c>
      <c r="B2" s="143" t="s">
        <v>95</v>
      </c>
      <c r="C2" s="143" t="s">
        <v>95</v>
      </c>
      <c r="D2" s="143" t="s">
        <v>95</v>
      </c>
    </row>
    <row r="3" spans="1:17">
      <c r="A3" s="143" t="s">
        <v>95</v>
      </c>
    </row>
    <row r="4" spans="1:17">
      <c r="A4" s="144" t="s">
        <v>99</v>
      </c>
      <c r="B4" s="144">
        <v>8000</v>
      </c>
      <c r="C4" s="144">
        <v>8061.6252500000001</v>
      </c>
      <c r="D4" s="144">
        <v>0.77031559999999999</v>
      </c>
      <c r="E4" s="144">
        <v>95.350313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P4" t="s">
        <v>140</v>
      </c>
    </row>
    <row r="5" spans="1:17">
      <c r="A5" s="144" t="s">
        <v>100</v>
      </c>
      <c r="B5" s="145" t="s">
        <v>101</v>
      </c>
      <c r="C5" s="144">
        <v>3894.663</v>
      </c>
      <c r="D5" s="145" t="s">
        <v>101</v>
      </c>
      <c r="E5" s="144">
        <v>73.717444</v>
      </c>
      <c r="I5" t="s">
        <v>129</v>
      </c>
      <c r="J5">
        <f>10000*0.06</f>
        <v>600</v>
      </c>
      <c r="K5">
        <f>J5+J6+J8</f>
        <v>10400</v>
      </c>
      <c r="L5" s="141">
        <f>K5/SUM($J$5:$J$10)</f>
        <v>0.52</v>
      </c>
      <c r="M5" s="4">
        <f>J5*Intro!D31</f>
        <v>507</v>
      </c>
      <c r="N5" s="141">
        <f>M5/K5</f>
        <v>4.8750000000000002E-2</v>
      </c>
      <c r="O5" s="3">
        <f>C27</f>
        <v>532.11599999999999</v>
      </c>
      <c r="P5" s="141">
        <f>O5/SUM($O$5:$O$10)</f>
        <v>6.4401506690941052E-2</v>
      </c>
      <c r="Q5" s="141">
        <f>M5/(SUM($M$5:$M$10))</f>
        <v>3.1685123615728818E-2</v>
      </c>
    </row>
    <row r="6" spans="1:17">
      <c r="A6" s="144" t="s">
        <v>102</v>
      </c>
      <c r="B6" s="145" t="s">
        <v>101</v>
      </c>
      <c r="C6" s="144">
        <v>14.08625</v>
      </c>
      <c r="D6" s="145" t="s">
        <v>101</v>
      </c>
      <c r="E6" s="144">
        <v>3.6714000000000002</v>
      </c>
      <c r="I6" t="s">
        <v>130</v>
      </c>
      <c r="J6">
        <f>10000*0.02</f>
        <v>200</v>
      </c>
      <c r="K6">
        <f>J6+J5</f>
        <v>800</v>
      </c>
      <c r="L6" s="141">
        <f t="shared" ref="L6:L10" si="0">K6/SUM($J$5:$J$10)</f>
        <v>0.04</v>
      </c>
      <c r="M6" s="146">
        <f>J6*Intro!D23</f>
        <v>145</v>
      </c>
      <c r="N6" s="141">
        <f t="shared" ref="N6:N10" si="1">M6/K6</f>
        <v>0.18124999999999999</v>
      </c>
      <c r="O6" s="3">
        <f t="shared" ref="O6:O9" si="2">C28</f>
        <v>14.28525</v>
      </c>
      <c r="P6" s="147">
        <f>O6/SUM($O$5:$O$10)</f>
        <v>1.7289305780257796E-3</v>
      </c>
      <c r="Q6" s="141">
        <f t="shared" ref="Q6:Q9" si="3">M6/(SUM($M$5:$M$10))</f>
        <v>9.061820363472738E-3</v>
      </c>
    </row>
    <row r="7" spans="1:17">
      <c r="A7" s="144" t="s">
        <v>103</v>
      </c>
      <c r="B7" s="145" t="s">
        <v>101</v>
      </c>
      <c r="C7" s="144">
        <v>10.59675</v>
      </c>
      <c r="D7" s="145" t="s">
        <v>101</v>
      </c>
      <c r="E7" s="144">
        <v>2.9290419999999999</v>
      </c>
      <c r="I7" t="s">
        <v>131</v>
      </c>
      <c r="J7">
        <f>10000*0.92</f>
        <v>9200</v>
      </c>
      <c r="K7">
        <f>J8+J10</f>
        <v>9800</v>
      </c>
      <c r="L7" s="141">
        <f t="shared" si="0"/>
        <v>0.49</v>
      </c>
      <c r="M7" s="146">
        <f>Intro!D27*J7</f>
        <v>7452.0000000000009</v>
      </c>
      <c r="N7" s="141">
        <f t="shared" si="1"/>
        <v>0.76040816326530625</v>
      </c>
      <c r="O7" s="3"/>
      <c r="P7" s="141"/>
      <c r="Q7" s="141">
        <f t="shared" si="3"/>
        <v>0.46571507136964724</v>
      </c>
    </row>
    <row r="8" spans="1:17">
      <c r="A8" s="144" t="s">
        <v>104</v>
      </c>
      <c r="B8" s="145" t="s">
        <v>101</v>
      </c>
      <c r="C8" s="144">
        <v>1.8442499999999999</v>
      </c>
      <c r="D8" s="145" t="s">
        <v>101</v>
      </c>
      <c r="E8" s="144">
        <v>1.543887</v>
      </c>
      <c r="I8" t="s">
        <v>132</v>
      </c>
      <c r="J8">
        <f>10000*0.96</f>
        <v>9600</v>
      </c>
      <c r="K8">
        <f>J7+J5</f>
        <v>9800</v>
      </c>
      <c r="L8" s="141">
        <f t="shared" si="0"/>
        <v>0.49</v>
      </c>
      <c r="M8" s="4">
        <f>J8*Intro!D41</f>
        <v>7646.4</v>
      </c>
      <c r="N8" s="141">
        <f t="shared" si="1"/>
        <v>0.78024489795918361</v>
      </c>
      <c r="O8" s="3">
        <f>C29</f>
        <v>7534.7352499999997</v>
      </c>
      <c r="P8" s="141">
        <f t="shared" ref="P8:P10" si="4">O8/SUM($O$5:$O$10)</f>
        <v>0.91192202943971701</v>
      </c>
      <c r="Q8" s="141">
        <f t="shared" si="3"/>
        <v>0.47786416018798578</v>
      </c>
    </row>
    <row r="9" spans="1:17">
      <c r="A9" s="144" t="s">
        <v>105</v>
      </c>
      <c r="B9" s="144">
        <v>0</v>
      </c>
      <c r="C9" s="144">
        <v>0</v>
      </c>
      <c r="D9" s="144" t="s">
        <v>106</v>
      </c>
      <c r="E9" s="144">
        <v>0</v>
      </c>
      <c r="I9" t="s">
        <v>133</v>
      </c>
      <c r="J9">
        <f>10000*0.02</f>
        <v>200</v>
      </c>
      <c r="K9">
        <f>J9+J10</f>
        <v>400</v>
      </c>
      <c r="L9" s="141">
        <f t="shared" si="0"/>
        <v>0.02</v>
      </c>
      <c r="M9" s="4">
        <f>J9*Intro!D37</f>
        <v>132.19999999999999</v>
      </c>
      <c r="N9" s="141">
        <f t="shared" si="1"/>
        <v>0.33049999999999996</v>
      </c>
      <c r="O9" s="3">
        <f t="shared" si="2"/>
        <v>6.8322500000000002</v>
      </c>
      <c r="P9" s="147">
        <f t="shared" si="4"/>
        <v>8.2690089019909574E-4</v>
      </c>
      <c r="Q9" s="141">
        <f t="shared" si="3"/>
        <v>8.2618803589730744E-3</v>
      </c>
    </row>
    <row r="10" spans="1:17">
      <c r="A10" s="144" t="s">
        <v>107</v>
      </c>
      <c r="B10" s="144">
        <v>0</v>
      </c>
      <c r="C10" s="144">
        <v>0</v>
      </c>
      <c r="D10" s="144" t="s">
        <v>106</v>
      </c>
      <c r="E10" s="144">
        <v>0</v>
      </c>
      <c r="I10" t="s">
        <v>134</v>
      </c>
      <c r="J10">
        <f>10000*0.02</f>
        <v>200</v>
      </c>
      <c r="K10">
        <f>J10+J9+J7+J5</f>
        <v>10200</v>
      </c>
      <c r="L10" s="141">
        <f t="shared" si="0"/>
        <v>0.51</v>
      </c>
      <c r="M10" s="4">
        <f>J10*Intro!D45</f>
        <v>118.6</v>
      </c>
      <c r="N10" s="141">
        <f t="shared" si="1"/>
        <v>1.1627450980392156E-2</v>
      </c>
      <c r="O10" s="3">
        <f>C30</f>
        <v>174.50874999999999</v>
      </c>
      <c r="P10" s="141">
        <f t="shared" si="4"/>
        <v>2.1120632401116973E-2</v>
      </c>
      <c r="Q10" s="141">
        <f>M10/(SUM($M$5:$M$10))</f>
        <v>7.4119441041921837E-3</v>
      </c>
    </row>
    <row r="11" spans="1:17">
      <c r="A11" s="144" t="s">
        <v>108</v>
      </c>
      <c r="B11" s="144">
        <v>0</v>
      </c>
      <c r="C11" s="144">
        <v>0</v>
      </c>
      <c r="D11" s="144" t="s">
        <v>106</v>
      </c>
      <c r="E11" s="144">
        <v>0</v>
      </c>
    </row>
    <row r="12" spans="1:17">
      <c r="A12" s="144" t="s">
        <v>109</v>
      </c>
      <c r="B12" s="145" t="s">
        <v>101</v>
      </c>
      <c r="C12" s="144">
        <v>10.630750000000001</v>
      </c>
      <c r="D12" s="145" t="s">
        <v>101</v>
      </c>
      <c r="E12" s="144">
        <v>2.8322090000000002</v>
      </c>
    </row>
    <row r="13" spans="1:17">
      <c r="A13" s="144" t="s">
        <v>110</v>
      </c>
      <c r="B13" s="144">
        <v>0</v>
      </c>
      <c r="C13" s="144">
        <v>0</v>
      </c>
      <c r="D13" s="144" t="s">
        <v>106</v>
      </c>
      <c r="E13" s="144">
        <v>0</v>
      </c>
    </row>
    <row r="14" spans="1:17">
      <c r="A14" s="144" t="s">
        <v>111</v>
      </c>
      <c r="B14" s="145" t="s">
        <v>101</v>
      </c>
      <c r="C14" s="144">
        <v>156.67824999999999</v>
      </c>
      <c r="D14" s="145" t="s">
        <v>101</v>
      </c>
      <c r="E14" s="144">
        <v>10.71697</v>
      </c>
    </row>
    <row r="15" spans="1:17">
      <c r="A15" s="144" t="s">
        <v>112</v>
      </c>
      <c r="B15" s="145" t="s">
        <v>101</v>
      </c>
      <c r="C15" s="144">
        <v>1.8574999999999999</v>
      </c>
      <c r="D15" s="145" t="s">
        <v>101</v>
      </c>
      <c r="E15" s="144">
        <v>1.4535210000000001</v>
      </c>
    </row>
    <row r="16" spans="1:17">
      <c r="A16" s="144" t="s">
        <v>113</v>
      </c>
      <c r="B16" s="145" t="s">
        <v>101</v>
      </c>
      <c r="C16" s="144">
        <v>482.71600000000001</v>
      </c>
      <c r="D16" s="145" t="s">
        <v>101</v>
      </c>
      <c r="E16" s="144">
        <v>17.173383000000001</v>
      </c>
    </row>
    <row r="17" spans="1:16">
      <c r="A17" s="144" t="s">
        <v>114</v>
      </c>
      <c r="B17" s="144">
        <v>0</v>
      </c>
      <c r="C17" s="144">
        <v>0</v>
      </c>
      <c r="D17" s="144" t="s">
        <v>106</v>
      </c>
      <c r="E17" s="144">
        <v>0</v>
      </c>
    </row>
    <row r="18" spans="1:16">
      <c r="A18" s="144" t="s">
        <v>115</v>
      </c>
      <c r="B18" s="145" t="s">
        <v>101</v>
      </c>
      <c r="C18" s="144">
        <v>7378.0569999999998</v>
      </c>
      <c r="D18" s="145" t="s">
        <v>101</v>
      </c>
      <c r="E18" s="144">
        <v>93.676643999999996</v>
      </c>
      <c r="M18" s="5"/>
      <c r="N18" s="5"/>
      <c r="O18" s="5"/>
      <c r="P18" s="5"/>
    </row>
    <row r="19" spans="1:16">
      <c r="A19" s="144" t="s">
        <v>116</v>
      </c>
      <c r="B19" s="144">
        <v>0</v>
      </c>
      <c r="C19" s="144">
        <v>0</v>
      </c>
      <c r="D19" s="144" t="s">
        <v>106</v>
      </c>
      <c r="E19" s="144">
        <v>0</v>
      </c>
      <c r="M19" s="5"/>
      <c r="N19" s="5"/>
      <c r="O19" s="5"/>
      <c r="P19" s="5"/>
    </row>
    <row r="20" spans="1:16" ht="23">
      <c r="A20" s="144" t="s">
        <v>117</v>
      </c>
      <c r="B20" s="144">
        <v>0</v>
      </c>
      <c r="C20" s="144">
        <v>0</v>
      </c>
      <c r="D20" s="144" t="s">
        <v>106</v>
      </c>
      <c r="E20" s="144">
        <v>0</v>
      </c>
      <c r="M20" s="165"/>
      <c r="N20" s="165"/>
      <c r="O20" s="166"/>
      <c r="P20" s="5"/>
    </row>
    <row r="21" spans="1:16" ht="23">
      <c r="A21" s="144" t="s">
        <v>118</v>
      </c>
      <c r="B21" s="144">
        <v>0</v>
      </c>
      <c r="C21" s="144">
        <v>0</v>
      </c>
      <c r="D21" s="144" t="s">
        <v>106</v>
      </c>
      <c r="E21" s="144">
        <v>0</v>
      </c>
      <c r="M21" s="167"/>
      <c r="N21" s="168"/>
      <c r="O21" s="166"/>
      <c r="P21" s="5"/>
    </row>
    <row r="22" spans="1:16" ht="23">
      <c r="A22" s="144" t="s">
        <v>119</v>
      </c>
      <c r="B22" s="144">
        <v>0</v>
      </c>
      <c r="C22" s="144">
        <v>0</v>
      </c>
      <c r="D22" s="144" t="s">
        <v>106</v>
      </c>
      <c r="E22" s="144">
        <v>0</v>
      </c>
      <c r="M22" s="165"/>
      <c r="N22" s="165"/>
      <c r="O22" s="166"/>
      <c r="P22" s="5"/>
    </row>
    <row r="23" spans="1:16" ht="23">
      <c r="A23" s="144" t="s">
        <v>120</v>
      </c>
      <c r="B23" s="144">
        <v>0</v>
      </c>
      <c r="C23" s="144">
        <v>0</v>
      </c>
      <c r="D23" s="144" t="s">
        <v>106</v>
      </c>
      <c r="E23" s="144">
        <v>0</v>
      </c>
      <c r="M23" s="165"/>
      <c r="N23" s="165"/>
      <c r="O23" s="166"/>
      <c r="P23" s="5"/>
    </row>
    <row r="24" spans="1:16" ht="23">
      <c r="A24" s="144" t="s">
        <v>121</v>
      </c>
      <c r="B24" s="145" t="s">
        <v>101</v>
      </c>
      <c r="C24" s="144">
        <v>3.48475</v>
      </c>
      <c r="D24" s="145" t="s">
        <v>101</v>
      </c>
      <c r="E24" s="144">
        <v>2.0148899999999998</v>
      </c>
      <c r="M24" s="167"/>
      <c r="N24" s="169"/>
      <c r="O24" s="166"/>
      <c r="P24" s="5"/>
    </row>
    <row r="25" spans="1:16" ht="23">
      <c r="A25" s="144" t="s">
        <v>122</v>
      </c>
      <c r="B25" s="144">
        <v>0</v>
      </c>
      <c r="C25" s="144">
        <v>0</v>
      </c>
      <c r="D25" s="144" t="s">
        <v>106</v>
      </c>
      <c r="E25" s="144">
        <v>0</v>
      </c>
      <c r="M25" s="165"/>
      <c r="N25" s="165"/>
      <c r="O25" s="166"/>
      <c r="P25" s="5"/>
    </row>
    <row r="26" spans="1:16" ht="23">
      <c r="A26" s="144" t="s">
        <v>123</v>
      </c>
      <c r="B26" s="145" t="s">
        <v>101</v>
      </c>
      <c r="C26" s="144">
        <v>1.6737500000000001</v>
      </c>
      <c r="D26" s="145" t="s">
        <v>101</v>
      </c>
      <c r="E26" s="144">
        <v>1.2941130000000001</v>
      </c>
      <c r="M26" s="165"/>
      <c r="N26" s="165"/>
      <c r="O26" s="166"/>
      <c r="P26" s="5"/>
    </row>
    <row r="27" spans="1:16" ht="23">
      <c r="A27" s="144" t="s">
        <v>124</v>
      </c>
      <c r="B27" s="145" t="s">
        <v>101</v>
      </c>
      <c r="C27" s="144">
        <v>532.11599999999999</v>
      </c>
      <c r="D27" s="145" t="s">
        <v>101</v>
      </c>
      <c r="E27" s="144">
        <v>19.132460999999999</v>
      </c>
      <c r="M27" s="165"/>
      <c r="N27" s="170"/>
      <c r="O27" s="166"/>
      <c r="P27" s="5"/>
    </row>
    <row r="28" spans="1:16" ht="23">
      <c r="A28" s="144" t="s">
        <v>125</v>
      </c>
      <c r="B28" s="145" t="s">
        <v>101</v>
      </c>
      <c r="C28" s="144">
        <v>14.28525</v>
      </c>
      <c r="D28" s="145" t="s">
        <v>101</v>
      </c>
      <c r="E28" s="144">
        <v>3.934177</v>
      </c>
      <c r="M28" s="167"/>
      <c r="N28" s="169"/>
      <c r="O28" s="166"/>
      <c r="P28" s="5"/>
    </row>
    <row r="29" spans="1:16" ht="23">
      <c r="A29" s="144" t="s">
        <v>126</v>
      </c>
      <c r="B29" s="145" t="s">
        <v>101</v>
      </c>
      <c r="C29" s="144">
        <v>7534.7352499999997</v>
      </c>
      <c r="D29" s="145" t="s">
        <v>101</v>
      </c>
      <c r="E29" s="144">
        <v>93.109283000000005</v>
      </c>
      <c r="M29" s="165"/>
      <c r="N29" s="165"/>
      <c r="O29" s="166"/>
      <c r="P29" s="5"/>
    </row>
    <row r="30" spans="1:16" ht="23">
      <c r="A30" s="144" t="s">
        <v>127</v>
      </c>
      <c r="B30" s="145" t="s">
        <v>101</v>
      </c>
      <c r="C30" s="144">
        <v>174.50874999999999</v>
      </c>
      <c r="D30" s="145" t="s">
        <v>101</v>
      </c>
      <c r="E30" s="144">
        <v>10.646537</v>
      </c>
      <c r="M30" s="165"/>
      <c r="N30" s="165"/>
      <c r="O30" s="166"/>
      <c r="P30" s="5"/>
    </row>
    <row r="31" spans="1:16" ht="23">
      <c r="A31" s="144" t="s">
        <v>128</v>
      </c>
      <c r="B31" s="145" t="s">
        <v>101</v>
      </c>
      <c r="C31" s="144">
        <v>6.8322500000000002</v>
      </c>
      <c r="D31" s="145" t="s">
        <v>101</v>
      </c>
      <c r="E31" s="144">
        <v>3.5824319999999998</v>
      </c>
      <c r="M31" s="165"/>
      <c r="N31" s="165"/>
      <c r="O31" s="166"/>
      <c r="P31" s="5"/>
    </row>
    <row r="32" spans="1:16" ht="23">
      <c r="M32" s="165"/>
      <c r="N32" s="165"/>
      <c r="O32" s="166"/>
      <c r="P32" s="5"/>
    </row>
    <row r="33" spans="1:16" ht="24" thickBot="1">
      <c r="M33" s="167"/>
      <c r="N33" s="169"/>
      <c r="O33" s="166"/>
      <c r="P33" s="5"/>
    </row>
    <row r="34" spans="1:16" ht="58">
      <c r="J34" s="172" t="s">
        <v>64</v>
      </c>
      <c r="K34" s="173" t="s">
        <v>141</v>
      </c>
      <c r="L34" s="173" t="s">
        <v>142</v>
      </c>
      <c r="M34" s="174" t="s">
        <v>143</v>
      </c>
      <c r="N34" s="165"/>
      <c r="O34" s="166"/>
      <c r="P34" s="5"/>
    </row>
    <row r="35" spans="1:16" ht="23">
      <c r="J35" s="175" t="s">
        <v>144</v>
      </c>
      <c r="K35" s="165">
        <v>80.599999999999994</v>
      </c>
      <c r="L35" s="171">
        <v>63.890749999999997</v>
      </c>
      <c r="M35" s="176">
        <f>(L35-K35)/K35</f>
        <v>-0.20731079404466499</v>
      </c>
      <c r="N35" s="165"/>
      <c r="O35" s="166"/>
      <c r="P35" s="5"/>
    </row>
    <row r="36" spans="1:16" ht="23">
      <c r="A36" s="164"/>
      <c r="B36" s="142" t="s">
        <v>94</v>
      </c>
      <c r="C36" s="142" t="s">
        <v>96</v>
      </c>
      <c r="D36" s="142" t="s">
        <v>97</v>
      </c>
      <c r="E36" s="142" t="s">
        <v>98</v>
      </c>
      <c r="J36" s="177"/>
      <c r="K36" s="167"/>
      <c r="L36" s="185"/>
      <c r="M36" s="176"/>
      <c r="N36" s="165"/>
      <c r="O36" s="166"/>
      <c r="P36" s="5"/>
    </row>
    <row r="37" spans="1:16" ht="23">
      <c r="A37" s="164"/>
      <c r="B37" s="143" t="s">
        <v>95</v>
      </c>
      <c r="C37" s="143" t="s">
        <v>95</v>
      </c>
      <c r="D37" s="143" t="s">
        <v>95</v>
      </c>
      <c r="E37" s="143" t="s">
        <v>95</v>
      </c>
      <c r="J37" s="178" t="s">
        <v>145</v>
      </c>
      <c r="K37" s="165">
        <v>92.2</v>
      </c>
      <c r="L37" s="171">
        <v>81.270750000000007</v>
      </c>
      <c r="M37" s="187">
        <f t="shared" ref="M36:M60" si="5">(L37-K37)/K37</f>
        <v>-0.11853850325379604</v>
      </c>
      <c r="N37" s="165"/>
      <c r="O37" s="166"/>
      <c r="P37" s="5"/>
    </row>
    <row r="38" spans="1:16" ht="23">
      <c r="A38" s="144" t="s">
        <v>99</v>
      </c>
      <c r="B38" s="144">
        <v>8000</v>
      </c>
      <c r="C38" s="144">
        <v>7783.1895000000004</v>
      </c>
      <c r="D38" s="144">
        <v>-2.7101310000000001</v>
      </c>
      <c r="E38" s="144">
        <v>51.8414407</v>
      </c>
      <c r="J38" s="179" t="s">
        <v>146</v>
      </c>
      <c r="K38" s="165">
        <v>26.4</v>
      </c>
      <c r="L38" s="171">
        <v>13.16175</v>
      </c>
      <c r="M38" s="176">
        <f t="shared" si="5"/>
        <v>-0.50144886363636365</v>
      </c>
      <c r="N38" s="165"/>
      <c r="O38" s="166"/>
      <c r="P38" s="5"/>
    </row>
    <row r="39" spans="1:16" ht="23">
      <c r="A39" s="144" t="s">
        <v>100</v>
      </c>
      <c r="B39" s="144">
        <v>260</v>
      </c>
      <c r="C39" s="144">
        <v>244.24850000000001</v>
      </c>
      <c r="D39" s="144">
        <v>-6.0582690000000001</v>
      </c>
      <c r="E39" s="144">
        <v>19.211038899999998</v>
      </c>
      <c r="J39" s="175"/>
      <c r="K39" s="167"/>
      <c r="L39" s="185"/>
      <c r="M39" s="176"/>
      <c r="N39" s="169"/>
      <c r="O39" s="166"/>
      <c r="P39" s="5"/>
    </row>
    <row r="40" spans="1:16" ht="23">
      <c r="A40" s="144" t="s">
        <v>102</v>
      </c>
      <c r="B40" s="145" t="s">
        <v>101</v>
      </c>
      <c r="C40" s="144">
        <v>13.32775</v>
      </c>
      <c r="D40" s="145" t="s">
        <v>101</v>
      </c>
      <c r="E40" s="144">
        <v>3.1001181999999998</v>
      </c>
      <c r="J40" s="180" t="s">
        <v>147</v>
      </c>
      <c r="K40" s="165">
        <v>0</v>
      </c>
      <c r="L40" s="171">
        <v>0</v>
      </c>
      <c r="M40" s="176"/>
      <c r="N40" s="165"/>
      <c r="O40" s="166"/>
      <c r="P40" s="5"/>
    </row>
    <row r="41" spans="1:16" ht="23">
      <c r="A41" s="144" t="s">
        <v>103</v>
      </c>
      <c r="B41" s="145" t="s">
        <v>101</v>
      </c>
      <c r="C41" s="144">
        <v>45.530999999999999</v>
      </c>
      <c r="D41" s="145" t="s">
        <v>101</v>
      </c>
      <c r="E41" s="144">
        <v>5.7563724000000001</v>
      </c>
      <c r="J41" s="177" t="s">
        <v>148</v>
      </c>
      <c r="K41" s="165">
        <v>0</v>
      </c>
      <c r="L41" s="171">
        <v>0</v>
      </c>
      <c r="M41" s="176"/>
      <c r="N41" s="165"/>
      <c r="O41" s="166"/>
      <c r="P41" s="5"/>
    </row>
    <row r="42" spans="1:16" ht="23">
      <c r="A42" s="144" t="s">
        <v>104</v>
      </c>
      <c r="B42" s="145" t="s">
        <v>101</v>
      </c>
      <c r="C42" s="144">
        <v>26.10575</v>
      </c>
      <c r="D42" s="145" t="s">
        <v>101</v>
      </c>
      <c r="E42" s="144">
        <v>6.2836245999999996</v>
      </c>
      <c r="J42" s="177" t="s">
        <v>149</v>
      </c>
      <c r="K42" s="165">
        <v>0</v>
      </c>
      <c r="L42" s="171">
        <v>0</v>
      </c>
      <c r="M42" s="176"/>
      <c r="N42" s="165"/>
      <c r="O42" s="166"/>
      <c r="P42" s="5"/>
    </row>
    <row r="43" spans="1:16" ht="23">
      <c r="A43" s="144" t="s">
        <v>105</v>
      </c>
      <c r="B43" s="144">
        <v>0</v>
      </c>
      <c r="C43" s="144">
        <v>0</v>
      </c>
      <c r="D43" s="144" t="s">
        <v>106</v>
      </c>
      <c r="E43" s="144">
        <v>0</v>
      </c>
      <c r="J43" s="177"/>
      <c r="K43" s="167"/>
      <c r="L43" s="185"/>
      <c r="M43" s="176"/>
      <c r="N43" s="165"/>
      <c r="O43" s="166"/>
      <c r="P43" s="5"/>
    </row>
    <row r="44" spans="1:16" ht="23">
      <c r="A44" s="144" t="s">
        <v>107</v>
      </c>
      <c r="B44" s="144">
        <v>0</v>
      </c>
      <c r="C44" s="144">
        <v>0</v>
      </c>
      <c r="D44" s="144" t="s">
        <v>106</v>
      </c>
      <c r="E44" s="144">
        <v>0</v>
      </c>
      <c r="J44" s="175" t="s">
        <v>150</v>
      </c>
      <c r="K44" s="165">
        <v>1.9</v>
      </c>
      <c r="L44" s="171">
        <v>1.5609999999999999</v>
      </c>
      <c r="M44" s="187">
        <f t="shared" si="5"/>
        <v>-0.17842105263157895</v>
      </c>
      <c r="N44" s="165"/>
      <c r="O44" s="166"/>
      <c r="P44" s="5"/>
    </row>
    <row r="45" spans="1:16" ht="23">
      <c r="A45" s="144" t="s">
        <v>108</v>
      </c>
      <c r="B45" s="144">
        <v>0</v>
      </c>
      <c r="C45" s="144">
        <v>0</v>
      </c>
      <c r="D45" s="144" t="s">
        <v>106</v>
      </c>
      <c r="E45" s="144">
        <v>0</v>
      </c>
      <c r="J45" s="175" t="s">
        <v>151</v>
      </c>
      <c r="K45" s="165">
        <v>0</v>
      </c>
      <c r="L45" s="171">
        <v>0</v>
      </c>
      <c r="M45" s="176"/>
      <c r="N45" s="165"/>
      <c r="O45" s="166"/>
      <c r="P45" s="5"/>
    </row>
    <row r="46" spans="1:16" ht="19">
      <c r="A46" s="144" t="s">
        <v>109</v>
      </c>
      <c r="B46" s="145" t="s">
        <v>101</v>
      </c>
      <c r="C46" s="144">
        <v>7.2675000000000001</v>
      </c>
      <c r="D46" s="145" t="s">
        <v>101</v>
      </c>
      <c r="E46" s="144">
        <v>2.4829387999999999</v>
      </c>
      <c r="J46" s="175" t="s">
        <v>152</v>
      </c>
      <c r="K46" s="165">
        <v>57.4</v>
      </c>
      <c r="L46" s="171">
        <v>56.825499999999998</v>
      </c>
      <c r="M46" s="187">
        <f t="shared" si="5"/>
        <v>-1.0008710801393737E-2</v>
      </c>
      <c r="N46" s="5"/>
      <c r="O46" s="5"/>
      <c r="P46" s="5"/>
    </row>
    <row r="47" spans="1:16" ht="19">
      <c r="A47" s="144" t="s">
        <v>110</v>
      </c>
      <c r="B47" s="144">
        <v>0</v>
      </c>
      <c r="C47" s="144">
        <v>0</v>
      </c>
      <c r="D47" s="144" t="s">
        <v>106</v>
      </c>
      <c r="E47" s="144">
        <v>0</v>
      </c>
      <c r="J47" s="175" t="s">
        <v>153</v>
      </c>
      <c r="K47" s="165">
        <v>9.1999999999999993</v>
      </c>
      <c r="L47" s="171">
        <v>8.3185000000000002</v>
      </c>
      <c r="M47" s="187">
        <f t="shared" si="5"/>
        <v>-9.5815217391304247E-2</v>
      </c>
    </row>
    <row r="48" spans="1:16" ht="18">
      <c r="A48" s="144" t="s">
        <v>111</v>
      </c>
      <c r="B48" s="145" t="s">
        <v>101</v>
      </c>
      <c r="C48" s="144">
        <v>109.07025</v>
      </c>
      <c r="D48" s="145" t="s">
        <v>101</v>
      </c>
      <c r="E48" s="144">
        <v>7.4068906999999999</v>
      </c>
      <c r="J48" s="175"/>
      <c r="K48" s="167"/>
      <c r="L48" s="185"/>
      <c r="M48" s="176"/>
    </row>
    <row r="49" spans="1:13" ht="19">
      <c r="A49" s="144" t="s">
        <v>112</v>
      </c>
      <c r="B49" s="145" t="s">
        <v>101</v>
      </c>
      <c r="C49" s="144">
        <v>0.57250000000000001</v>
      </c>
      <c r="D49" s="145" t="s">
        <v>101</v>
      </c>
      <c r="E49" s="144">
        <v>0.69416440000000001</v>
      </c>
      <c r="J49" s="179" t="s">
        <v>154</v>
      </c>
      <c r="K49" s="165">
        <v>251.5</v>
      </c>
      <c r="L49" s="171">
        <v>242.8115</v>
      </c>
      <c r="M49" s="187">
        <f t="shared" si="5"/>
        <v>-3.4546719681908568E-2</v>
      </c>
    </row>
    <row r="50" spans="1:13" ht="19">
      <c r="A50" s="144" t="s">
        <v>113</v>
      </c>
      <c r="B50" s="145" t="s">
        <v>101</v>
      </c>
      <c r="C50" s="144">
        <v>451.42124999999999</v>
      </c>
      <c r="D50" s="145" t="s">
        <v>101</v>
      </c>
      <c r="E50" s="144">
        <v>18.905347200000001</v>
      </c>
      <c r="J50" s="179" t="s">
        <v>155</v>
      </c>
      <c r="K50" s="165">
        <v>0</v>
      </c>
      <c r="L50" s="171">
        <v>0</v>
      </c>
      <c r="M50" s="176"/>
    </row>
    <row r="51" spans="1:13" ht="19">
      <c r="A51" s="144" t="s">
        <v>114</v>
      </c>
      <c r="B51" s="144">
        <v>0</v>
      </c>
      <c r="C51" s="144">
        <v>0</v>
      </c>
      <c r="D51" s="144" t="s">
        <v>106</v>
      </c>
      <c r="E51" s="144">
        <v>0</v>
      </c>
      <c r="J51" s="179" t="s">
        <v>156</v>
      </c>
      <c r="K51" s="165">
        <v>7394.7</v>
      </c>
      <c r="L51" s="171">
        <v>7421.77675</v>
      </c>
      <c r="M51" s="186">
        <f t="shared" si="5"/>
        <v>3.6616427982203706E-3</v>
      </c>
    </row>
    <row r="52" spans="1:13" ht="19">
      <c r="A52" s="144" t="s">
        <v>115</v>
      </c>
      <c r="B52" s="145" t="s">
        <v>101</v>
      </c>
      <c r="C52" s="144">
        <v>7090.8827499999998</v>
      </c>
      <c r="D52" s="145" t="s">
        <v>101</v>
      </c>
      <c r="E52" s="144">
        <v>45.296378900000001</v>
      </c>
      <c r="J52" s="178" t="s">
        <v>157</v>
      </c>
      <c r="K52" s="165">
        <v>0</v>
      </c>
      <c r="L52" s="171">
        <v>0</v>
      </c>
      <c r="M52" s="176"/>
    </row>
    <row r="53" spans="1:13" ht="19">
      <c r="A53" s="144" t="s">
        <v>116</v>
      </c>
      <c r="B53" s="144">
        <v>0</v>
      </c>
      <c r="C53" s="144">
        <v>0</v>
      </c>
      <c r="D53" s="144" t="s">
        <v>106</v>
      </c>
      <c r="E53" s="144">
        <v>0</v>
      </c>
      <c r="J53" s="179" t="s">
        <v>158</v>
      </c>
      <c r="K53" s="165">
        <v>0</v>
      </c>
      <c r="L53" s="171">
        <v>0</v>
      </c>
      <c r="M53" s="176"/>
    </row>
    <row r="54" spans="1:13" ht="18">
      <c r="A54" s="144" t="s">
        <v>117</v>
      </c>
      <c r="B54" s="144">
        <v>0</v>
      </c>
      <c r="C54" s="144">
        <v>0</v>
      </c>
      <c r="D54" s="144" t="s">
        <v>106</v>
      </c>
      <c r="E54" s="144">
        <v>0</v>
      </c>
      <c r="J54" s="179"/>
      <c r="K54" s="167"/>
      <c r="L54" s="171">
        <v>0</v>
      </c>
      <c r="M54" s="176"/>
    </row>
    <row r="55" spans="1:13" ht="19">
      <c r="A55" s="144" t="s">
        <v>118</v>
      </c>
      <c r="B55" s="144">
        <v>0</v>
      </c>
      <c r="C55" s="144">
        <v>0</v>
      </c>
      <c r="D55" s="144" t="s">
        <v>106</v>
      </c>
      <c r="E55" s="144">
        <v>0</v>
      </c>
      <c r="J55" s="180" t="s">
        <v>159</v>
      </c>
      <c r="K55" s="165">
        <v>0</v>
      </c>
      <c r="L55" s="171">
        <v>0</v>
      </c>
      <c r="M55" s="176"/>
    </row>
    <row r="56" spans="1:13" ht="19">
      <c r="A56" s="144" t="s">
        <v>119</v>
      </c>
      <c r="B56" s="144">
        <v>0</v>
      </c>
      <c r="C56" s="144">
        <v>0</v>
      </c>
      <c r="D56" s="144" t="s">
        <v>106</v>
      </c>
      <c r="E56" s="144">
        <v>0</v>
      </c>
      <c r="J56" s="177" t="s">
        <v>160</v>
      </c>
      <c r="K56" s="165">
        <v>0</v>
      </c>
      <c r="L56" s="171">
        <v>0</v>
      </c>
      <c r="M56" s="176"/>
    </row>
    <row r="57" spans="1:13" ht="19">
      <c r="A57" s="144" t="s">
        <v>120</v>
      </c>
      <c r="B57" s="144">
        <v>0</v>
      </c>
      <c r="C57" s="144">
        <v>0</v>
      </c>
      <c r="D57" s="144" t="s">
        <v>106</v>
      </c>
      <c r="E57" s="144">
        <v>0</v>
      </c>
      <c r="J57" s="177" t="s">
        <v>161</v>
      </c>
      <c r="K57" s="165">
        <v>0</v>
      </c>
      <c r="L57" s="185"/>
      <c r="M57" s="176"/>
    </row>
    <row r="58" spans="1:13" ht="19">
      <c r="A58" s="144" t="s">
        <v>121</v>
      </c>
      <c r="B58" s="145" t="s">
        <v>101</v>
      </c>
      <c r="C58" s="144">
        <v>13.27975</v>
      </c>
      <c r="D58" s="145" t="s">
        <v>101</v>
      </c>
      <c r="E58" s="144">
        <v>3.3915137999999998</v>
      </c>
      <c r="J58" s="180" t="s">
        <v>162</v>
      </c>
      <c r="K58" s="165">
        <v>40.9</v>
      </c>
      <c r="L58" s="171">
        <v>26.11675</v>
      </c>
      <c r="M58" s="176">
        <f t="shared" si="5"/>
        <v>-0.36144865525672371</v>
      </c>
    </row>
    <row r="59" spans="1:13" ht="19">
      <c r="A59" s="144" t="s">
        <v>122</v>
      </c>
      <c r="B59" s="144">
        <v>0</v>
      </c>
      <c r="C59" s="144">
        <v>0</v>
      </c>
      <c r="D59" s="144" t="s">
        <v>106</v>
      </c>
      <c r="E59" s="144">
        <v>0</v>
      </c>
      <c r="J59" s="177" t="s">
        <v>163</v>
      </c>
      <c r="K59" s="165">
        <v>0</v>
      </c>
      <c r="L59" s="171">
        <v>0</v>
      </c>
      <c r="M59" s="176"/>
    </row>
    <row r="60" spans="1:13" ht="20" thickBot="1">
      <c r="A60" s="144" t="s">
        <v>123</v>
      </c>
      <c r="B60" s="145" t="s">
        <v>101</v>
      </c>
      <c r="C60" s="144">
        <v>25.731000000000002</v>
      </c>
      <c r="D60" s="145" t="s">
        <v>101</v>
      </c>
      <c r="E60" s="144">
        <v>3.7587459000000001</v>
      </c>
      <c r="J60" s="181" t="s">
        <v>164</v>
      </c>
      <c r="K60" s="182">
        <v>45.6</v>
      </c>
      <c r="L60" s="183">
        <v>19.851749999999999</v>
      </c>
      <c r="M60" s="184">
        <f t="shared" si="5"/>
        <v>-0.56465460526315792</v>
      </c>
    </row>
    <row r="61" spans="1:13">
      <c r="A61" s="144" t="s">
        <v>124</v>
      </c>
      <c r="B61" s="144">
        <v>510</v>
      </c>
      <c r="C61" s="144">
        <v>530.87525000000005</v>
      </c>
      <c r="D61" s="144">
        <v>4.0931860000000002</v>
      </c>
      <c r="E61" s="144">
        <v>21.804736800000001</v>
      </c>
    </row>
    <row r="62" spans="1:13">
      <c r="A62" s="144" t="s">
        <v>125</v>
      </c>
      <c r="B62" s="144">
        <v>146</v>
      </c>
      <c r="C62" s="144">
        <v>97.742500000000007</v>
      </c>
      <c r="D62" s="144">
        <v>-33.053082000000003</v>
      </c>
      <c r="E62" s="144">
        <v>11.6895404</v>
      </c>
    </row>
    <row r="63" spans="1:13">
      <c r="A63" s="144" t="s">
        <v>126</v>
      </c>
      <c r="B63" s="145" t="s">
        <v>101</v>
      </c>
      <c r="C63" s="144">
        <v>7199.9530000000004</v>
      </c>
      <c r="D63" s="145" t="s">
        <v>101</v>
      </c>
      <c r="E63" s="144">
        <v>45.376145100000002</v>
      </c>
    </row>
    <row r="64" spans="1:13">
      <c r="A64" s="144" t="s">
        <v>127</v>
      </c>
      <c r="B64" s="144">
        <v>132</v>
      </c>
      <c r="C64" s="144">
        <v>130.76249999999999</v>
      </c>
      <c r="D64" s="144">
        <v>-0.9375</v>
      </c>
      <c r="E64" s="144">
        <v>7.2912197000000001</v>
      </c>
    </row>
    <row r="65" spans="1:5">
      <c r="A65" s="144" t="s">
        <v>128</v>
      </c>
      <c r="B65" s="144">
        <v>118</v>
      </c>
      <c r="C65" s="144">
        <v>64.741749999999996</v>
      </c>
      <c r="D65" s="144">
        <v>-45.13411</v>
      </c>
      <c r="E65" s="144">
        <v>7.8341177000000002</v>
      </c>
    </row>
    <row r="68" spans="1:5">
      <c r="A68" s="164"/>
      <c r="B68" s="142" t="s">
        <v>94</v>
      </c>
      <c r="C68" s="142" t="s">
        <v>96</v>
      </c>
      <c r="D68" s="142" t="s">
        <v>97</v>
      </c>
      <c r="E68" s="142" t="s">
        <v>98</v>
      </c>
    </row>
    <row r="69" spans="1:5">
      <c r="A69" s="164"/>
      <c r="B69" s="143" t="s">
        <v>95</v>
      </c>
      <c r="C69" s="143" t="s">
        <v>95</v>
      </c>
      <c r="D69" s="143" t="s">
        <v>95</v>
      </c>
      <c r="E69" s="143" t="s">
        <v>95</v>
      </c>
    </row>
    <row r="70" spans="1:5">
      <c r="A70" s="144" t="s">
        <v>99</v>
      </c>
      <c r="B70" s="144">
        <v>8000</v>
      </c>
      <c r="C70" s="144">
        <v>7935.585</v>
      </c>
      <c r="D70" s="144">
        <v>-0.80518749999999994</v>
      </c>
      <c r="E70" s="144">
        <v>75.672698999999994</v>
      </c>
    </row>
    <row r="71" spans="1:5">
      <c r="A71" s="144" t="s">
        <v>100</v>
      </c>
      <c r="B71" s="144">
        <v>2600</v>
      </c>
      <c r="C71" s="144">
        <v>2575.7717499999999</v>
      </c>
      <c r="D71" s="144">
        <v>-0.93185580000000001</v>
      </c>
      <c r="E71" s="144">
        <v>50.544260999999999</v>
      </c>
    </row>
    <row r="72" spans="1:5">
      <c r="A72" s="144" t="s">
        <v>102</v>
      </c>
      <c r="B72" s="144">
        <v>81</v>
      </c>
      <c r="C72" s="144">
        <v>63.890749999999997</v>
      </c>
      <c r="D72" s="144">
        <v>-21.122530900000001</v>
      </c>
      <c r="E72" s="144">
        <v>8.4140370000000004</v>
      </c>
    </row>
    <row r="73" spans="1:5">
      <c r="A73" s="144" t="s">
        <v>103</v>
      </c>
      <c r="B73" s="144">
        <v>92</v>
      </c>
      <c r="C73" s="144">
        <v>81.270750000000007</v>
      </c>
      <c r="D73" s="144">
        <v>-11.662228300000001</v>
      </c>
      <c r="E73" s="144">
        <v>9.3354289999999995</v>
      </c>
    </row>
    <row r="74" spans="1:5">
      <c r="A74" s="144" t="s">
        <v>104</v>
      </c>
      <c r="B74" s="144">
        <v>26</v>
      </c>
      <c r="C74" s="144">
        <v>13.16175</v>
      </c>
      <c r="D74" s="144">
        <v>-49.377884600000002</v>
      </c>
      <c r="E74" s="144">
        <v>4.0781419999999997</v>
      </c>
    </row>
    <row r="75" spans="1:5">
      <c r="A75" s="144" t="s">
        <v>105</v>
      </c>
      <c r="B75" s="144">
        <v>0</v>
      </c>
      <c r="C75" s="144">
        <v>0</v>
      </c>
      <c r="D75" s="144" t="s">
        <v>106</v>
      </c>
      <c r="E75" s="144">
        <v>0</v>
      </c>
    </row>
    <row r="76" spans="1:5">
      <c r="A76" s="144" t="s">
        <v>107</v>
      </c>
      <c r="B76" s="144">
        <v>0</v>
      </c>
      <c r="C76" s="144">
        <v>0</v>
      </c>
      <c r="D76" s="144" t="s">
        <v>106</v>
      </c>
      <c r="E76" s="144">
        <v>0</v>
      </c>
    </row>
    <row r="77" spans="1:5">
      <c r="A77" s="144" t="s">
        <v>108</v>
      </c>
      <c r="B77" s="144">
        <v>0</v>
      </c>
      <c r="C77" s="144">
        <v>0</v>
      </c>
      <c r="D77" s="144" t="s">
        <v>106</v>
      </c>
      <c r="E77" s="144">
        <v>0</v>
      </c>
    </row>
    <row r="78" spans="1:5">
      <c r="A78" s="144" t="s">
        <v>109</v>
      </c>
      <c r="B78" s="144">
        <v>2</v>
      </c>
      <c r="C78" s="144">
        <v>1.5609999999999999</v>
      </c>
      <c r="D78" s="144">
        <v>-21.95</v>
      </c>
      <c r="E78" s="144">
        <v>1.4187259999999999</v>
      </c>
    </row>
    <row r="79" spans="1:5">
      <c r="A79" s="144" t="s">
        <v>110</v>
      </c>
      <c r="B79" s="144">
        <v>0</v>
      </c>
      <c r="C79" s="144">
        <v>0</v>
      </c>
      <c r="D79" s="144" t="s">
        <v>106</v>
      </c>
      <c r="E79" s="144">
        <v>0</v>
      </c>
    </row>
    <row r="80" spans="1:5">
      <c r="A80" s="144" t="s">
        <v>111</v>
      </c>
      <c r="B80" s="144">
        <v>57</v>
      </c>
      <c r="C80" s="144">
        <v>56.825499999999998</v>
      </c>
      <c r="D80" s="144">
        <v>-0.30614039999999998</v>
      </c>
      <c r="E80" s="144">
        <v>6.9996999999999998</v>
      </c>
    </row>
    <row r="81" spans="1:5">
      <c r="A81" s="144" t="s">
        <v>112</v>
      </c>
      <c r="B81" s="144">
        <v>9</v>
      </c>
      <c r="C81" s="144">
        <v>8.3185000000000002</v>
      </c>
      <c r="D81" s="144">
        <v>-7.5722221999999997</v>
      </c>
      <c r="E81" s="144">
        <v>2.6604190000000001</v>
      </c>
    </row>
    <row r="82" spans="1:5">
      <c r="A82" s="144" t="s">
        <v>113</v>
      </c>
      <c r="B82" s="144">
        <v>252</v>
      </c>
      <c r="C82" s="144">
        <v>242.8115</v>
      </c>
      <c r="D82" s="144">
        <v>-3.6462302000000002</v>
      </c>
      <c r="E82" s="144">
        <v>14.291501999999999</v>
      </c>
    </row>
    <row r="83" spans="1:5">
      <c r="A83" s="144" t="s">
        <v>114</v>
      </c>
      <c r="B83" s="144">
        <v>0</v>
      </c>
      <c r="C83" s="144">
        <v>0</v>
      </c>
      <c r="D83" s="144" t="s">
        <v>106</v>
      </c>
      <c r="E83" s="144">
        <v>0</v>
      </c>
    </row>
    <row r="84" spans="1:5">
      <c r="A84" s="144" t="s">
        <v>115</v>
      </c>
      <c r="B84" s="145" t="s">
        <v>101</v>
      </c>
      <c r="C84" s="144">
        <v>7421.77675</v>
      </c>
      <c r="D84" s="145" t="s">
        <v>101</v>
      </c>
      <c r="E84" s="144">
        <v>77.818307000000004</v>
      </c>
    </row>
    <row r="85" spans="1:5">
      <c r="A85" s="144" t="s">
        <v>116</v>
      </c>
      <c r="B85" s="144">
        <v>0</v>
      </c>
      <c r="C85" s="144">
        <v>0</v>
      </c>
      <c r="D85" s="144" t="s">
        <v>106</v>
      </c>
      <c r="E85" s="144">
        <v>0</v>
      </c>
    </row>
    <row r="86" spans="1:5">
      <c r="A86" s="144" t="s">
        <v>117</v>
      </c>
      <c r="B86" s="144">
        <v>0</v>
      </c>
      <c r="C86" s="144">
        <v>0</v>
      </c>
      <c r="D86" s="144" t="s">
        <v>106</v>
      </c>
      <c r="E86" s="144">
        <v>0</v>
      </c>
    </row>
    <row r="87" spans="1:5">
      <c r="A87" s="144" t="s">
        <v>118</v>
      </c>
      <c r="B87" s="144">
        <v>0</v>
      </c>
      <c r="C87" s="144">
        <v>0</v>
      </c>
      <c r="D87" s="144" t="s">
        <v>106</v>
      </c>
      <c r="E87" s="144">
        <v>0</v>
      </c>
    </row>
    <row r="88" spans="1:5">
      <c r="A88" s="144" t="s">
        <v>119</v>
      </c>
      <c r="B88" s="144">
        <v>0</v>
      </c>
      <c r="C88" s="144">
        <v>0</v>
      </c>
      <c r="D88" s="144" t="s">
        <v>106</v>
      </c>
      <c r="E88" s="144">
        <v>0</v>
      </c>
    </row>
    <row r="89" spans="1:5">
      <c r="A89" s="144" t="s">
        <v>120</v>
      </c>
      <c r="B89" s="144">
        <v>0</v>
      </c>
      <c r="C89" s="144">
        <v>0</v>
      </c>
      <c r="D89" s="144" t="s">
        <v>106</v>
      </c>
      <c r="E89" s="144">
        <v>0</v>
      </c>
    </row>
    <row r="90" spans="1:5">
      <c r="A90" s="144" t="s">
        <v>121</v>
      </c>
      <c r="B90" s="144">
        <v>41</v>
      </c>
      <c r="C90" s="144">
        <v>26.11675</v>
      </c>
      <c r="D90" s="144">
        <v>-36.300609799999997</v>
      </c>
      <c r="E90" s="144">
        <v>5.3909539999999998</v>
      </c>
    </row>
    <row r="91" spans="1:5">
      <c r="A91" s="144" t="s">
        <v>122</v>
      </c>
      <c r="B91" s="144">
        <v>0</v>
      </c>
      <c r="C91" s="144">
        <v>0</v>
      </c>
      <c r="D91" s="144" t="s">
        <v>106</v>
      </c>
      <c r="E91" s="144">
        <v>0</v>
      </c>
    </row>
    <row r="92" spans="1:5">
      <c r="A92" s="144" t="s">
        <v>123</v>
      </c>
      <c r="B92" s="144">
        <v>46</v>
      </c>
      <c r="C92" s="144">
        <v>19.851749999999999</v>
      </c>
      <c r="D92" s="144">
        <v>-56.844021699999999</v>
      </c>
      <c r="E92" s="144">
        <v>8.2834430000000001</v>
      </c>
    </row>
    <row r="93" spans="1:5">
      <c r="A93" s="144" t="s">
        <v>124</v>
      </c>
      <c r="B93" s="145" t="s">
        <v>101</v>
      </c>
      <c r="C93" s="144">
        <v>453.42475000000002</v>
      </c>
      <c r="D93" s="145" t="s">
        <v>101</v>
      </c>
      <c r="E93" s="144">
        <v>24.628651999999999</v>
      </c>
    </row>
    <row r="94" spans="1:5">
      <c r="A94" s="144" t="s">
        <v>125</v>
      </c>
      <c r="B94" s="145" t="s">
        <v>101</v>
      </c>
      <c r="C94" s="144">
        <v>107.59425</v>
      </c>
      <c r="D94" s="145" t="s">
        <v>101</v>
      </c>
      <c r="E94" s="144">
        <v>13.126754999999999</v>
      </c>
    </row>
    <row r="95" spans="1:5">
      <c r="A95" s="144" t="s">
        <v>126</v>
      </c>
      <c r="B95" s="145" t="s">
        <v>101</v>
      </c>
      <c r="C95" s="144">
        <v>7478.6022499999999</v>
      </c>
      <c r="D95" s="145" t="s">
        <v>101</v>
      </c>
      <c r="E95" s="144">
        <v>77.509680000000003</v>
      </c>
    </row>
    <row r="96" spans="1:5">
      <c r="A96" s="144" t="s">
        <v>127</v>
      </c>
      <c r="B96" s="145" t="s">
        <v>101</v>
      </c>
      <c r="C96" s="144">
        <v>101.14024999999999</v>
      </c>
      <c r="D96" s="145" t="s">
        <v>101</v>
      </c>
      <c r="E96" s="144">
        <v>9.6040949999999992</v>
      </c>
    </row>
    <row r="97" spans="1:5">
      <c r="A97" s="144" t="s">
        <v>128</v>
      </c>
      <c r="B97" s="145" t="s">
        <v>101</v>
      </c>
      <c r="C97" s="144">
        <v>65.820250000000001</v>
      </c>
      <c r="D97" s="145" t="s">
        <v>101</v>
      </c>
      <c r="E97" s="144">
        <v>20.450500000000002</v>
      </c>
    </row>
  </sheetData>
  <mergeCells count="2">
    <mergeCell ref="A36:A37"/>
    <mergeCell ref="A68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6884-115F-D74F-8689-8040C0AAFDD1}">
  <sheetPr>
    <tabColor rgb="FF7570B3"/>
  </sheetPr>
  <dimension ref="A1:P42"/>
  <sheetViews>
    <sheetView showGridLines="0" workbookViewId="0">
      <selection activeCell="D24" sqref="D24"/>
    </sheetView>
  </sheetViews>
  <sheetFormatPr baseColWidth="10" defaultRowHeight="16"/>
  <cols>
    <col min="11" max="11" width="18.6640625" bestFit="1" customWidth="1"/>
    <col min="12" max="12" width="13.1640625" bestFit="1" customWidth="1"/>
    <col min="15" max="15" width="16" bestFit="1" customWidth="1"/>
  </cols>
  <sheetData>
    <row r="1" spans="1:16">
      <c r="A1" t="s">
        <v>17</v>
      </c>
      <c r="K1" t="s">
        <v>9</v>
      </c>
      <c r="L1">
        <f>Intro!C6</f>
        <v>10000</v>
      </c>
      <c r="O1" t="s">
        <v>10</v>
      </c>
      <c r="P1">
        <f>Intro!C7</f>
        <v>10000</v>
      </c>
    </row>
    <row r="2" spans="1:16" ht="17" thickBot="1">
      <c r="A2" s="81"/>
      <c r="B2" s="82" t="s">
        <v>3</v>
      </c>
      <c r="C2" s="83" t="s">
        <v>4</v>
      </c>
      <c r="D2" s="84" t="s">
        <v>5</v>
      </c>
      <c r="E2" s="85"/>
      <c r="F2" s="83" t="s">
        <v>6</v>
      </c>
      <c r="G2" s="82" t="s">
        <v>7</v>
      </c>
      <c r="H2" s="86" t="s">
        <v>8</v>
      </c>
    </row>
    <row r="3" spans="1:16" ht="17" thickBot="1">
      <c r="A3" s="87" t="s">
        <v>3</v>
      </c>
      <c r="B3" s="12">
        <f>n.wsw*(n.wsw/(n.wsw+n.w_wsmw))</f>
        <v>52.760351317440382</v>
      </c>
      <c r="C3" s="5"/>
      <c r="D3" s="21">
        <f>n.w_wsmw*(n.wsw/(n.w_wsmw+n.wsw))</f>
        <v>92.239648682559576</v>
      </c>
      <c r="E3" s="5"/>
      <c r="F3" s="5"/>
      <c r="G3" s="5"/>
      <c r="H3" s="88"/>
      <c r="I3" s="2"/>
    </row>
    <row r="4" spans="1:16" ht="17" thickBot="1">
      <c r="A4" s="89" t="s">
        <v>4</v>
      </c>
      <c r="B4" s="5"/>
      <c r="C4" s="5"/>
      <c r="D4" s="5"/>
      <c r="E4" s="5"/>
      <c r="F4" s="5"/>
      <c r="G4" s="23">
        <f>n.msw*(n.wsm/(n.wsm+n.m_wsmw))</f>
        <v>7394.844306015184</v>
      </c>
      <c r="H4" s="90">
        <f>n.w_msmw*(n.wsm/(n.m_wsmw+n.wsm))</f>
        <v>57.349114269028625</v>
      </c>
      <c r="I4" s="2"/>
      <c r="K4" s="8" t="s">
        <v>11</v>
      </c>
      <c r="L4" s="115">
        <f>Intro!C11</f>
        <v>0.02</v>
      </c>
      <c r="O4" s="7" t="s">
        <v>14</v>
      </c>
      <c r="P4" s="116">
        <f>Intro!C16</f>
        <v>0.02</v>
      </c>
    </row>
    <row r="5" spans="1:16" ht="17" thickBot="1">
      <c r="A5" s="91" t="s">
        <v>5</v>
      </c>
      <c r="B5" s="23">
        <f>n.wsw*(n.w_wsmw/(n.wsw+n.w_wsmw))</f>
        <v>92.239648682559576</v>
      </c>
      <c r="C5" s="5"/>
      <c r="D5" s="13">
        <f>n.w_wsmw*(n.w_wsmw/(n.w_wsmw+n.wsw))</f>
        <v>161.26035131744038</v>
      </c>
      <c r="E5" s="5"/>
      <c r="F5" s="5"/>
      <c r="G5" s="23">
        <f>n.msw*(n.m_wsmw/(n.wsm+n.m_wsmw))</f>
        <v>251.55569398481603</v>
      </c>
      <c r="H5" s="90">
        <f>n.w_msmw*(n.m_wsmw/(n.m_wsmw+n.wsm))</f>
        <v>1.9508857309713843</v>
      </c>
      <c r="I5" s="2"/>
      <c r="K5" s="7" t="s">
        <v>12</v>
      </c>
      <c r="L5" s="116">
        <f>Intro!C12</f>
        <v>0.92</v>
      </c>
      <c r="O5" s="8" t="s">
        <v>15</v>
      </c>
      <c r="P5" s="115">
        <f>Intro!C17</f>
        <v>0.96</v>
      </c>
    </row>
    <row r="6" spans="1:16" ht="17" thickBot="1">
      <c r="A6" s="92"/>
      <c r="B6" s="5"/>
      <c r="C6" s="5"/>
      <c r="D6" s="5"/>
      <c r="E6" s="5"/>
      <c r="F6" s="5"/>
      <c r="G6" s="5"/>
      <c r="H6" s="88"/>
      <c r="I6" s="2"/>
      <c r="K6" s="9" t="s">
        <v>13</v>
      </c>
      <c r="L6" s="117">
        <f>Intro!C13</f>
        <v>0.06</v>
      </c>
      <c r="O6" s="9" t="s">
        <v>16</v>
      </c>
      <c r="P6" s="117">
        <f>Intro!C18</f>
        <v>0.02</v>
      </c>
    </row>
    <row r="7" spans="1:16" ht="17" thickBot="1">
      <c r="A7" s="89" t="s">
        <v>6</v>
      </c>
      <c r="B7" s="5"/>
      <c r="C7" s="5"/>
      <c r="D7" s="5"/>
      <c r="E7" s="5"/>
      <c r="F7" s="38">
        <f>n.msm*(n.msm/(n.msm+n.m_msmw))</f>
        <v>91.262872062663163</v>
      </c>
      <c r="G7" s="5"/>
      <c r="H7" s="90">
        <f>n.m_msmw*(n.msm/(n.m_msmw+n.msm))</f>
        <v>40.937127937336811</v>
      </c>
      <c r="I7" s="2"/>
      <c r="K7" s="10" t="s">
        <v>19</v>
      </c>
      <c r="L7" s="11">
        <f>Intro!C52</f>
        <v>0.5</v>
      </c>
      <c r="O7" s="10" t="s">
        <v>24</v>
      </c>
      <c r="P7" s="10">
        <f>Intro!C56</f>
        <v>0.5</v>
      </c>
    </row>
    <row r="8" spans="1:16" ht="17" thickBot="1">
      <c r="A8" s="87" t="s">
        <v>7</v>
      </c>
      <c r="B8" s="5"/>
      <c r="C8" s="26">
        <f>n.wsm*(n.msw/(n.msw+n.w_msmw))</f>
        <v>7394.6523742164891</v>
      </c>
      <c r="D8" s="21">
        <f>n.m_wsmw*(n.msw/(n.w_msmw+n.msw))</f>
        <v>251.54916490390229</v>
      </c>
      <c r="E8" s="5"/>
      <c r="F8" s="27"/>
      <c r="G8" s="5"/>
      <c r="H8" s="88"/>
      <c r="I8" s="2"/>
      <c r="K8" s="10" t="s">
        <v>18</v>
      </c>
      <c r="L8" s="11">
        <f>Intro!C51</f>
        <v>0.5</v>
      </c>
      <c r="O8" s="10" t="s">
        <v>25</v>
      </c>
      <c r="P8" s="10">
        <f>Intro!C55</f>
        <v>0.5</v>
      </c>
    </row>
    <row r="9" spans="1:16">
      <c r="A9" s="93" t="s">
        <v>8</v>
      </c>
      <c r="B9" s="6"/>
      <c r="C9" s="94">
        <f>n.wsm*(n.w_msmw/(n.msw+n.w_msmw))</f>
        <v>57.347625783510914</v>
      </c>
      <c r="D9" s="95">
        <f>n.m_wsmw*(n.w_msmw/(n.w_msmw+n.msw))</f>
        <v>1.9508350960976941</v>
      </c>
      <c r="E9" s="6"/>
      <c r="F9" s="94">
        <f>n.msm*(n.m_msmw/(n.msm+n.m_msmw))</f>
        <v>40.937127937336811</v>
      </c>
      <c r="G9" s="6"/>
      <c r="H9" s="96">
        <f>n.m_msmw*(n.m_msmw/(n.m_msmw+n.msm))</f>
        <v>18.362872062663186</v>
      </c>
      <c r="I9" s="2"/>
    </row>
    <row r="10" spans="1:16">
      <c r="B10" s="2">
        <f>SUM(B3:B9)</f>
        <v>144.99999999999994</v>
      </c>
      <c r="C10" s="2">
        <f t="shared" ref="C10:H10" si="0">SUM(C3:C9)</f>
        <v>7452</v>
      </c>
      <c r="D10" s="2">
        <f t="shared" si="0"/>
        <v>506.99999999999994</v>
      </c>
      <c r="E10" s="2">
        <f t="shared" si="0"/>
        <v>0</v>
      </c>
      <c r="F10" s="2">
        <f t="shared" si="0"/>
        <v>132.19999999999999</v>
      </c>
      <c r="G10" s="2">
        <f t="shared" si="0"/>
        <v>7646.4</v>
      </c>
      <c r="H10" s="2">
        <f t="shared" si="0"/>
        <v>118.60000000000001</v>
      </c>
    </row>
    <row r="11" spans="1:16">
      <c r="I11" s="2"/>
      <c r="K11" s="8" t="s">
        <v>20</v>
      </c>
      <c r="L11" s="8">
        <f>(n.women*pct.wsw*wsw_1_Partner) + (n.women*pct.wsw*wsw_2_Partners*2)</f>
        <v>144.99999999999997</v>
      </c>
      <c r="O11" s="7" t="s">
        <v>27</v>
      </c>
      <c r="P11" s="7">
        <f>(n.men*pct.msm*msm_1_Partner) + (n.men*pct.msm*msm_2_Partners*2)</f>
        <v>132.19999999999999</v>
      </c>
    </row>
    <row r="12" spans="1:16">
      <c r="I12" s="2"/>
      <c r="K12" s="7" t="s">
        <v>21</v>
      </c>
      <c r="L12" s="7">
        <f>(n.women*pct.wsm*wsm_1_Partner) + (n.women*pct.wsm*wsm_2_Partners *2)</f>
        <v>7452</v>
      </c>
      <c r="O12" s="8" t="s">
        <v>28</v>
      </c>
      <c r="P12" s="8">
        <f>(n.men*pct.msw*msw_1_Partner) + (n.men*pct.msw*msw_2_Partners*2)</f>
        <v>7646.4</v>
      </c>
    </row>
    <row r="13" spans="1:16">
      <c r="I13" s="1" t="s">
        <v>40</v>
      </c>
      <c r="K13" s="9" t="s">
        <v>22</v>
      </c>
      <c r="L13" s="9">
        <f>(n.women*pct.wsmw*wsmw_1_Partner) + (n.women*pct.wsmw*wsmw_2_Partners * 2)</f>
        <v>507</v>
      </c>
      <c r="O13" s="9" t="s">
        <v>29</v>
      </c>
      <c r="P13" s="9">
        <f>(n.men*pct.msmw*msmw_1_Partner) + (n.men*pct.msmw*msmw_2_Partners*2)</f>
        <v>118.60000000000001</v>
      </c>
    </row>
    <row r="14" spans="1:16">
      <c r="A14" t="s">
        <v>1</v>
      </c>
      <c r="B14" s="80">
        <f>SUM(B3:B9)</f>
        <v>144.99999999999994</v>
      </c>
      <c r="C14" s="80">
        <f t="shared" ref="C14:H14" si="1">SUM(C3:C9)</f>
        <v>7452</v>
      </c>
      <c r="D14" s="80">
        <f t="shared" si="1"/>
        <v>506.99999999999994</v>
      </c>
      <c r="E14" s="80"/>
      <c r="F14" s="80">
        <f t="shared" si="1"/>
        <v>132.19999999999999</v>
      </c>
      <c r="G14" s="80">
        <f t="shared" si="1"/>
        <v>7646.4</v>
      </c>
      <c r="H14" s="80">
        <f t="shared" si="1"/>
        <v>118.60000000000001</v>
      </c>
      <c r="I14" s="2">
        <f>SUM(B14:H14)/2</f>
        <v>8000.6</v>
      </c>
      <c r="K14" s="10" t="s">
        <v>23</v>
      </c>
      <c r="L14" s="10">
        <f>prop.w_wsmw*n.wsmw</f>
        <v>253.5</v>
      </c>
      <c r="M14" s="10"/>
      <c r="N14" s="10"/>
      <c r="O14" s="10" t="s">
        <v>30</v>
      </c>
      <c r="P14" s="10">
        <f>n.msmw*prop.w_msmw</f>
        <v>59.300000000000004</v>
      </c>
    </row>
    <row r="15" spans="1:16">
      <c r="A15" s="10" t="s">
        <v>32</v>
      </c>
      <c r="B15" s="78" t="b">
        <f>SUM(B3:B9)=n.wsw</f>
        <v>1</v>
      </c>
      <c r="C15" s="78" t="b">
        <f>SUM(C3:C9)=n.wsm</f>
        <v>1</v>
      </c>
      <c r="D15" s="78" t="b">
        <f>SUM(D3:D9)=n.wsmw</f>
        <v>1</v>
      </c>
      <c r="E15" s="79"/>
      <c r="F15" s="78" t="b">
        <f>SUM(F3:F9)=n.msm</f>
        <v>1</v>
      </c>
      <c r="G15" s="78" t="b">
        <f>SUM(G3:G9)=n.msw</f>
        <v>1</v>
      </c>
      <c r="H15" s="78" t="b">
        <f>SUM(H3:H9)=n.msmw</f>
        <v>1</v>
      </c>
      <c r="K15" s="10" t="s">
        <v>26</v>
      </c>
      <c r="L15" s="10">
        <f>n.wsmw*prop.m_wsmw</f>
        <v>253.5</v>
      </c>
      <c r="M15" s="10"/>
      <c r="N15" s="10"/>
      <c r="O15" s="10" t="s">
        <v>31</v>
      </c>
      <c r="P15" s="10">
        <f>n.msmw*prop.m_msmw</f>
        <v>59.300000000000004</v>
      </c>
    </row>
    <row r="17" spans="1:16">
      <c r="K17" t="s">
        <v>58</v>
      </c>
      <c r="L17" s="2">
        <f>SUM(n.wsw,n.msw,n.w_wsmw,n.w_msmw)</f>
        <v>8104.2</v>
      </c>
      <c r="O17" t="s">
        <v>61</v>
      </c>
      <c r="P17" s="2">
        <f>SUM(n.msm,n.wsm,n.m_msmw,n.m_wsmw)</f>
        <v>7897</v>
      </c>
    </row>
    <row r="18" spans="1:16">
      <c r="K18" t="s">
        <v>59</v>
      </c>
      <c r="L18" s="2">
        <f>(B22*2)+B24+(D24*2)+C27+D27+D28+C28+B24</f>
        <v>8104.0999999999995</v>
      </c>
      <c r="O18" t="s">
        <v>62</v>
      </c>
      <c r="P18" s="2">
        <f>(C27+C28+D27+D28+F28+(2*F26)+(2*H28)+F28)</f>
        <v>7897.1000000000013</v>
      </c>
    </row>
    <row r="19" spans="1:16">
      <c r="H19" s="2"/>
    </row>
    <row r="20" spans="1:16" ht="17" thickBot="1">
      <c r="A20" s="1" t="s">
        <v>60</v>
      </c>
    </row>
    <row r="21" spans="1:16" ht="17" thickBot="1">
      <c r="A21" s="14"/>
      <c r="B21" s="15" t="s">
        <v>3</v>
      </c>
      <c r="C21" s="16" t="s">
        <v>4</v>
      </c>
      <c r="D21" s="17" t="s">
        <v>5</v>
      </c>
      <c r="E21" s="18"/>
      <c r="F21" s="16" t="s">
        <v>6</v>
      </c>
      <c r="G21" s="15" t="s">
        <v>7</v>
      </c>
      <c r="H21" s="19" t="s">
        <v>8</v>
      </c>
    </row>
    <row r="22" spans="1:16" ht="17" thickBot="1">
      <c r="A22" s="20" t="s">
        <v>3</v>
      </c>
      <c r="B22" s="12">
        <f>B3/2</f>
        <v>26.380175658720191</v>
      </c>
      <c r="C22" s="39"/>
      <c r="D22" s="39"/>
      <c r="E22" s="39"/>
      <c r="F22" s="39"/>
      <c r="G22" s="39"/>
      <c r="H22" s="40"/>
    </row>
    <row r="23" spans="1:16" ht="17" thickBot="1">
      <c r="A23" s="22" t="s">
        <v>4</v>
      </c>
      <c r="B23" s="29">
        <f t="shared" ref="B23" si="2">B4</f>
        <v>0</v>
      </c>
      <c r="C23" s="34"/>
      <c r="D23" s="39"/>
      <c r="E23" s="39"/>
      <c r="F23" s="39"/>
      <c r="G23" s="39"/>
      <c r="H23" s="40"/>
    </row>
    <row r="24" spans="1:16" ht="17" thickBot="1">
      <c r="A24" s="24" t="s">
        <v>5</v>
      </c>
      <c r="B24" s="23">
        <f>(B5+D3)/2</f>
        <v>92.239648682559576</v>
      </c>
      <c r="C24" s="29">
        <f t="shared" ref="C24" si="3">C5</f>
        <v>0</v>
      </c>
      <c r="D24" s="32">
        <f>D5/2</f>
        <v>80.630175658720191</v>
      </c>
      <c r="E24" s="39"/>
      <c r="F24" s="39"/>
      <c r="G24" s="39"/>
      <c r="H24" s="40"/>
    </row>
    <row r="25" spans="1:16" ht="17" thickBot="1">
      <c r="A25" s="25"/>
      <c r="B25" s="29">
        <f t="shared" ref="B25:D25" si="4">B6</f>
        <v>0</v>
      </c>
      <c r="C25" s="29">
        <f t="shared" si="4"/>
        <v>0</v>
      </c>
      <c r="D25" s="29">
        <f t="shared" si="4"/>
        <v>0</v>
      </c>
      <c r="E25" s="34"/>
      <c r="F25" s="39"/>
      <c r="G25" s="39"/>
      <c r="H25" s="40"/>
    </row>
    <row r="26" spans="1:16" ht="17" thickBot="1">
      <c r="A26" s="22" t="s">
        <v>6</v>
      </c>
      <c r="B26" s="29">
        <f t="shared" ref="B26:E26" si="5">B7</f>
        <v>0</v>
      </c>
      <c r="C26" s="29">
        <f t="shared" si="5"/>
        <v>0</v>
      </c>
      <c r="D26" s="29">
        <f t="shared" si="5"/>
        <v>0</v>
      </c>
      <c r="E26" s="29">
        <f t="shared" si="5"/>
        <v>0</v>
      </c>
      <c r="F26" s="33">
        <f>F7/2</f>
        <v>45.631436031331582</v>
      </c>
      <c r="G26" s="39"/>
      <c r="H26" s="40"/>
    </row>
    <row r="27" spans="1:16" ht="17" thickBot="1">
      <c r="A27" s="20" t="s">
        <v>7</v>
      </c>
      <c r="B27" s="29">
        <f t="shared" ref="B27:F27" si="6">B8</f>
        <v>0</v>
      </c>
      <c r="C27" s="30">
        <f>(C8+G4)/2</f>
        <v>7394.748340115837</v>
      </c>
      <c r="D27" s="31">
        <f>(D8+G5)/2</f>
        <v>251.55242944435918</v>
      </c>
      <c r="E27" s="29">
        <f t="shared" si="6"/>
        <v>0</v>
      </c>
      <c r="F27" s="29">
        <f t="shared" si="6"/>
        <v>0</v>
      </c>
      <c r="G27" s="34"/>
      <c r="H27" s="40"/>
    </row>
    <row r="28" spans="1:16" ht="17" thickBot="1">
      <c r="A28" s="28" t="s">
        <v>8</v>
      </c>
      <c r="B28" s="35">
        <f t="shared" ref="B28:G28" si="7">B9</f>
        <v>0</v>
      </c>
      <c r="C28" s="36">
        <f>(C9+H4)/2</f>
        <v>57.34837002626977</v>
      </c>
      <c r="D28" s="37">
        <f>(D9+H5)/2</f>
        <v>1.9508604135345391</v>
      </c>
      <c r="E28" s="35">
        <f t="shared" si="7"/>
        <v>0</v>
      </c>
      <c r="F28" s="36">
        <f>(F9+H7)/2</f>
        <v>40.937127937336811</v>
      </c>
      <c r="G28" s="35">
        <f t="shared" si="7"/>
        <v>0</v>
      </c>
      <c r="H28" s="32">
        <f>H9/2</f>
        <v>9.181436031331593</v>
      </c>
    </row>
    <row r="31" spans="1:16">
      <c r="B31" s="2"/>
      <c r="C31" s="2"/>
      <c r="D31" s="2"/>
      <c r="E31" s="2"/>
      <c r="F31" s="2"/>
      <c r="G31" s="2"/>
      <c r="H31" s="2"/>
      <c r="I31" s="2"/>
    </row>
    <row r="32" spans="1:16">
      <c r="C32" s="4"/>
      <c r="D32" s="4"/>
      <c r="F32" s="2"/>
      <c r="G32" s="4"/>
      <c r="H32" s="3"/>
    </row>
    <row r="34" spans="1:10">
      <c r="A34" t="s">
        <v>93</v>
      </c>
    </row>
    <row r="35" spans="1:10" ht="17" thickBot="1">
      <c r="A35" s="81"/>
      <c r="B35" s="82" t="s">
        <v>3</v>
      </c>
      <c r="C35" s="83" t="s">
        <v>4</v>
      </c>
      <c r="D35" s="84" t="s">
        <v>5</v>
      </c>
      <c r="E35" s="85"/>
      <c r="F35" s="83" t="s">
        <v>6</v>
      </c>
      <c r="G35" s="82" t="s">
        <v>7</v>
      </c>
      <c r="H35" s="86" t="s">
        <v>8</v>
      </c>
    </row>
    <row r="36" spans="1:10" ht="17" thickBot="1">
      <c r="A36" s="87" t="s">
        <v>3</v>
      </c>
      <c r="B36" s="12">
        <f>n.wsw</f>
        <v>144.99999999999997</v>
      </c>
      <c r="C36" s="5"/>
      <c r="D36" s="21">
        <f>n.wsmw</f>
        <v>507</v>
      </c>
      <c r="E36" s="5"/>
      <c r="F36" s="5"/>
      <c r="G36" s="5"/>
      <c r="H36" s="88"/>
      <c r="I36" s="2"/>
      <c r="J36" s="141"/>
    </row>
    <row r="37" spans="1:10" ht="17" thickBot="1">
      <c r="A37" s="89" t="s">
        <v>4</v>
      </c>
      <c r="B37" s="5"/>
      <c r="C37" s="5"/>
      <c r="D37" s="5"/>
      <c r="E37" s="5"/>
      <c r="F37" s="5"/>
      <c r="G37" s="23">
        <f>n.msw</f>
        <v>7646.4</v>
      </c>
      <c r="H37" s="90">
        <f>n.msmw</f>
        <v>118.60000000000001</v>
      </c>
      <c r="I37" s="2"/>
      <c r="J37" s="141"/>
    </row>
    <row r="38" spans="1:10" ht="17" thickBot="1">
      <c r="A38" s="91" t="s">
        <v>5</v>
      </c>
      <c r="B38" s="12">
        <f>n.wsw</f>
        <v>144.99999999999997</v>
      </c>
      <c r="C38" s="5"/>
      <c r="D38" s="21">
        <f>n.wsmw</f>
        <v>507</v>
      </c>
      <c r="E38" s="5"/>
      <c r="F38" s="5"/>
      <c r="G38" s="23">
        <f>n.msw</f>
        <v>7646.4</v>
      </c>
      <c r="H38" s="90">
        <f>n.msmw</f>
        <v>118.60000000000001</v>
      </c>
      <c r="I38" s="2"/>
      <c r="J38" s="141"/>
    </row>
    <row r="39" spans="1:10" ht="17" thickBot="1">
      <c r="A39" s="92"/>
      <c r="B39" s="5"/>
      <c r="C39" s="5"/>
      <c r="D39" s="5"/>
      <c r="E39" s="5"/>
      <c r="F39" s="5"/>
      <c r="G39" s="5"/>
      <c r="H39" s="88"/>
      <c r="I39" s="2"/>
      <c r="J39" s="141"/>
    </row>
    <row r="40" spans="1:10" ht="17" thickBot="1">
      <c r="A40" s="89" t="s">
        <v>6</v>
      </c>
      <c r="B40" s="5"/>
      <c r="C40" s="5"/>
      <c r="D40" s="5"/>
      <c r="E40" s="5"/>
      <c r="F40" s="38">
        <f>n.msm</f>
        <v>132.19999999999999</v>
      </c>
      <c r="G40" s="5"/>
      <c r="H40" s="90">
        <f>n.msmw</f>
        <v>118.60000000000001</v>
      </c>
      <c r="I40" s="2"/>
      <c r="J40" s="141"/>
    </row>
    <row r="41" spans="1:10">
      <c r="A41" s="87" t="s">
        <v>7</v>
      </c>
      <c r="B41" s="5"/>
      <c r="C41" s="26">
        <f>n.wsm</f>
        <v>7452</v>
      </c>
      <c r="D41" s="21">
        <f>n.wsmw</f>
        <v>507</v>
      </c>
      <c r="E41" s="5"/>
      <c r="F41" s="27"/>
      <c r="G41" s="5"/>
      <c r="H41" s="88"/>
      <c r="I41" s="2"/>
      <c r="J41" s="141"/>
    </row>
    <row r="42" spans="1:10">
      <c r="A42" s="93" t="s">
        <v>8</v>
      </c>
      <c r="B42" s="6"/>
      <c r="C42" s="94">
        <f>n.wsm</f>
        <v>7452</v>
      </c>
      <c r="D42" s="21">
        <f>n.wsmw</f>
        <v>507</v>
      </c>
      <c r="E42" s="6"/>
      <c r="F42" s="94">
        <f>n.msm</f>
        <v>132.19999999999999</v>
      </c>
      <c r="G42" s="6"/>
      <c r="H42" s="90">
        <f>n.msmw</f>
        <v>118.60000000000001</v>
      </c>
      <c r="I42" s="2"/>
      <c r="J42" s="141"/>
    </row>
  </sheetData>
  <conditionalFormatting sqref="B15:H15">
    <cfRule type="containsText" dxfId="0" priority="1" operator="containsText" text="FALSE">
      <formula>NOT(ISERROR(SEARCH("FALSE",B15)))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Intro</vt:lpstr>
      <vt:lpstr>Sheet1</vt:lpstr>
      <vt:lpstr>Calculations</vt:lpstr>
      <vt:lpstr>msm_0_Partners</vt:lpstr>
      <vt:lpstr>msm_1_Partner</vt:lpstr>
      <vt:lpstr>msm_2_Partners</vt:lpstr>
      <vt:lpstr>msmw_0_Partners</vt:lpstr>
      <vt:lpstr>msmw_1_Partner</vt:lpstr>
      <vt:lpstr>msmw_2_Partners</vt:lpstr>
      <vt:lpstr>msw_0_Partners</vt:lpstr>
      <vt:lpstr>msw_1_Partner</vt:lpstr>
      <vt:lpstr>msw_2_Partners</vt:lpstr>
      <vt:lpstr>n.m_msmw</vt:lpstr>
      <vt:lpstr>n.m_wsmw</vt:lpstr>
      <vt:lpstr>n.men</vt:lpstr>
      <vt:lpstr>n.msm</vt:lpstr>
      <vt:lpstr>n.msmw</vt:lpstr>
      <vt:lpstr>n.msw</vt:lpstr>
      <vt:lpstr>n.w_msmw</vt:lpstr>
      <vt:lpstr>n.w_wsmw</vt:lpstr>
      <vt:lpstr>n.women</vt:lpstr>
      <vt:lpstr>n.wsm</vt:lpstr>
      <vt:lpstr>n.wsmw</vt:lpstr>
      <vt:lpstr>n.wsw</vt:lpstr>
      <vt:lpstr>pct.msm</vt:lpstr>
      <vt:lpstr>pct.msmw</vt:lpstr>
      <vt:lpstr>pct.msw</vt:lpstr>
      <vt:lpstr>pct.wsm</vt:lpstr>
      <vt:lpstr>pct.wsmw</vt:lpstr>
      <vt:lpstr>pct.wsw</vt:lpstr>
      <vt:lpstr>prop.m_msmw</vt:lpstr>
      <vt:lpstr>prop.m_wsmw</vt:lpstr>
      <vt:lpstr>prop.w_msmw</vt:lpstr>
      <vt:lpstr>prop.w_wsmw</vt:lpstr>
      <vt:lpstr>wsm_0_Partners</vt:lpstr>
      <vt:lpstr>wsm_1_Partner</vt:lpstr>
      <vt:lpstr>wsm_2_Partners</vt:lpstr>
      <vt:lpstr>wsmw_0_Partners</vt:lpstr>
      <vt:lpstr>wsmw_1_Partner</vt:lpstr>
      <vt:lpstr>wsmw_2_Partners</vt:lpstr>
      <vt:lpstr>wsw_0_Partners</vt:lpstr>
      <vt:lpstr>wsw_1_Partner</vt:lpstr>
      <vt:lpstr>wsw_2_Partners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Jenny</dc:creator>
  <cp:lastModifiedBy>Spencer, Jenny</cp:lastModifiedBy>
  <dcterms:created xsi:type="dcterms:W3CDTF">2019-09-30T18:58:20Z</dcterms:created>
  <dcterms:modified xsi:type="dcterms:W3CDTF">2020-01-23T00:54:25Z</dcterms:modified>
</cp:coreProperties>
</file>