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60" yWindow="705" windowWidth="17565" windowHeight="12990"/>
  </bookViews>
  <sheets>
    <sheet name="Main Page" sheetId="5" r:id="rId1"/>
    <sheet name="Rotor_JR" sheetId="9" r:id="rId2"/>
    <sheet name="Nacelle_JR" sheetId="10" r:id="rId3"/>
    <sheet name="Tower Data" sheetId="4" r:id="rId4"/>
    <sheet name="Blade Data" sheetId="3" r:id="rId5"/>
    <sheet name="GECbladedata" sheetId="6" r:id="rId6"/>
    <sheet name="GECtwrdata" sheetId="7" r:id="rId7"/>
    <sheet name="GECdrivetrain" sheetId="8" r:id="rId8"/>
  </sheets>
  <definedNames>
    <definedName name="_xlnm.Print_Area" localSheetId="4">'Blade Data'!$A$6:$Q$32</definedName>
  </definedNames>
  <calcPr calcId="145621" iterate="1" iterateDelta="1E-4"/>
</workbook>
</file>

<file path=xl/calcChain.xml><?xml version="1.0" encoding="utf-8"?>
<calcChain xmlns="http://schemas.openxmlformats.org/spreadsheetml/2006/main">
  <c r="A1" i="10" l="1"/>
  <c r="A2" i="9"/>
  <c r="A1" i="9"/>
  <c r="J5" i="9" l="1"/>
  <c r="I5" i="9"/>
  <c r="H5" i="9"/>
  <c r="G5" i="9"/>
  <c r="F5" i="9"/>
  <c r="E5" i="9"/>
  <c r="E6" i="9"/>
  <c r="D5" i="9"/>
  <c r="C5" i="9"/>
  <c r="B5" i="9"/>
  <c r="A5" i="9"/>
  <c r="B4" i="9" l="1"/>
  <c r="C4" i="9"/>
  <c r="A4" i="9"/>
  <c r="D3" i="9"/>
  <c r="C3" i="9"/>
  <c r="B3" i="9"/>
  <c r="A3" i="9"/>
  <c r="J7" i="9" l="1"/>
  <c r="J8" i="9"/>
  <c r="J9" i="9"/>
  <c r="J10" i="9"/>
  <c r="J11" i="9"/>
  <c r="J6" i="9"/>
  <c r="I7" i="9"/>
  <c r="I8" i="9"/>
  <c r="I9" i="9"/>
  <c r="I10" i="9"/>
  <c r="I11" i="9"/>
  <c r="I6" i="9"/>
  <c r="H7" i="9"/>
  <c r="H8" i="9"/>
  <c r="H9" i="9"/>
  <c r="H10" i="9"/>
  <c r="H11" i="9"/>
  <c r="H6" i="9"/>
  <c r="G7" i="9"/>
  <c r="G8" i="9"/>
  <c r="G9" i="9"/>
  <c r="G10" i="9"/>
  <c r="G11" i="9"/>
  <c r="G6" i="9"/>
  <c r="F7" i="9"/>
  <c r="F8" i="9"/>
  <c r="F9" i="9"/>
  <c r="F10" i="9"/>
  <c r="F11" i="9"/>
  <c r="F6" i="9"/>
  <c r="E7" i="9"/>
  <c r="E8" i="9"/>
  <c r="E9" i="9"/>
  <c r="E10" i="9"/>
  <c r="E11" i="9"/>
  <c r="D7" i="9"/>
  <c r="D8" i="9"/>
  <c r="D9" i="9"/>
  <c r="D10" i="9"/>
  <c r="D11" i="9"/>
  <c r="D6" i="9"/>
  <c r="C7" i="9"/>
  <c r="C8" i="9"/>
  <c r="C9" i="9"/>
  <c r="C10" i="9"/>
  <c r="C11" i="9"/>
  <c r="C6" i="9"/>
  <c r="B7" i="9"/>
  <c r="B8" i="9"/>
  <c r="B9" i="9"/>
  <c r="B10" i="9"/>
  <c r="B11" i="9"/>
  <c r="B6" i="9"/>
  <c r="A7" i="9"/>
  <c r="A8" i="9"/>
  <c r="A9" i="9"/>
  <c r="A10" i="9"/>
  <c r="A11" i="9"/>
  <c r="A6" i="9"/>
  <c r="A132" i="5"/>
  <c r="A131" i="5"/>
  <c r="A130" i="5"/>
  <c r="A129" i="5"/>
  <c r="A128" i="5"/>
  <c r="A127" i="5"/>
  <c r="F15" i="3" l="1"/>
  <c r="H24" i="3"/>
  <c r="B5" i="6"/>
  <c r="C5" i="6"/>
  <c r="P18" i="6" s="1"/>
  <c r="P28" i="6" s="1"/>
  <c r="O10" i="3" s="1"/>
  <c r="D5" i="6"/>
  <c r="E5" i="6"/>
  <c r="F5" i="6"/>
  <c r="G5" i="6"/>
  <c r="H5" i="6"/>
  <c r="I5" i="6"/>
  <c r="D18" i="6" s="1"/>
  <c r="D28" i="6" s="1"/>
  <c r="J5" i="6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E18" i="6" s="1"/>
  <c r="B6" i="6"/>
  <c r="C6" i="6"/>
  <c r="D6" i="6"/>
  <c r="E6" i="6"/>
  <c r="F6" i="6"/>
  <c r="G6" i="6"/>
  <c r="H6" i="6"/>
  <c r="I6" i="6"/>
  <c r="D19" i="6" s="1"/>
  <c r="J6" i="6"/>
  <c r="K6" i="6"/>
  <c r="L6" i="6"/>
  <c r="M19" i="6"/>
  <c r="M6" i="6"/>
  <c r="L19" i="6"/>
  <c r="L29" i="6" s="1"/>
  <c r="N6" i="6"/>
  <c r="B7" i="6"/>
  <c r="C7" i="6"/>
  <c r="D7" i="6"/>
  <c r="E7" i="6"/>
  <c r="F7" i="6"/>
  <c r="G7" i="6"/>
  <c r="H7" i="6"/>
  <c r="I7" i="6"/>
  <c r="D20" i="6" s="1"/>
  <c r="J7" i="6"/>
  <c r="O20" i="6" s="1"/>
  <c r="O33" i="6" s="1"/>
  <c r="K7" i="6"/>
  <c r="N20" i="6" s="1"/>
  <c r="N33" i="6" s="1"/>
  <c r="L7" i="6"/>
  <c r="M20" i="6" s="1"/>
  <c r="M33" i="6" s="1"/>
  <c r="M7" i="6"/>
  <c r="L20" i="6" s="1"/>
  <c r="L33" i="6" s="1"/>
  <c r="K15" i="3" s="1"/>
  <c r="N7" i="6"/>
  <c r="B8" i="6"/>
  <c r="C8" i="6"/>
  <c r="D8" i="6"/>
  <c r="E8" i="6"/>
  <c r="F8" i="6"/>
  <c r="J21" i="6" s="1"/>
  <c r="J38" i="6" s="1"/>
  <c r="I20" i="3" s="1"/>
  <c r="G8" i="6"/>
  <c r="H8" i="6"/>
  <c r="I8" i="6"/>
  <c r="D21" i="6" s="1"/>
  <c r="D38" i="6" s="1"/>
  <c r="J8" i="6"/>
  <c r="O21" i="6" s="1"/>
  <c r="O38" i="6"/>
  <c r="K8" i="6"/>
  <c r="N21" i="6"/>
  <c r="N38" i="6" s="1"/>
  <c r="L8" i="6"/>
  <c r="M21" i="6" s="1"/>
  <c r="M38" i="6" s="1"/>
  <c r="M8" i="6"/>
  <c r="L21" i="6" s="1"/>
  <c r="L38" i="6" s="1"/>
  <c r="N8" i="6"/>
  <c r="E21" i="6"/>
  <c r="F21" i="6" s="1"/>
  <c r="F38" i="6" s="1"/>
  <c r="E20" i="3" s="1"/>
  <c r="B9" i="6"/>
  <c r="B22" i="6"/>
  <c r="C9" i="6"/>
  <c r="D9" i="6"/>
  <c r="E9" i="6"/>
  <c r="F9" i="6"/>
  <c r="Q22" i="6" s="1"/>
  <c r="Q43" i="6" s="1"/>
  <c r="G9" i="6"/>
  <c r="H9" i="6"/>
  <c r="I9" i="6"/>
  <c r="D22" i="6"/>
  <c r="D43" i="6" s="1"/>
  <c r="C25" i="3" s="1"/>
  <c r="J9" i="6"/>
  <c r="K9" i="6"/>
  <c r="N22" i="6" s="1"/>
  <c r="N43" i="6" s="1"/>
  <c r="L9" i="6"/>
  <c r="M22" i="6" s="1"/>
  <c r="M43" i="6" s="1"/>
  <c r="M9" i="6"/>
  <c r="L22" i="6" s="1"/>
  <c r="L43" i="6" s="1"/>
  <c r="N9" i="6"/>
  <c r="E22" i="6" s="1"/>
  <c r="B10" i="6"/>
  <c r="C10" i="6"/>
  <c r="D10" i="6"/>
  <c r="E10" i="6"/>
  <c r="F10" i="6"/>
  <c r="H23" i="6" s="1"/>
  <c r="H48" i="6" s="1"/>
  <c r="G30" i="3" s="1"/>
  <c r="G10" i="6"/>
  <c r="H10" i="6"/>
  <c r="I10" i="6"/>
  <c r="D23" i="6"/>
  <c r="D48" i="6" s="1"/>
  <c r="C30" i="3" s="1"/>
  <c r="J10" i="6"/>
  <c r="K10" i="6"/>
  <c r="N23" i="6" s="1"/>
  <c r="N48" i="6" s="1"/>
  <c r="M30" i="3" s="1"/>
  <c r="L10" i="6"/>
  <c r="M23" i="6"/>
  <c r="M48" i="6" s="1"/>
  <c r="L30" i="3" s="1"/>
  <c r="M10" i="6"/>
  <c r="N10" i="6"/>
  <c r="E23" i="6" s="1"/>
  <c r="E48" i="6" s="1"/>
  <c r="D12" i="6"/>
  <c r="D13" i="6"/>
  <c r="B3" i="3" s="1"/>
  <c r="B18" i="6"/>
  <c r="E28" i="6"/>
  <c r="D10" i="3" s="1"/>
  <c r="K18" i="6"/>
  <c r="K28" i="6" s="1"/>
  <c r="J10" i="3" s="1"/>
  <c r="O18" i="6"/>
  <c r="O28" i="6" s="1"/>
  <c r="N10" i="3" s="1"/>
  <c r="R18" i="6"/>
  <c r="R28" i="6" s="1"/>
  <c r="Q10" i="3" s="1"/>
  <c r="B19" i="6"/>
  <c r="D29" i="6"/>
  <c r="K19" i="6"/>
  <c r="K29" i="6" s="1"/>
  <c r="N19" i="6"/>
  <c r="N29" i="6" s="1"/>
  <c r="N31" i="6" s="1"/>
  <c r="M13" i="3" s="1"/>
  <c r="O19" i="6"/>
  <c r="P19" i="6"/>
  <c r="R19" i="6"/>
  <c r="B20" i="6"/>
  <c r="E20" i="6"/>
  <c r="E33" i="6" s="1"/>
  <c r="K20" i="6"/>
  <c r="K33" i="6" s="1"/>
  <c r="R20" i="6"/>
  <c r="B21" i="6"/>
  <c r="K21" i="6"/>
  <c r="K38" i="6" s="1"/>
  <c r="J20" i="3" s="1"/>
  <c r="P21" i="6"/>
  <c r="P38" i="6" s="1"/>
  <c r="E43" i="6"/>
  <c r="K22" i="6"/>
  <c r="K43" i="6" s="1"/>
  <c r="O22" i="6"/>
  <c r="O43" i="6" s="1"/>
  <c r="N25" i="3" s="1"/>
  <c r="P22" i="6"/>
  <c r="R22" i="6"/>
  <c r="B23" i="6"/>
  <c r="C36" i="6" s="1"/>
  <c r="B18" i="3" s="1"/>
  <c r="K23" i="6"/>
  <c r="L23" i="6"/>
  <c r="L48" i="6" s="1"/>
  <c r="K30" i="3" s="1"/>
  <c r="O23" i="6"/>
  <c r="R23" i="6"/>
  <c r="G28" i="6"/>
  <c r="F10" i="3"/>
  <c r="I28" i="6"/>
  <c r="H10" i="3"/>
  <c r="Q28" i="6"/>
  <c r="P10" i="3"/>
  <c r="B29" i="6"/>
  <c r="G30" i="6" s="1"/>
  <c r="F12" i="3" s="1"/>
  <c r="G29" i="6"/>
  <c r="F11" i="3"/>
  <c r="I29" i="6"/>
  <c r="M29" i="6"/>
  <c r="L11" i="3" s="1"/>
  <c r="O29" i="6"/>
  <c r="P29" i="6"/>
  <c r="O11" i="3" s="1"/>
  <c r="Q29" i="6"/>
  <c r="D33" i="6"/>
  <c r="G33" i="6"/>
  <c r="I33" i="6"/>
  <c r="G34" i="6"/>
  <c r="F16" i="3"/>
  <c r="G36" i="6"/>
  <c r="F18" i="3"/>
  <c r="I37" i="6"/>
  <c r="H19" i="3"/>
  <c r="G38" i="6"/>
  <c r="F20" i="3"/>
  <c r="I38" i="6"/>
  <c r="M20" i="3"/>
  <c r="I41" i="6"/>
  <c r="H23" i="3"/>
  <c r="I42" i="6"/>
  <c r="G43" i="6"/>
  <c r="I43" i="6"/>
  <c r="H25" i="3"/>
  <c r="P43" i="6"/>
  <c r="R43" i="6"/>
  <c r="Q25" i="3" s="1"/>
  <c r="R44" i="6"/>
  <c r="Q26" i="3" s="1"/>
  <c r="I45" i="6"/>
  <c r="H27" i="3"/>
  <c r="I46" i="6"/>
  <c r="H28" i="3"/>
  <c r="G48" i="6"/>
  <c r="I48" i="6"/>
  <c r="K48" i="6"/>
  <c r="J30" i="3" s="1"/>
  <c r="O48" i="6"/>
  <c r="C1" i="8"/>
  <c r="E5" i="8"/>
  <c r="F5" i="8"/>
  <c r="H5" i="8"/>
  <c r="J5" i="8"/>
  <c r="K5" i="8"/>
  <c r="L5" i="8"/>
  <c r="I6" i="8"/>
  <c r="J6" i="8"/>
  <c r="K6" i="8"/>
  <c r="L6" i="8"/>
  <c r="M6" i="8"/>
  <c r="N6" i="8" s="1"/>
  <c r="O6" i="8"/>
  <c r="C7" i="8"/>
  <c r="B14" i="5"/>
  <c r="D7" i="8"/>
  <c r="E7" i="8"/>
  <c r="H7" i="8"/>
  <c r="I7" i="8"/>
  <c r="O7" i="8" s="1"/>
  <c r="J7" i="8"/>
  <c r="K7" i="8"/>
  <c r="L7" i="8"/>
  <c r="J8" i="8"/>
  <c r="J22" i="8"/>
  <c r="K8" i="8"/>
  <c r="L8" i="8"/>
  <c r="L22" i="8" s="1"/>
  <c r="J9" i="8"/>
  <c r="K9" i="8"/>
  <c r="K23" i="8" s="1"/>
  <c r="L9" i="8"/>
  <c r="L23" i="8" s="1"/>
  <c r="I10" i="8"/>
  <c r="J10" i="8"/>
  <c r="K10" i="8"/>
  <c r="L10" i="8"/>
  <c r="I11" i="8"/>
  <c r="J11" i="8"/>
  <c r="J25" i="8" s="1"/>
  <c r="K11" i="8"/>
  <c r="L11" i="8"/>
  <c r="L25" i="8" s="1"/>
  <c r="C21" i="8"/>
  <c r="C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K22" i="8"/>
  <c r="J23" i="8"/>
  <c r="I24" i="8"/>
  <c r="I25" i="8"/>
  <c r="K25" i="8"/>
  <c r="I26" i="8"/>
  <c r="I28" i="8"/>
  <c r="C5" i="7"/>
  <c r="C6" i="7" s="1"/>
  <c r="C23" i="7" s="1"/>
  <c r="C7" i="7"/>
  <c r="D19" i="7" s="1"/>
  <c r="F19" i="7" s="1"/>
  <c r="F7" i="7"/>
  <c r="C8" i="7"/>
  <c r="C9" i="7"/>
  <c r="C10" i="7"/>
  <c r="C11" i="7"/>
  <c r="B16" i="7"/>
  <c r="B17" i="7"/>
  <c r="B18" i="7"/>
  <c r="B19" i="7"/>
  <c r="B20" i="7"/>
  <c r="B21" i="7"/>
  <c r="B22" i="7"/>
  <c r="B23" i="7"/>
  <c r="B24" i="7"/>
  <c r="B25" i="5"/>
  <c r="B80" i="5"/>
  <c r="B79" i="5" s="1"/>
  <c r="C2" i="8" s="1"/>
  <c r="I12" i="8" s="1"/>
  <c r="B28" i="5"/>
  <c r="B29" i="5" s="1"/>
  <c r="G47" i="6"/>
  <c r="F29" i="3"/>
  <c r="C15" i="7"/>
  <c r="B8" i="4" s="1"/>
  <c r="C17" i="7"/>
  <c r="B10" i="4" s="1"/>
  <c r="C19" i="7"/>
  <c r="B12" i="4" s="1"/>
  <c r="H11" i="3"/>
  <c r="I30" i="6"/>
  <c r="H12" i="3" s="1"/>
  <c r="G31" i="6"/>
  <c r="F13" i="3" s="1"/>
  <c r="K12" i="8"/>
  <c r="K24" i="8"/>
  <c r="F30" i="3"/>
  <c r="G44" i="6"/>
  <c r="F26" i="3"/>
  <c r="I44" i="6"/>
  <c r="H26" i="3"/>
  <c r="I47" i="6"/>
  <c r="H29" i="3"/>
  <c r="L47" i="6"/>
  <c r="K29" i="3" s="1"/>
  <c r="O20" i="3"/>
  <c r="P11" i="3"/>
  <c r="C20" i="6"/>
  <c r="C33" i="6"/>
  <c r="B15" i="3" s="1"/>
  <c r="C31" i="6"/>
  <c r="B13" i="3" s="1"/>
  <c r="C42" i="6"/>
  <c r="C37" i="6"/>
  <c r="B19" i="3" s="1"/>
  <c r="C45" i="6"/>
  <c r="B27" i="3" s="1"/>
  <c r="D25" i="3"/>
  <c r="H30" i="3"/>
  <c r="F25" i="3"/>
  <c r="G42" i="6"/>
  <c r="F24" i="3"/>
  <c r="G46" i="6"/>
  <c r="F28" i="3"/>
  <c r="G41" i="6"/>
  <c r="F23" i="3"/>
  <c r="G45" i="6"/>
  <c r="F27" i="3"/>
  <c r="G39" i="6"/>
  <c r="F21" i="3"/>
  <c r="L41" i="6"/>
  <c r="K23" i="3" s="1"/>
  <c r="M11" i="3"/>
  <c r="J24" i="8"/>
  <c r="G40" i="6"/>
  <c r="F22" i="3"/>
  <c r="H20" i="3"/>
  <c r="I34" i="6"/>
  <c r="H16" i="3"/>
  <c r="I36" i="6"/>
  <c r="H18" i="3"/>
  <c r="I40" i="6"/>
  <c r="H22" i="3"/>
  <c r="I39" i="6"/>
  <c r="H21" i="3"/>
  <c r="M15" i="3"/>
  <c r="G37" i="6"/>
  <c r="F19" i="3"/>
  <c r="H15" i="3"/>
  <c r="I35" i="6"/>
  <c r="H17" i="3"/>
  <c r="C11" i="3"/>
  <c r="F22" i="6"/>
  <c r="F43" i="6" s="1"/>
  <c r="H22" i="6"/>
  <c r="H43" i="6" s="1"/>
  <c r="K11" i="3"/>
  <c r="J18" i="6"/>
  <c r="J28" i="6" s="1"/>
  <c r="I10" i="3" s="1"/>
  <c r="H18" i="6"/>
  <c r="H28" i="6" s="1"/>
  <c r="G10" i="3" s="1"/>
  <c r="G35" i="6"/>
  <c r="F17" i="3"/>
  <c r="B2" i="3"/>
  <c r="E15" i="7"/>
  <c r="E25" i="3"/>
  <c r="B24" i="3"/>
  <c r="E17" i="7"/>
  <c r="E19" i="7"/>
  <c r="M45" i="6" l="1"/>
  <c r="L27" i="3" s="1"/>
  <c r="L25" i="3"/>
  <c r="M44" i="6"/>
  <c r="L26" i="3" s="1"/>
  <c r="M40" i="6"/>
  <c r="L22" i="3" s="1"/>
  <c r="L20" i="3"/>
  <c r="D35" i="6"/>
  <c r="T35" i="6" s="1"/>
  <c r="D34" i="6"/>
  <c r="C16" i="3" s="1"/>
  <c r="D36" i="6"/>
  <c r="C18" i="3" s="1"/>
  <c r="O31" i="6"/>
  <c r="N13" i="3" s="1"/>
  <c r="O34" i="6"/>
  <c r="N16" i="3" s="1"/>
  <c r="O37" i="6"/>
  <c r="N19" i="3" s="1"/>
  <c r="O36" i="6"/>
  <c r="N18" i="3" s="1"/>
  <c r="E23" i="7"/>
  <c r="B16" i="4"/>
  <c r="C10" i="3"/>
  <c r="E47" i="6"/>
  <c r="D29" i="3" s="1"/>
  <c r="E45" i="6"/>
  <c r="D27" i="3" s="1"/>
  <c r="E46" i="6"/>
  <c r="D28" i="3" s="1"/>
  <c r="E44" i="6"/>
  <c r="D26" i="3" s="1"/>
  <c r="D30" i="3"/>
  <c r="M37" i="6"/>
  <c r="L19" i="3" s="1"/>
  <c r="M32" i="6"/>
  <c r="L14" i="3" s="1"/>
  <c r="L15" i="3"/>
  <c r="H45" i="6"/>
  <c r="G27" i="3" s="1"/>
  <c r="J12" i="8"/>
  <c r="J16" i="8" s="1"/>
  <c r="C44" i="6"/>
  <c r="B26" i="3" s="1"/>
  <c r="R25" i="3" s="1"/>
  <c r="C22" i="6"/>
  <c r="C34" i="6"/>
  <c r="B16" i="3" s="1"/>
  <c r="C28" i="6"/>
  <c r="B10" i="3" s="1"/>
  <c r="M30" i="6"/>
  <c r="L12" i="3" s="1"/>
  <c r="O25" i="3"/>
  <c r="K16" i="8"/>
  <c r="C6" i="5" s="1"/>
  <c r="B23" i="5"/>
  <c r="I5" i="8"/>
  <c r="L14" i="8" s="1"/>
  <c r="D47" i="6"/>
  <c r="C29" i="3" s="1"/>
  <c r="Q23" i="6"/>
  <c r="Q48" i="6" s="1"/>
  <c r="P30" i="3" s="1"/>
  <c r="Q21" i="6"/>
  <c r="Q38" i="6" s="1"/>
  <c r="P20" i="3" s="1"/>
  <c r="H21" i="6"/>
  <c r="H38" i="6" s="1"/>
  <c r="G20" i="3" s="1"/>
  <c r="L12" i="8"/>
  <c r="M7" i="8"/>
  <c r="H44" i="6"/>
  <c r="G26" i="3" s="1"/>
  <c r="C41" i="6"/>
  <c r="B23" i="3" s="1"/>
  <c r="C38" i="6"/>
  <c r="B20" i="3" s="1"/>
  <c r="C29" i="6"/>
  <c r="B11" i="3" s="1"/>
  <c r="P45" i="6"/>
  <c r="O27" i="3" s="1"/>
  <c r="O32" i="6"/>
  <c r="N14" i="3" s="1"/>
  <c r="M26" i="8"/>
  <c r="P23" i="6"/>
  <c r="P48" i="6" s="1"/>
  <c r="P44" i="6" s="1"/>
  <c r="O26" i="3" s="1"/>
  <c r="F18" i="6"/>
  <c r="F28" i="6" s="1"/>
  <c r="E10" i="3" s="1"/>
  <c r="O41" i="6"/>
  <c r="N23" i="3" s="1"/>
  <c r="I19" i="7"/>
  <c r="H19" i="7"/>
  <c r="I12" i="4" s="1"/>
  <c r="G19" i="7"/>
  <c r="B6" i="5"/>
  <c r="R11" i="8"/>
  <c r="Q41" i="6"/>
  <c r="P23" i="3" s="1"/>
  <c r="Q40" i="6"/>
  <c r="P22" i="3" s="1"/>
  <c r="Q42" i="6"/>
  <c r="P24" i="3" s="1"/>
  <c r="Q39" i="6"/>
  <c r="P21" i="3" s="1"/>
  <c r="Q44" i="6"/>
  <c r="P26" i="3" s="1"/>
  <c r="Q45" i="6"/>
  <c r="P27" i="3" s="1"/>
  <c r="L42" i="6"/>
  <c r="K24" i="3" s="1"/>
  <c r="L39" i="6"/>
  <c r="K21" i="3" s="1"/>
  <c r="L34" i="6"/>
  <c r="K16" i="3" s="1"/>
  <c r="K20" i="3"/>
  <c r="L35" i="6"/>
  <c r="K17" i="3" s="1"/>
  <c r="L37" i="6"/>
  <c r="K19" i="3" s="1"/>
  <c r="L40" i="6"/>
  <c r="K22" i="3" s="1"/>
  <c r="L36" i="6"/>
  <c r="K18" i="3" s="1"/>
  <c r="P25" i="3"/>
  <c r="H47" i="6"/>
  <c r="G29" i="3" s="1"/>
  <c r="H42" i="6"/>
  <c r="G24" i="3" s="1"/>
  <c r="H46" i="6"/>
  <c r="G28" i="3" s="1"/>
  <c r="C17" i="3"/>
  <c r="R17" i="3" s="1"/>
  <c r="G25" i="3"/>
  <c r="L16" i="8"/>
  <c r="Q12" i="8" s="1"/>
  <c r="R37" i="6"/>
  <c r="Q19" i="3" s="1"/>
  <c r="R33" i="6"/>
  <c r="Q15" i="3" s="1"/>
  <c r="R35" i="6"/>
  <c r="Q17" i="3" s="1"/>
  <c r="N45" i="6"/>
  <c r="M27" i="3" s="1"/>
  <c r="N47" i="6"/>
  <c r="M29" i="3" s="1"/>
  <c r="N44" i="6"/>
  <c r="M26" i="3" s="1"/>
  <c r="N46" i="6"/>
  <c r="M28" i="3" s="1"/>
  <c r="J22" i="6"/>
  <c r="J43" i="6" s="1"/>
  <c r="J39" i="6" s="1"/>
  <c r="I21" i="3" s="1"/>
  <c r="N40" i="6"/>
  <c r="M22" i="3" s="1"/>
  <c r="N41" i="6"/>
  <c r="M23" i="3" s="1"/>
  <c r="N39" i="6"/>
  <c r="M21" i="3" s="1"/>
  <c r="N42" i="6"/>
  <c r="M24" i="3" s="1"/>
  <c r="R12" i="8"/>
  <c r="F42" i="6"/>
  <c r="E24" i="3" s="1"/>
  <c r="D23" i="7"/>
  <c r="F23" i="7" s="1"/>
  <c r="F41" i="6"/>
  <c r="E23" i="3" s="1"/>
  <c r="D17" i="7"/>
  <c r="F17" i="7" s="1"/>
  <c r="F40" i="6"/>
  <c r="E22" i="3" s="1"/>
  <c r="M25" i="3"/>
  <c r="M31" i="6"/>
  <c r="L13" i="3" s="1"/>
  <c r="L30" i="6"/>
  <c r="K12" i="3" s="1"/>
  <c r="D15" i="7"/>
  <c r="F15" i="7" s="1"/>
  <c r="D8" i="8"/>
  <c r="E22" i="8" s="1"/>
  <c r="E12" i="8"/>
  <c r="M12" i="8" s="1"/>
  <c r="I22" i="8"/>
  <c r="I23" i="8"/>
  <c r="I9" i="8"/>
  <c r="D9" i="8"/>
  <c r="E23" i="8" s="1"/>
  <c r="I8" i="8"/>
  <c r="M11" i="8"/>
  <c r="C11" i="8"/>
  <c r="C25" i="8" s="1"/>
  <c r="E25" i="8"/>
  <c r="C24" i="8"/>
  <c r="C10" i="8" s="1"/>
  <c r="I21" i="8"/>
  <c r="E24" i="8"/>
  <c r="I27" i="8"/>
  <c r="C15" i="3"/>
  <c r="D37" i="6"/>
  <c r="N11" i="3"/>
  <c r="O30" i="6"/>
  <c r="N12" i="3" s="1"/>
  <c r="N37" i="6"/>
  <c r="M19" i="3" s="1"/>
  <c r="N35" i="6"/>
  <c r="M17" i="3" s="1"/>
  <c r="N36" i="6"/>
  <c r="M18" i="3" s="1"/>
  <c r="N34" i="6"/>
  <c r="M16" i="3" s="1"/>
  <c r="Q20" i="6"/>
  <c r="Q33" i="6" s="1"/>
  <c r="P20" i="6"/>
  <c r="P33" i="6" s="1"/>
  <c r="J20" i="6"/>
  <c r="J33" i="6" s="1"/>
  <c r="H20" i="6"/>
  <c r="H33" i="6" s="1"/>
  <c r="M35" i="6"/>
  <c r="L17" i="3" s="1"/>
  <c r="M34" i="6"/>
  <c r="L16" i="3" s="1"/>
  <c r="M36" i="6"/>
  <c r="L18" i="3" s="1"/>
  <c r="I31" i="6"/>
  <c r="H13" i="3" s="1"/>
  <c r="L32" i="6"/>
  <c r="K14" i="3" s="1"/>
  <c r="I32" i="6"/>
  <c r="H14" i="3" s="1"/>
  <c r="N32" i="6"/>
  <c r="M14" i="3" s="1"/>
  <c r="Q30" i="6"/>
  <c r="P12" i="3" s="1"/>
  <c r="D42" i="6"/>
  <c r="D40" i="6"/>
  <c r="D39" i="6"/>
  <c r="D41" i="6"/>
  <c r="D32" i="6"/>
  <c r="D30" i="6"/>
  <c r="D31" i="6"/>
  <c r="L44" i="6"/>
  <c r="K26" i="3" s="1"/>
  <c r="L45" i="6"/>
  <c r="K27" i="3" s="1"/>
  <c r="D46" i="6"/>
  <c r="D45" i="6"/>
  <c r="O40" i="6"/>
  <c r="N22" i="3" s="1"/>
  <c r="O39" i="6"/>
  <c r="N21" i="3" s="1"/>
  <c r="N20" i="3"/>
  <c r="F39" i="6"/>
  <c r="E21" i="3" s="1"/>
  <c r="D15" i="3"/>
  <c r="O42" i="6"/>
  <c r="N24" i="3" s="1"/>
  <c r="C20" i="3"/>
  <c r="N30" i="6"/>
  <c r="M12" i="3" s="1"/>
  <c r="D44" i="6"/>
  <c r="L46" i="6"/>
  <c r="K28" i="3" s="1"/>
  <c r="K25" i="3"/>
  <c r="L31" i="6"/>
  <c r="K13" i="3" s="1"/>
  <c r="G32" i="6"/>
  <c r="F14" i="3" s="1"/>
  <c r="O12" i="8"/>
  <c r="I16" i="8"/>
  <c r="E6" i="5" s="1"/>
  <c r="L24" i="8"/>
  <c r="O26" i="8"/>
  <c r="N26" i="8"/>
  <c r="I15" i="8"/>
  <c r="J15" i="8"/>
  <c r="N7" i="8"/>
  <c r="K15" i="8"/>
  <c r="C7" i="5" s="1"/>
  <c r="L15" i="8"/>
  <c r="N30" i="3"/>
  <c r="O46" i="6"/>
  <c r="N28" i="3" s="1"/>
  <c r="O44" i="6"/>
  <c r="N26" i="3" s="1"/>
  <c r="O45" i="6"/>
  <c r="N27" i="3" s="1"/>
  <c r="E38" i="6"/>
  <c r="E36" i="6" s="1"/>
  <c r="D18" i="3" s="1"/>
  <c r="R34" i="6"/>
  <c r="Q16" i="3" s="1"/>
  <c r="M46" i="6"/>
  <c r="L28" i="3" s="1"/>
  <c r="M42" i="6"/>
  <c r="L24" i="3" s="1"/>
  <c r="M39" i="6"/>
  <c r="L21" i="3" s="1"/>
  <c r="M47" i="6"/>
  <c r="L29" i="3" s="1"/>
  <c r="P39" i="6"/>
  <c r="O21" i="3" s="1"/>
  <c r="P41" i="6"/>
  <c r="O23" i="3" s="1"/>
  <c r="P42" i="6"/>
  <c r="O24" i="3" s="1"/>
  <c r="P40" i="6"/>
  <c r="O22" i="3" s="1"/>
  <c r="C35" i="6"/>
  <c r="C39" i="6"/>
  <c r="B21" i="3" s="1"/>
  <c r="C43" i="6"/>
  <c r="B25" i="3" s="1"/>
  <c r="C40" i="6"/>
  <c r="B22" i="3" s="1"/>
  <c r="C32" i="6"/>
  <c r="C48" i="6"/>
  <c r="C30" i="6"/>
  <c r="B12" i="3" s="1"/>
  <c r="R11" i="3" s="1"/>
  <c r="C23" i="6"/>
  <c r="C46" i="6"/>
  <c r="B28" i="3" s="1"/>
  <c r="C19" i="6"/>
  <c r="C47" i="6"/>
  <c r="B29" i="3" s="1"/>
  <c r="C18" i="6"/>
  <c r="C21" i="6"/>
  <c r="E19" i="6"/>
  <c r="E29" i="6" s="1"/>
  <c r="R39" i="6"/>
  <c r="Q21" i="3" s="1"/>
  <c r="R45" i="6"/>
  <c r="Q27" i="3" s="1"/>
  <c r="R40" i="6"/>
  <c r="Q22" i="3" s="1"/>
  <c r="R41" i="6"/>
  <c r="Q23" i="3" s="1"/>
  <c r="R42" i="6"/>
  <c r="Q24" i="3" s="1"/>
  <c r="O35" i="6"/>
  <c r="N17" i="3" s="1"/>
  <c r="N15" i="3"/>
  <c r="C16" i="7"/>
  <c r="E16" i="7" s="1"/>
  <c r="C24" i="7"/>
  <c r="B17" i="4" s="1"/>
  <c r="C22" i="7"/>
  <c r="D22" i="7" s="1"/>
  <c r="C21" i="7"/>
  <c r="C20" i="7"/>
  <c r="C18" i="7"/>
  <c r="R46" i="6"/>
  <c r="Q28" i="3" s="1"/>
  <c r="R47" i="6"/>
  <c r="Q29" i="3" s="1"/>
  <c r="R48" i="6"/>
  <c r="Q30" i="3" s="1"/>
  <c r="O47" i="6"/>
  <c r="N29" i="3" s="1"/>
  <c r="M41" i="6"/>
  <c r="L23" i="3" s="1"/>
  <c r="R29" i="6"/>
  <c r="Q11" i="3" s="1"/>
  <c r="R30" i="6"/>
  <c r="Q12" i="3" s="1"/>
  <c r="F23" i="6"/>
  <c r="F48" i="6" s="1"/>
  <c r="E30" i="3" s="1"/>
  <c r="J23" i="6"/>
  <c r="J48" i="6" s="1"/>
  <c r="I30" i="3" s="1"/>
  <c r="F20" i="6"/>
  <c r="F33" i="6" s="1"/>
  <c r="H19" i="6"/>
  <c r="H29" i="6" s="1"/>
  <c r="J19" i="6"/>
  <c r="J29" i="6" s="1"/>
  <c r="K35" i="6"/>
  <c r="J17" i="3" s="1"/>
  <c r="K36" i="6"/>
  <c r="J18" i="3" s="1"/>
  <c r="K37" i="6"/>
  <c r="J19" i="3" s="1"/>
  <c r="K34" i="6"/>
  <c r="J16" i="3" s="1"/>
  <c r="J15" i="3"/>
  <c r="K30" i="6"/>
  <c r="J12" i="3" s="1"/>
  <c r="J11" i="3"/>
  <c r="K31" i="6"/>
  <c r="J13" i="3" s="1"/>
  <c r="K32" i="6"/>
  <c r="J14" i="3" s="1"/>
  <c r="K44" i="6"/>
  <c r="J26" i="3" s="1"/>
  <c r="K46" i="6"/>
  <c r="J28" i="3" s="1"/>
  <c r="K45" i="6"/>
  <c r="J27" i="3" s="1"/>
  <c r="K39" i="6"/>
  <c r="J21" i="3" s="1"/>
  <c r="K40" i="6"/>
  <c r="J22" i="3" s="1"/>
  <c r="J25" i="3"/>
  <c r="K47" i="6"/>
  <c r="J29" i="3" s="1"/>
  <c r="K42" i="6"/>
  <c r="J24" i="3" s="1"/>
  <c r="K41" i="6"/>
  <c r="J23" i="3" s="1"/>
  <c r="R36" i="6"/>
  <c r="Q18" i="3" s="1"/>
  <c r="R32" i="6"/>
  <c r="Q14" i="3" s="1"/>
  <c r="R31" i="6"/>
  <c r="Q13" i="3" s="1"/>
  <c r="R38" i="6"/>
  <c r="Q20" i="3" s="1"/>
  <c r="D8" i="5" l="1"/>
  <c r="H40" i="6"/>
  <c r="G22" i="3" s="1"/>
  <c r="T43" i="6"/>
  <c r="T29" i="6"/>
  <c r="H39" i="6"/>
  <c r="G21" i="3" s="1"/>
  <c r="Q46" i="6"/>
  <c r="P28" i="3" s="1"/>
  <c r="Q47" i="6"/>
  <c r="P29" i="3" s="1"/>
  <c r="P47" i="6"/>
  <c r="O29" i="3" s="1"/>
  <c r="O30" i="3"/>
  <c r="P46" i="6"/>
  <c r="O28" i="3" s="1"/>
  <c r="T28" i="6"/>
  <c r="M5" i="8"/>
  <c r="I14" i="8"/>
  <c r="E8" i="5" s="1"/>
  <c r="J14" i="8"/>
  <c r="K14" i="8"/>
  <c r="P5" i="8"/>
  <c r="J40" i="6"/>
  <c r="I22" i="3" s="1"/>
  <c r="H41" i="6"/>
  <c r="G23" i="3" s="1"/>
  <c r="R10" i="3"/>
  <c r="F37" i="6"/>
  <c r="E19" i="3" s="1"/>
  <c r="E15" i="3"/>
  <c r="F36" i="6"/>
  <c r="E18" i="3" s="1"/>
  <c r="F35" i="6"/>
  <c r="E17" i="3" s="1"/>
  <c r="F34" i="6"/>
  <c r="E16" i="3" s="1"/>
  <c r="E31" i="6"/>
  <c r="D13" i="3" s="1"/>
  <c r="E30" i="6"/>
  <c r="D12" i="3" s="1"/>
  <c r="E32" i="6"/>
  <c r="D14" i="3" s="1"/>
  <c r="D11" i="3"/>
  <c r="B30" i="3"/>
  <c r="T48" i="6"/>
  <c r="D7" i="5"/>
  <c r="Q10" i="8"/>
  <c r="Q7" i="8"/>
  <c r="P7" i="8"/>
  <c r="C26" i="3"/>
  <c r="R26" i="3" s="1"/>
  <c r="T44" i="6"/>
  <c r="C27" i="3"/>
  <c r="R27" i="3" s="1"/>
  <c r="T45" i="6"/>
  <c r="T31" i="6"/>
  <c r="C13" i="3"/>
  <c r="R13" i="3" s="1"/>
  <c r="C24" i="3"/>
  <c r="R24" i="3" s="1"/>
  <c r="T42" i="6"/>
  <c r="P37" i="6"/>
  <c r="O19" i="3" s="1"/>
  <c r="P36" i="6"/>
  <c r="O18" i="3" s="1"/>
  <c r="P35" i="6"/>
  <c r="O17" i="3" s="1"/>
  <c r="P34" i="6"/>
  <c r="O16" i="3" s="1"/>
  <c r="O15" i="3"/>
  <c r="T37" i="6"/>
  <c r="C19" i="3"/>
  <c r="R19" i="3" s="1"/>
  <c r="O21" i="8"/>
  <c r="N21" i="8"/>
  <c r="J30" i="8"/>
  <c r="Q27" i="8" s="1"/>
  <c r="L30" i="8"/>
  <c r="Q23" i="8" s="1"/>
  <c r="M21" i="8"/>
  <c r="K30" i="8"/>
  <c r="R21" i="8" s="1"/>
  <c r="I30" i="8"/>
  <c r="E5" i="5" s="1"/>
  <c r="N11" i="8"/>
  <c r="M23" i="8"/>
  <c r="G17" i="7"/>
  <c r="I17" i="7"/>
  <c r="H17" i="7"/>
  <c r="I10" i="4" s="1"/>
  <c r="F46" i="6"/>
  <c r="E28" i="3" s="1"/>
  <c r="P10" i="8"/>
  <c r="K19" i="7"/>
  <c r="H12" i="4" s="1"/>
  <c r="L19" i="7"/>
  <c r="N19" i="7" s="1"/>
  <c r="J19" i="7"/>
  <c r="B15" i="4"/>
  <c r="E22" i="7"/>
  <c r="F22" i="7" s="1"/>
  <c r="B14" i="3"/>
  <c r="T33" i="6"/>
  <c r="B17" i="3"/>
  <c r="T34" i="6"/>
  <c r="T36" i="6"/>
  <c r="E7" i="5"/>
  <c r="T46" i="6"/>
  <c r="C28" i="3"/>
  <c r="R28" i="3" s="1"/>
  <c r="C12" i="3"/>
  <c r="R12" i="3" s="1"/>
  <c r="T30" i="6"/>
  <c r="C23" i="3"/>
  <c r="R23" i="3" s="1"/>
  <c r="T41" i="6"/>
  <c r="T47" i="6"/>
  <c r="P15" i="3"/>
  <c r="Q32" i="6"/>
  <c r="P14" i="3" s="1"/>
  <c r="Q35" i="6"/>
  <c r="P17" i="3" s="1"/>
  <c r="Q31" i="6"/>
  <c r="P13" i="3" s="1"/>
  <c r="Q36" i="6"/>
  <c r="P18" i="3" s="1"/>
  <c r="Q37" i="6"/>
  <c r="P19" i="3" s="1"/>
  <c r="Q34" i="6"/>
  <c r="P16" i="3" s="1"/>
  <c r="R15" i="3"/>
  <c r="M8" i="8"/>
  <c r="Q8" i="8"/>
  <c r="R8" i="8"/>
  <c r="P8" i="8"/>
  <c r="M22" i="8"/>
  <c r="H15" i="7"/>
  <c r="I8" i="4" s="1"/>
  <c r="I15" i="7"/>
  <c r="G15" i="7"/>
  <c r="P31" i="6"/>
  <c r="O13" i="3" s="1"/>
  <c r="F45" i="6"/>
  <c r="E27" i="3" s="1"/>
  <c r="E21" i="7"/>
  <c r="D21" i="7"/>
  <c r="B14" i="4"/>
  <c r="J32" i="6"/>
  <c r="I14" i="3" s="1"/>
  <c r="I11" i="3"/>
  <c r="J30" i="6"/>
  <c r="I12" i="3" s="1"/>
  <c r="J31" i="6"/>
  <c r="I13" i="3" s="1"/>
  <c r="B11" i="4"/>
  <c r="D18" i="7"/>
  <c r="E18" i="7"/>
  <c r="R20" i="3"/>
  <c r="C14" i="3"/>
  <c r="R14" i="3" s="1"/>
  <c r="T32" i="6"/>
  <c r="C21" i="3"/>
  <c r="R21" i="3" s="1"/>
  <c r="T39" i="6"/>
  <c r="H34" i="6"/>
  <c r="G16" i="3" s="1"/>
  <c r="H35" i="6"/>
  <c r="G17" i="3" s="1"/>
  <c r="H37" i="6"/>
  <c r="G19" i="3" s="1"/>
  <c r="H36" i="6"/>
  <c r="G18" i="3" s="1"/>
  <c r="G15" i="3"/>
  <c r="D25" i="8"/>
  <c r="O25" i="8"/>
  <c r="G23" i="7"/>
  <c r="H23" i="7"/>
  <c r="I16" i="4" s="1"/>
  <c r="I23" i="7"/>
  <c r="F47" i="6"/>
  <c r="E29" i="3" s="1"/>
  <c r="D24" i="7"/>
  <c r="C12" i="4"/>
  <c r="O19" i="7"/>
  <c r="H32" i="6"/>
  <c r="G14" i="3" s="1"/>
  <c r="G11" i="3"/>
  <c r="H30" i="6"/>
  <c r="G12" i="3" s="1"/>
  <c r="H31" i="6"/>
  <c r="G13" i="3" s="1"/>
  <c r="B13" i="4"/>
  <c r="D20" i="7"/>
  <c r="E20" i="7"/>
  <c r="B9" i="4"/>
  <c r="D16" i="7"/>
  <c r="F16" i="7" s="1"/>
  <c r="F19" i="6"/>
  <c r="F29" i="6" s="1"/>
  <c r="E41" i="6"/>
  <c r="D23" i="3" s="1"/>
  <c r="E42" i="6"/>
  <c r="D24" i="3" s="1"/>
  <c r="D20" i="3"/>
  <c r="E40" i="6"/>
  <c r="D22" i="3" s="1"/>
  <c r="E39" i="6"/>
  <c r="D21" i="3" s="1"/>
  <c r="E35" i="6"/>
  <c r="D17" i="3" s="1"/>
  <c r="B7" i="5"/>
  <c r="R7" i="8"/>
  <c r="R10" i="8"/>
  <c r="N12" i="8"/>
  <c r="E37" i="6"/>
  <c r="D19" i="3" s="1"/>
  <c r="P30" i="6"/>
  <c r="O12" i="3" s="1"/>
  <c r="E34" i="6"/>
  <c r="D16" i="3" s="1"/>
  <c r="C22" i="3"/>
  <c r="R22" i="3" s="1"/>
  <c r="T40" i="6"/>
  <c r="I15" i="3"/>
  <c r="J34" i="6"/>
  <c r="I16" i="3" s="1"/>
  <c r="J35" i="6"/>
  <c r="I17" i="3" s="1"/>
  <c r="J36" i="6"/>
  <c r="I18" i="3" s="1"/>
  <c r="J37" i="6"/>
  <c r="I19" i="3" s="1"/>
  <c r="D24" i="8"/>
  <c r="M9" i="8"/>
  <c r="P9" i="8"/>
  <c r="R9" i="8"/>
  <c r="Q9" i="8"/>
  <c r="E24" i="7"/>
  <c r="P32" i="6"/>
  <c r="O14" i="3" s="1"/>
  <c r="J47" i="6"/>
  <c r="I29" i="3" s="1"/>
  <c r="J44" i="6"/>
  <c r="I26" i="3" s="1"/>
  <c r="I25" i="3"/>
  <c r="J45" i="6"/>
  <c r="I27" i="3" s="1"/>
  <c r="J46" i="6"/>
  <c r="I28" i="3" s="1"/>
  <c r="J41" i="6"/>
  <c r="I23" i="3" s="1"/>
  <c r="J42" i="6"/>
  <c r="I24" i="3" s="1"/>
  <c r="Q11" i="8"/>
  <c r="P12" i="8"/>
  <c r="D6" i="5"/>
  <c r="P11" i="8"/>
  <c r="F44" i="6"/>
  <c r="E26" i="3" s="1"/>
  <c r="T38" i="6"/>
  <c r="R27" i="8" l="1"/>
  <c r="L17" i="8"/>
  <c r="R23" i="8"/>
  <c r="B101" i="5"/>
  <c r="B8" i="5"/>
  <c r="B44" i="5" s="1"/>
  <c r="R6" i="8"/>
  <c r="M16" i="8"/>
  <c r="F6" i="5" s="1"/>
  <c r="R22" i="8"/>
  <c r="K17" i="8"/>
  <c r="C8" i="5"/>
  <c r="P6" i="8"/>
  <c r="M14" i="8" s="1"/>
  <c r="F8" i="5" s="1"/>
  <c r="R5" i="8"/>
  <c r="Q6" i="8"/>
  <c r="F21" i="7"/>
  <c r="T50" i="6"/>
  <c r="J17" i="8"/>
  <c r="I17" i="8"/>
  <c r="K31" i="8" s="1"/>
  <c r="Q5" i="8"/>
  <c r="N5" i="8"/>
  <c r="O5" i="8"/>
  <c r="O14" i="8" s="1"/>
  <c r="H8" i="5" s="1"/>
  <c r="N8" i="8"/>
  <c r="O8" i="8"/>
  <c r="J31" i="8"/>
  <c r="L31" i="8"/>
  <c r="I31" i="8"/>
  <c r="D12" i="4"/>
  <c r="M19" i="7"/>
  <c r="E12" i="4" s="1"/>
  <c r="H22" i="7"/>
  <c r="I15" i="4" s="1"/>
  <c r="I22" i="7"/>
  <c r="G22" i="7"/>
  <c r="D5" i="5"/>
  <c r="Q26" i="8"/>
  <c r="Q28" i="8"/>
  <c r="Q25" i="8"/>
  <c r="Q24" i="8"/>
  <c r="F32" i="6"/>
  <c r="E14" i="3" s="1"/>
  <c r="F30" i="6"/>
  <c r="E12" i="3" s="1"/>
  <c r="F31" i="6"/>
  <c r="E13" i="3" s="1"/>
  <c r="E11" i="3"/>
  <c r="F20" i="7"/>
  <c r="F24" i="7"/>
  <c r="O23" i="7"/>
  <c r="C16" i="4"/>
  <c r="P22" i="8"/>
  <c r="J12" i="4"/>
  <c r="K12" i="4"/>
  <c r="P28" i="8"/>
  <c r="P25" i="8"/>
  <c r="P24" i="8"/>
  <c r="C5" i="5"/>
  <c r="P26" i="8"/>
  <c r="B5" i="5"/>
  <c r="R28" i="8"/>
  <c r="R24" i="8"/>
  <c r="R26" i="8"/>
  <c r="R25" i="8"/>
  <c r="M24" i="8"/>
  <c r="N24" i="8"/>
  <c r="E10" i="8"/>
  <c r="N22" i="8"/>
  <c r="O22" i="8"/>
  <c r="O9" i="8"/>
  <c r="N9" i="8"/>
  <c r="I16" i="7"/>
  <c r="H16" i="7"/>
  <c r="I9" i="4" s="1"/>
  <c r="G16" i="7"/>
  <c r="P27" i="8"/>
  <c r="I21" i="7"/>
  <c r="H21" i="7"/>
  <c r="I14" i="4" s="1"/>
  <c r="G21" i="7"/>
  <c r="O15" i="7"/>
  <c r="C8" i="4"/>
  <c r="Q22" i="8"/>
  <c r="J17" i="7"/>
  <c r="L17" i="7"/>
  <c r="N17" i="7" s="1"/>
  <c r="K17" i="7"/>
  <c r="H10" i="4" s="1"/>
  <c r="O23" i="8"/>
  <c r="N23" i="8"/>
  <c r="N30" i="8" s="1"/>
  <c r="G5" i="5" s="1"/>
  <c r="N16" i="8"/>
  <c r="G6" i="5" s="1"/>
  <c r="O11" i="8"/>
  <c r="O16" i="8" s="1"/>
  <c r="H6" i="5" s="1"/>
  <c r="P21" i="8"/>
  <c r="R30" i="3"/>
  <c r="R29" i="3"/>
  <c r="O24" i="8"/>
  <c r="J23" i="7"/>
  <c r="K23" i="7"/>
  <c r="H16" i="4" s="1"/>
  <c r="L23" i="7"/>
  <c r="N23" i="7" s="1"/>
  <c r="M25" i="8"/>
  <c r="N25" i="8"/>
  <c r="F18" i="7"/>
  <c r="J15" i="7"/>
  <c r="K15" i="7"/>
  <c r="H8" i="4" s="1"/>
  <c r="L15" i="7"/>
  <c r="N15" i="7" s="1"/>
  <c r="R18" i="3"/>
  <c r="R16" i="3"/>
  <c r="R32" i="3" s="1"/>
  <c r="B100" i="5" s="1"/>
  <c r="B102" i="5" s="1"/>
  <c r="C10" i="4"/>
  <c r="O17" i="7"/>
  <c r="P23" i="8"/>
  <c r="Q21" i="8"/>
  <c r="O30" i="8" l="1"/>
  <c r="H5" i="5" s="1"/>
  <c r="M30" i="8"/>
  <c r="F5" i="5" s="1"/>
  <c r="N14" i="8"/>
  <c r="G8" i="5" s="1"/>
  <c r="M23" i="7"/>
  <c r="E16" i="4" s="1"/>
  <c r="D16" i="4"/>
  <c r="K21" i="7"/>
  <c r="H14" i="4" s="1"/>
  <c r="L21" i="7"/>
  <c r="N21" i="7" s="1"/>
  <c r="J21" i="7"/>
  <c r="K16" i="7"/>
  <c r="H9" i="4" s="1"/>
  <c r="J16" i="7"/>
  <c r="L16" i="7"/>
  <c r="N16" i="7" s="1"/>
  <c r="I24" i="7"/>
  <c r="H24" i="7"/>
  <c r="I17" i="4" s="1"/>
  <c r="G24" i="7"/>
  <c r="C15" i="4"/>
  <c r="O22" i="7"/>
  <c r="K8" i="4"/>
  <c r="J8" i="4"/>
  <c r="M15" i="7"/>
  <c r="E8" i="4" s="1"/>
  <c r="D8" i="4"/>
  <c r="J16" i="4"/>
  <c r="K16" i="4"/>
  <c r="J10" i="4"/>
  <c r="K10" i="4"/>
  <c r="M10" i="8"/>
  <c r="M15" i="8" s="1"/>
  <c r="F7" i="5" s="1"/>
  <c r="N10" i="8"/>
  <c r="N15" i="8" s="1"/>
  <c r="G7" i="5" s="1"/>
  <c r="O10" i="8"/>
  <c r="O15" i="8" s="1"/>
  <c r="H7" i="5" s="1"/>
  <c r="H20" i="7"/>
  <c r="I13" i="4" s="1"/>
  <c r="I20" i="7"/>
  <c r="G20" i="7"/>
  <c r="K22" i="7"/>
  <c r="H15" i="4" s="1"/>
  <c r="J22" i="7"/>
  <c r="L22" i="7"/>
  <c r="N22" i="7" s="1"/>
  <c r="I18" i="7"/>
  <c r="H18" i="7"/>
  <c r="I11" i="4" s="1"/>
  <c r="G18" i="7"/>
  <c r="D10" i="4"/>
  <c r="M17" i="7"/>
  <c r="E10" i="4" s="1"/>
  <c r="O21" i="7"/>
  <c r="C14" i="4"/>
  <c r="C9" i="4"/>
  <c r="O16" i="7"/>
  <c r="O20" i="7" l="1"/>
  <c r="C13" i="4"/>
  <c r="K9" i="4"/>
  <c r="J9" i="4"/>
  <c r="K14" i="4"/>
  <c r="J14" i="4"/>
  <c r="C11" i="4"/>
  <c r="O18" i="7"/>
  <c r="J15" i="4"/>
  <c r="K15" i="4"/>
  <c r="K20" i="7"/>
  <c r="H13" i="4" s="1"/>
  <c r="J20" i="7"/>
  <c r="L20" i="7"/>
  <c r="N20" i="7" s="1"/>
  <c r="C17" i="4"/>
  <c r="O24" i="7"/>
  <c r="D9" i="4"/>
  <c r="M16" i="7"/>
  <c r="E9" i="4" s="1"/>
  <c r="M22" i="7"/>
  <c r="E15" i="4" s="1"/>
  <c r="D15" i="4"/>
  <c r="J18" i="7"/>
  <c r="L18" i="7"/>
  <c r="N18" i="7" s="1"/>
  <c r="K18" i="7"/>
  <c r="H11" i="4" s="1"/>
  <c r="K24" i="7"/>
  <c r="H17" i="4" s="1"/>
  <c r="L24" i="7"/>
  <c r="N24" i="7" s="1"/>
  <c r="J24" i="7"/>
  <c r="M21" i="7"/>
  <c r="E14" i="4" s="1"/>
  <c r="D14" i="4"/>
  <c r="K11" i="4" l="1"/>
  <c r="J11" i="4"/>
  <c r="J13" i="4"/>
  <c r="K13" i="4"/>
  <c r="K17" i="4"/>
  <c r="J17" i="4"/>
  <c r="M18" i="7"/>
  <c r="E11" i="4" s="1"/>
  <c r="D11" i="4"/>
  <c r="M20" i="7"/>
  <c r="E13" i="4" s="1"/>
  <c r="D13" i="4"/>
  <c r="O26" i="7"/>
  <c r="B103" i="5" s="1"/>
  <c r="M24" i="7"/>
  <c r="E17" i="4" s="1"/>
  <c r="D17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model name = # of megawatts, configuration letter (A-Z), revision #.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<sst xmlns="http://schemas.openxmlformats.org/spreadsheetml/2006/main" count="599" uniqueCount="411">
  <si>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</si>
  <si>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</si>
  <si>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</si>
  <si>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</si>
  <si>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</si>
  <si>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</si>
  <si>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</si>
  <si>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</si>
  <si>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</si>
  <si>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</si>
  <si>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</si>
  <si>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</si>
  <si>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</si>
  <si>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</si>
  <si>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</si>
  <si>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</si>
  <si>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</si>
  <si>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</si>
  <si>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</si>
  <si>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</si>
  <si>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</si>
  <si>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</si>
  <si>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</si>
  <si>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</si>
  <si>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</si>
  <si>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</si>
  <si>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</si>
  <si>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</si>
  <si>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</si>
  <si>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</si>
  <si>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</si>
  <si>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</si>
  <si>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</si>
  <si>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</si>
  <si>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</si>
  <si>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</si>
  <si>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</si>
  <si>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</si>
  <si>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</si>
  <si>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</si>
  <si>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</si>
  <si>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</si>
  <si>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</si>
  <si>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</si>
  <si>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</si>
  <si>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</si>
  <si>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</si>
  <si>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</si>
  <si>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</si>
  <si>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</si>
  <si>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</si>
  <si>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</si>
  <si>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</si>
  <si>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</si>
  <si>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</si>
  <si>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</si>
  <si>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</si>
  <si>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</si>
  <si>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</si>
  <si>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</si>
  <si>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</si>
  <si>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</si>
  <si>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</si>
  <si>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</si>
  <si>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</si>
  <si>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Drivetrain torsional damper (N-m-sec/rad)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</si>
  <si>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</si>
  <si>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</si>
  <si>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</si>
  <si>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</si>
  <si>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</si>
  <si>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</si>
  <si>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</si>
  <si>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</si>
  <si>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</si>
  <si>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</si>
  <si>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</si>
  <si>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</si>
  <si>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</si>
  <si>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</si>
  <si>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</si>
  <si>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</si>
  <si>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</si>
  <si>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</si>
  <si>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</si>
  <si>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</si>
  <si>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</si>
  <si>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</si>
  <si>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</si>
  <si>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</si>
  <si>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</si>
  <si>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</si>
  <si>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</si>
  <si>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</si>
  <si>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</si>
  <si>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</si>
  <si>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</si>
  <si>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</si>
  <si>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</si>
  <si>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</si>
  <si>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</si>
  <si>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</si>
  <si>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</si>
  <si>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</si>
  <si>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</si>
  <si>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</si>
  <si>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</si>
  <si>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</si>
  <si>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</si>
  <si>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</si>
  <si>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</si>
  <si>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</si>
  <si>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</si>
  <si>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</si>
  <si>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</si>
  <si>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</si>
  <si>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</si>
  <si>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</si>
  <si>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</si>
  <si>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</si>
  <si>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</si>
  <si>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</si>
  <si>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</si>
  <si>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</si>
  <si>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</si>
  <si>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</si>
  <si>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</si>
  <si>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</si>
  <si>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</si>
  <si>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</si>
  <si>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</si>
  <si>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</si>
  <si>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</si>
  <si>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</si>
  <si>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</si>
  <si>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</si>
  <si>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</si>
  <si>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</si>
  <si>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</si>
  <si>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</si>
  <si>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</si>
  <si>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</si>
  <si>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</si>
  <si>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</si>
  <si>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</si>
  <si>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</si>
  <si>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</si>
  <si>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</si>
  <si>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</si>
  <si>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</si>
  <si>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</si>
  <si>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</si>
  <si>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</si>
  <si>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</si>
  <si>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</si>
  <si>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</si>
  <si>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</si>
  <si>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</si>
  <si>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</si>
  <si>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</si>
  <si>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</si>
  <si>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</si>
  <si>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</si>
  <si>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</si>
  <si>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</si>
  <si>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</si>
  <si>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</si>
  <si>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</si>
  <si>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</si>
  <si>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</si>
  <si>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</si>
  <si>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</si>
  <si>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</si>
  <si>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</si>
  <si>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</si>
  <si>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</si>
  <si>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</si>
  <si>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</si>
  <si>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</si>
  <si>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</si>
  <si>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</si>
  <si>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</si>
  <si>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</si>
  <si>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</si>
  <si>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</si>
  <si>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</si>
  <si>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</si>
  <si>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</si>
  <si>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</si>
  <si>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</si>
  <si>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</si>
  <si>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</si>
  <si>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</si>
  <si>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</si>
  <si>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</si>
  <si>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</si>
  <si>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</si>
  <si>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</si>
  <si>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</si>
  <si>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</si>
  <si>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</si>
  <si>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</si>
  <si>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</si>
  <si>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</si>
  <si>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</si>
  <si>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</si>
  <si>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</si>
  <si>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</si>
  <si>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</si>
  <si>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</si>
  <si>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</si>
  <si>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</si>
  <si>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</si>
  <si>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</si>
  <si>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</si>
  <si>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</si>
  <si>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</si>
  <si>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</si>
  <si>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</si>
  <si>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</si>
  <si>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</si>
  <si>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</si>
  <si>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</si>
  <si>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</si>
  <si>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</si>
  <si>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</si>
  <si>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</si>
  <si>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</si>
  <si>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</si>
  <si>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</si>
  <si>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</si>
  <si>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</si>
  <si>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</si>
  <si>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</si>
  <si>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</si>
  <si>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</si>
  <si>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</si>
  <si>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</si>
  <si>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</si>
  <si>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</si>
  <si>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</si>
  <si>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</si>
  <si>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</si>
  <si>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</si>
  <si>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</si>
  <si>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</si>
  <si>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</si>
  <si>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</si>
  <si>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</si>
  <si>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</si>
  <si>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</si>
  <si>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</si>
  <si>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</si>
  <si>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</si>
  <si>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</si>
  <si>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</si>
  <si>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</si>
  <si>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</si>
  <si>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</si>
  <si>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</si>
  <si>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</si>
  <si>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</si>
  <si>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</si>
  <si>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</si>
  <si>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</si>
  <si>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</si>
  <si>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</si>
  <si>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</si>
  <si>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</si>
  <si>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</si>
  <si>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</si>
  <si>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</si>
  <si>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</si>
  <si>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</si>
  <si>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</si>
  <si>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</si>
  <si>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</si>
  <si>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</si>
  <si>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</si>
  <si>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</si>
  <si>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</si>
  <si>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</si>
  <si>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</si>
  <si>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</si>
  <si>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</si>
  <si>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</si>
  <si>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</si>
  <si>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</si>
  <si>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</si>
  <si>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</si>
  <si>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</si>
  <si>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</si>
  <si>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</si>
  <si>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</si>
  <si>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</si>
  <si>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</si>
  <si>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</si>
  <si>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</si>
  <si>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</si>
  <si>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</si>
  <si>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</si>
  <si>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</si>
  <si>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</si>
  <si>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</si>
  <si>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</si>
  <si>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</si>
  <si>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</si>
  <si>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</si>
  <si>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</si>
  <si>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</si>
  <si>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</si>
  <si>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</si>
  <si>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</si>
  <si>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</si>
  <si>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</si>
  <si>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</si>
  <si>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</si>
  <si>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</si>
  <si>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</si>
  <si>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</si>
  <si>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</si>
  <si>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</si>
  <si>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</si>
  <si>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</si>
  <si>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</si>
  <si>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</si>
  <si>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</si>
  <si>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</si>
  <si>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</si>
  <si>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</si>
  <si>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</si>
  <si>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</si>
  <si>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</si>
  <si>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</si>
  <si>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</si>
  <si>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</si>
  <si>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</si>
  <si>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</si>
  <si>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</si>
  <si>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</si>
  <si>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</si>
  <si>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</si>
  <si>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</si>
  <si>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</si>
  <si>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</si>
  <si>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</si>
  <si>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</si>
  <si>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</si>
  <si>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</si>
  <si>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</si>
  <si>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</si>
  <si>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</si>
  <si>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</si>
  <si>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</si>
  <si>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</si>
  <si>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</si>
  <si>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</si>
  <si>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</si>
  <si>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</si>
  <si>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</si>
  <si>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</si>
  <si>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</si>
  <si>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</si>
  <si>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</si>
  <si>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</si>
  <si>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</si>
  <si>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</si>
  <si>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</si>
  <si>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</si>
  <si>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</si>
  <si>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</si>
  <si>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</si>
  <si>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</si>
  <si>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</si>
  <si>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</si>
  <si>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</si>
  <si>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</si>
  <si>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</si>
  <si>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</si>
  <si>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</si>
  <si>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s818_2702.dat</t>
  </si>
  <si>
    <t>s825_2102.dat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</si>
  <si>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</si>
  <si>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</si>
  <si>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</si>
  <si>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</si>
  <si>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</si>
  <si>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</si>
  <si>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</si>
  <si>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</si>
  <si>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</si>
  <si>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</si>
  <si>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</si>
  <si>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</si>
  <si>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</si>
  <si>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</si>
  <si>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</si>
  <si>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</si>
  <si>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</si>
  <si>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t>total tower</t>
  </si>
  <si>
    <t>Initially = 2*shaft OD, but 3.0 * OD seems to fit better</t>
  </si>
  <si>
    <t>1.5A08V00</t>
  </si>
  <si>
    <r>
      <t xml:space="preserve">750kW baseline. input file #08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</si>
  <si>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 xml:space="preserve">      Airfoil ID</t>
  </si>
  <si>
    <t>Airfoil ID</t>
  </si>
  <si>
    <t>Airfoil Filename</t>
  </si>
  <si>
    <t>s826_1602.dat</t>
  </si>
  <si>
    <t>&lt;--- AFName changed to match documentation/avaialble airfoils</t>
  </si>
  <si>
    <t>blade modal damping ratios</t>
  </si>
  <si>
    <t>Cylinder changed to produce correct AeroCent</t>
  </si>
  <si>
    <t>&lt;---- switched order to flap, flap,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</si>
</sst>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0E+00"/>
    <numFmt numFmtId="167" formatCode="0.0000"/>
    <numFmt numFmtId="168" formatCode="0.0E+00"/>
  </numFmts>
  <fonts count="36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  <family val="2"/>
    </font>
    <font>
      <sz val="9"/>
      <color indexed="8"/>
      <name val="Geneva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0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4" borderId="0" xfId="0" applyFont="1" applyFill="1"/>
    <xf numFmtId="0" fontId="19" fillId="4" borderId="0" xfId="0" applyFont="1" applyFill="1"/>
    <xf numFmtId="0" fontId="3" fillId="4" borderId="0" xfId="0" applyFont="1" applyFill="1"/>
    <xf numFmtId="0" fontId="0" fillId="4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5" borderId="27" xfId="0" applyNumberFormat="1" applyFont="1" applyFill="1" applyBorder="1" applyAlignment="1">
      <alignment horizontal="center"/>
    </xf>
    <xf numFmtId="0" fontId="19" fillId="5" borderId="23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2" fontId="19" fillId="5" borderId="1" xfId="0" applyNumberFormat="1" applyFont="1" applyFill="1" applyBorder="1" applyAlignment="1">
      <alignment horizontal="right"/>
    </xf>
    <xf numFmtId="2" fontId="19" fillId="5" borderId="1" xfId="0" applyNumberFormat="1" applyFont="1" applyFill="1" applyBorder="1"/>
    <xf numFmtId="164" fontId="19" fillId="5" borderId="0" xfId="0" applyNumberFormat="1" applyFont="1" applyFill="1" applyBorder="1"/>
    <xf numFmtId="1" fontId="19" fillId="5" borderId="0" xfId="0" applyNumberFormat="1" applyFont="1" applyFill="1" applyBorder="1"/>
    <xf numFmtId="3" fontId="19" fillId="5" borderId="0" xfId="0" applyNumberFormat="1" applyFont="1" applyFill="1" applyBorder="1"/>
    <xf numFmtId="0" fontId="19" fillId="5" borderId="0" xfId="0" applyFont="1" applyFill="1"/>
    <xf numFmtId="164" fontId="19" fillId="5" borderId="0" xfId="0" applyNumberFormat="1" applyFont="1" applyFill="1"/>
    <xf numFmtId="9" fontId="19" fillId="5" borderId="43" xfId="0" applyNumberFormat="1" applyFont="1" applyFill="1" applyBorder="1" applyAlignment="1">
      <alignment horizontal="center"/>
    </xf>
    <xf numFmtId="2" fontId="33" fillId="5" borderId="0" xfId="0" applyNumberFormat="1" applyFont="1" applyFill="1" applyBorder="1" applyAlignment="1">
      <alignment horizontal="center"/>
    </xf>
    <xf numFmtId="11" fontId="33" fillId="5" borderId="0" xfId="0" applyNumberFormat="1" applyFont="1" applyFill="1" applyBorder="1" applyAlignment="1">
      <alignment horizontal="center"/>
    </xf>
    <xf numFmtId="0" fontId="33" fillId="5" borderId="0" xfId="0" applyFont="1" applyFill="1" applyBorder="1" applyAlignment="1">
      <alignment horizontal="center"/>
    </xf>
    <xf numFmtId="1" fontId="34" fillId="5" borderId="0" xfId="0" applyNumberFormat="1" applyFont="1" applyFill="1" applyBorder="1" applyAlignment="1">
      <alignment horizontal="center"/>
    </xf>
    <xf numFmtId="1" fontId="33" fillId="5" borderId="30" xfId="0" applyNumberFormat="1" applyFont="1" applyFill="1" applyBorder="1" applyAlignment="1">
      <alignment horizontal="center"/>
    </xf>
    <xf numFmtId="9" fontId="33" fillId="5" borderId="38" xfId="0" applyNumberFormat="1" applyFont="1" applyFill="1" applyBorder="1" applyAlignment="1">
      <alignment horizontal="center"/>
    </xf>
    <xf numFmtId="11" fontId="33" fillId="5" borderId="39" xfId="0" applyNumberFormat="1" applyFont="1" applyFill="1" applyBorder="1" applyAlignment="1">
      <alignment horizontal="center"/>
    </xf>
    <xf numFmtId="11" fontId="33" fillId="5" borderId="40" xfId="0" applyNumberFormat="1" applyFont="1" applyFill="1" applyBorder="1" applyAlignment="1">
      <alignment horizontal="center"/>
    </xf>
    <xf numFmtId="9" fontId="19" fillId="5" borderId="43" xfId="1" applyFont="1" applyFill="1" applyBorder="1" applyAlignment="1">
      <alignment horizontal="center"/>
    </xf>
    <xf numFmtId="9" fontId="33" fillId="5" borderId="43" xfId="1" applyFont="1" applyFill="1" applyBorder="1" applyAlignment="1">
      <alignment horizontal="center"/>
    </xf>
    <xf numFmtId="11" fontId="33" fillId="5" borderId="30" xfId="0" applyNumberFormat="1" applyFont="1" applyFill="1" applyBorder="1" applyAlignment="1">
      <alignment horizontal="center"/>
    </xf>
    <xf numFmtId="9" fontId="19" fillId="5" borderId="41" xfId="1" applyFont="1" applyFill="1" applyBorder="1" applyAlignment="1">
      <alignment horizontal="center"/>
    </xf>
    <xf numFmtId="2" fontId="33" fillId="5" borderId="36" xfId="0" applyNumberFormat="1" applyFont="1" applyFill="1" applyBorder="1" applyAlignment="1">
      <alignment horizontal="center"/>
    </xf>
    <xf numFmtId="11" fontId="33" fillId="5" borderId="36" xfId="0" applyNumberFormat="1" applyFont="1" applyFill="1" applyBorder="1" applyAlignment="1">
      <alignment horizontal="center"/>
    </xf>
    <xf numFmtId="0" fontId="33" fillId="5" borderId="36" xfId="0" applyFont="1" applyFill="1" applyBorder="1" applyAlignment="1">
      <alignment horizontal="center"/>
    </xf>
    <xf numFmtId="1" fontId="34" fillId="5" borderId="36" xfId="0" applyNumberFormat="1" applyFont="1" applyFill="1" applyBorder="1" applyAlignment="1">
      <alignment horizontal="center"/>
    </xf>
    <xf numFmtId="1" fontId="33" fillId="5" borderId="42" xfId="0" applyNumberFormat="1" applyFont="1" applyFill="1" applyBorder="1" applyAlignment="1">
      <alignment horizontal="center"/>
    </xf>
    <xf numFmtId="9" fontId="33" fillId="5" borderId="41" xfId="1" applyFont="1" applyFill="1" applyBorder="1" applyAlignment="1">
      <alignment horizontal="center"/>
    </xf>
    <xf numFmtId="11" fontId="33" fillId="5" borderId="42" xfId="0" applyNumberFormat="1" applyFont="1" applyFill="1" applyBorder="1" applyAlignment="1">
      <alignment horizontal="center"/>
    </xf>
    <xf numFmtId="9" fontId="19" fillId="5" borderId="38" xfId="0" applyNumberFormat="1" applyFont="1" applyFill="1" applyBorder="1" applyAlignment="1">
      <alignment horizontal="center"/>
    </xf>
    <xf numFmtId="164" fontId="19" fillId="5" borderId="39" xfId="0" applyNumberFormat="1" applyFont="1" applyFill="1" applyBorder="1" applyAlignment="1">
      <alignment horizontal="center"/>
    </xf>
    <xf numFmtId="2" fontId="19" fillId="5" borderId="39" xfId="0" applyNumberFormat="1" applyFont="1" applyFill="1" applyBorder="1" applyAlignment="1">
      <alignment horizontal="center"/>
    </xf>
    <xf numFmtId="164" fontId="19" fillId="5" borderId="0" xfId="0" applyNumberFormat="1" applyFont="1" applyFill="1" applyAlignment="1">
      <alignment horizontal="center"/>
    </xf>
    <xf numFmtId="2" fontId="19" fillId="5" borderId="39" xfId="0" applyNumberFormat="1" applyFont="1" applyFill="1" applyBorder="1" applyAlignment="1">
      <alignment horizontal="right"/>
    </xf>
    <xf numFmtId="11" fontId="19" fillId="5" borderId="39" xfId="0" applyNumberFormat="1" applyFont="1" applyFill="1" applyBorder="1"/>
    <xf numFmtId="2" fontId="19" fillId="5" borderId="40" xfId="0" applyNumberFormat="1" applyFont="1" applyFill="1" applyBorder="1"/>
    <xf numFmtId="164" fontId="19" fillId="5" borderId="0" xfId="0" applyNumberFormat="1" applyFont="1" applyFill="1" applyBorder="1" applyAlignment="1">
      <alignment horizontal="center"/>
    </xf>
    <xf numFmtId="2" fontId="19" fillId="5" borderId="0" xfId="0" applyNumberFormat="1" applyFont="1" applyFill="1" applyBorder="1" applyAlignment="1">
      <alignment horizontal="center"/>
    </xf>
    <xf numFmtId="2" fontId="19" fillId="5" borderId="0" xfId="0" applyNumberFormat="1" applyFont="1" applyFill="1" applyBorder="1" applyAlignment="1">
      <alignment horizontal="right"/>
    </xf>
    <xf numFmtId="11" fontId="19" fillId="5" borderId="0" xfId="0" applyNumberFormat="1" applyFont="1" applyFill="1" applyBorder="1"/>
    <xf numFmtId="2" fontId="19" fillId="5" borderId="30" xfId="0" applyNumberFormat="1" applyFont="1" applyFill="1" applyBorder="1"/>
    <xf numFmtId="11" fontId="19" fillId="5" borderId="0" xfId="0" applyNumberFormat="1" applyFont="1" applyFill="1" applyBorder="1" applyAlignment="1">
      <alignment horizontal="right"/>
    </xf>
    <xf numFmtId="2" fontId="19" fillId="5" borderId="30" xfId="0" applyNumberFormat="1" applyFont="1" applyFill="1" applyBorder="1" applyAlignment="1">
      <alignment horizontal="right"/>
    </xf>
    <xf numFmtId="9" fontId="19" fillId="5" borderId="41" xfId="0" applyNumberFormat="1" applyFont="1" applyFill="1" applyBorder="1" applyAlignment="1">
      <alignment horizontal="center"/>
    </xf>
    <xf numFmtId="164" fontId="19" fillId="5" borderId="36" xfId="0" applyNumberFormat="1" applyFont="1" applyFill="1" applyBorder="1" applyAlignment="1">
      <alignment horizontal="center"/>
    </xf>
    <xf numFmtId="2" fontId="19" fillId="5" borderId="36" xfId="0" applyNumberFormat="1" applyFont="1" applyFill="1" applyBorder="1" applyAlignment="1">
      <alignment horizontal="center"/>
    </xf>
    <xf numFmtId="2" fontId="19" fillId="5" borderId="36" xfId="0" applyNumberFormat="1" applyFont="1" applyFill="1" applyBorder="1" applyAlignment="1">
      <alignment horizontal="right"/>
    </xf>
    <xf numFmtId="11" fontId="19" fillId="5" borderId="36" xfId="0" applyNumberFormat="1" applyFont="1" applyFill="1" applyBorder="1"/>
    <xf numFmtId="11" fontId="19" fillId="5" borderId="36" xfId="0" applyNumberFormat="1" applyFont="1" applyFill="1" applyBorder="1" applyAlignment="1">
      <alignment horizontal="right"/>
    </xf>
    <xf numFmtId="2" fontId="19" fillId="5" borderId="42" xfId="0" applyNumberFormat="1" applyFont="1" applyFill="1" applyBorder="1" applyAlignment="1">
      <alignment horizontal="right"/>
    </xf>
    <xf numFmtId="0" fontId="19" fillId="5" borderId="39" xfId="0" applyFont="1" applyFill="1" applyBorder="1"/>
    <xf numFmtId="0" fontId="19" fillId="5" borderId="40" xfId="0" applyFont="1" applyFill="1" applyBorder="1" applyAlignment="1">
      <alignment horizontal="right"/>
    </xf>
    <xf numFmtId="0" fontId="19" fillId="5" borderId="0" xfId="0" applyFont="1" applyFill="1" applyBorder="1"/>
    <xf numFmtId="0" fontId="19" fillId="5" borderId="30" xfId="0" applyFont="1" applyFill="1" applyBorder="1" applyAlignment="1">
      <alignment horizontal="right"/>
    </xf>
    <xf numFmtId="0" fontId="19" fillId="5" borderId="42" xfId="0" applyFont="1" applyFill="1" applyBorder="1" applyAlignment="1">
      <alignment horizontal="right"/>
    </xf>
    <xf numFmtId="165" fontId="19" fillId="5" borderId="0" xfId="0" applyNumberFormat="1" applyFont="1" applyFill="1" applyBorder="1" applyAlignment="1">
      <alignment horizontal="center"/>
    </xf>
    <xf numFmtId="165" fontId="19" fillId="5" borderId="36" xfId="0" applyNumberFormat="1" applyFont="1" applyFill="1" applyBorder="1" applyAlignment="1">
      <alignment horizontal="center"/>
    </xf>
    <xf numFmtId="0" fontId="19" fillId="5" borderId="1" xfId="0" applyFont="1" applyFill="1" applyBorder="1"/>
    <xf numFmtId="0" fontId="5" fillId="5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168" fontId="2" fillId="0" borderId="1" xfId="0" applyNumberFormat="1" applyFont="1" applyBorder="1" applyAlignment="1">
      <alignment horizontal="center"/>
    </xf>
    <xf numFmtId="0" fontId="20" fillId="5" borderId="27" xfId="0" applyFont="1" applyFill="1" applyBorder="1"/>
    <xf numFmtId="0" fontId="3" fillId="0" borderId="39" xfId="0" applyFont="1" applyBorder="1"/>
    <xf numFmtId="0" fontId="3" fillId="0" borderId="40" xfId="0" applyFont="1" applyBorder="1"/>
    <xf numFmtId="165" fontId="0" fillId="6" borderId="39" xfId="0" applyNumberFormat="1" applyFill="1" applyBorder="1" applyAlignment="1">
      <alignment horizontal="center"/>
    </xf>
    <xf numFmtId="165" fontId="0" fillId="6" borderId="0" xfId="0" applyNumberFormat="1" applyFill="1" applyBorder="1" applyAlignment="1">
      <alignment horizontal="center"/>
    </xf>
    <xf numFmtId="165" fontId="19" fillId="6" borderId="0" xfId="0" applyNumberFormat="1" applyFont="1" applyFill="1" applyBorder="1" applyAlignment="1">
      <alignment horizontal="center"/>
    </xf>
    <xf numFmtId="0" fontId="19" fillId="5" borderId="36" xfId="0" applyFont="1" applyFill="1" applyBorder="1" applyAlignment="1">
      <alignment horizontal="right"/>
    </xf>
    <xf numFmtId="0" fontId="21" fillId="0" borderId="1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6" borderId="38" xfId="0" applyFill="1" applyBorder="1"/>
    <xf numFmtId="0" fontId="19" fillId="6" borderId="40" xfId="0" applyFont="1" applyFill="1" applyBorder="1" applyAlignment="1">
      <alignment horizontal="right"/>
    </xf>
    <xf numFmtId="0" fontId="0" fillId="6" borderId="43" xfId="0" applyFill="1" applyBorder="1"/>
    <xf numFmtId="0" fontId="19" fillId="6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0" fillId="7" borderId="41" xfId="0" applyFill="1" applyBorder="1"/>
    <xf numFmtId="0" fontId="19" fillId="7" borderId="42" xfId="0" applyFont="1" applyFill="1" applyBorder="1" applyAlignment="1">
      <alignment horizontal="right"/>
    </xf>
    <xf numFmtId="2" fontId="35" fillId="0" borderId="0" xfId="0" applyNumberFormat="1" applyFont="1" applyFill="1" applyBorder="1" applyAlignment="1">
      <alignment horizontal="left"/>
    </xf>
    <xf numFmtId="0" fontId="21" fillId="0" borderId="46" xfId="0" applyFont="1" applyBorder="1" applyAlignment="1"/>
    <xf numFmtId="0" fontId="21" fillId="0" borderId="47" xfId="0" applyFont="1" applyBorder="1" applyAlignment="1"/>
    <xf numFmtId="164" fontId="19" fillId="7" borderId="0" xfId="0" applyNumberFormat="1" applyFont="1" applyFill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17" fillId="7" borderId="13" xfId="0" applyFont="1" applyFill="1" applyBorder="1" applyAlignment="1">
      <alignment horizontal="center"/>
    </xf>
    <xf numFmtId="0" fontId="17" fillId="7" borderId="1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0.29594991734037218</c:v>
                </c:pt>
                <c:pt idx="3">
                  <c:v>0.22684265486007649</c:v>
                </c:pt>
                <c:pt idx="4">
                  <c:v>0.15773539237978068</c:v>
                </c:pt>
                <c:pt idx="5">
                  <c:v>8.8628129899484986E-2</c:v>
                </c:pt>
                <c:pt idx="6">
                  <c:v>9.2266251937987417E-2</c:v>
                </c:pt>
                <c:pt idx="7">
                  <c:v>9.5904373976489848E-2</c:v>
                </c:pt>
                <c:pt idx="8">
                  <c:v>9.9542496014992279E-2</c:v>
                </c:pt>
                <c:pt idx="9">
                  <c:v>0.10318061805349471</c:v>
                </c:pt>
                <c:pt idx="10">
                  <c:v>0.10681874009199714</c:v>
                </c:pt>
                <c:pt idx="11">
                  <c:v>0.10948946529155948</c:v>
                </c:pt>
                <c:pt idx="12">
                  <c:v>0.11216019049112182</c:v>
                </c:pt>
                <c:pt idx="13">
                  <c:v>0.11483091569068417</c:v>
                </c:pt>
                <c:pt idx="14">
                  <c:v>0.11750164089024651</c:v>
                </c:pt>
                <c:pt idx="15">
                  <c:v>0.12017236608980884</c:v>
                </c:pt>
                <c:pt idx="16">
                  <c:v>0.12752676764959664</c:v>
                </c:pt>
                <c:pt idx="17">
                  <c:v>0.13488116920938442</c:v>
                </c:pt>
                <c:pt idx="18">
                  <c:v>0.1422355707691722</c:v>
                </c:pt>
                <c:pt idx="19">
                  <c:v>0.14958997232895999</c:v>
                </c:pt>
                <c:pt idx="20">
                  <c:v>0.15694437388874777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0.27552300703927668</c:v>
                </c:pt>
                <c:pt idx="3">
                  <c:v>0.17237089405715517</c:v>
                </c:pt>
                <c:pt idx="4">
                  <c:v>6.9218781075033597E-2</c:v>
                </c:pt>
                <c:pt idx="5">
                  <c:v>-3.3933331907087916E-2</c:v>
                </c:pt>
                <c:pt idx="6">
                  <c:v>-2.3064223191645555E-2</c:v>
                </c:pt>
                <c:pt idx="7">
                  <c:v>-1.2195114476203198E-2</c:v>
                </c:pt>
                <c:pt idx="8">
                  <c:v>-1.3260057607608275E-3</c:v>
                </c:pt>
                <c:pt idx="9">
                  <c:v>9.543102954681526E-3</c:v>
                </c:pt>
                <c:pt idx="10">
                  <c:v>2.0412211670123883E-2</c:v>
                </c:pt>
                <c:pt idx="11">
                  <c:v>2.6240327216389525E-2</c:v>
                </c:pt>
                <c:pt idx="12">
                  <c:v>3.206844276265515E-2</c:v>
                </c:pt>
                <c:pt idx="13">
                  <c:v>3.7896558308920796E-2</c:v>
                </c:pt>
                <c:pt idx="14">
                  <c:v>4.3724673855186427E-2</c:v>
                </c:pt>
                <c:pt idx="15">
                  <c:v>4.9552789401452066E-2</c:v>
                </c:pt>
                <c:pt idx="16">
                  <c:v>5.3595718948136514E-2</c:v>
                </c:pt>
                <c:pt idx="17">
                  <c:v>5.7638648494820949E-2</c:v>
                </c:pt>
                <c:pt idx="18">
                  <c:v>6.1681578041505397E-2</c:v>
                </c:pt>
                <c:pt idx="19">
                  <c:v>6.5724507588189832E-2</c:v>
                </c:pt>
                <c:pt idx="20">
                  <c:v>6.976743713487428E-2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-3.0000000000000006E-2</c:v>
                </c:pt>
                <c:pt idx="3">
                  <c:v>-8.0000000000000016E-2</c:v>
                </c:pt>
                <c:pt idx="4">
                  <c:v>-0.13000000000000006</c:v>
                </c:pt>
                <c:pt idx="5">
                  <c:v>-0.18000000000000005</c:v>
                </c:pt>
                <c:pt idx="6">
                  <c:v>-0.16240081280162566</c:v>
                </c:pt>
                <c:pt idx="7">
                  <c:v>-0.14480162560325124</c:v>
                </c:pt>
                <c:pt idx="8">
                  <c:v>-0.12720243840487683</c:v>
                </c:pt>
                <c:pt idx="9">
                  <c:v>-0.10960325120650241</c:v>
                </c:pt>
                <c:pt idx="10">
                  <c:v>-9.2004064008128009E-2</c:v>
                </c:pt>
                <c:pt idx="11">
                  <c:v>-8.0005588011176007E-2</c:v>
                </c:pt>
                <c:pt idx="12">
                  <c:v>-6.8007112014224047E-2</c:v>
                </c:pt>
                <c:pt idx="13">
                  <c:v>-5.6008636017272045E-2</c:v>
                </c:pt>
                <c:pt idx="14">
                  <c:v>-4.4010160020320072E-2</c:v>
                </c:pt>
                <c:pt idx="15">
                  <c:v>-3.2011684023368077E-2</c:v>
                </c:pt>
                <c:pt idx="16">
                  <c:v>-2.5609347218694456E-2</c:v>
                </c:pt>
                <c:pt idx="17">
                  <c:v>-1.9207010414020849E-2</c:v>
                </c:pt>
                <c:pt idx="18">
                  <c:v>-1.2804673609347228E-2</c:v>
                </c:pt>
                <c:pt idx="19">
                  <c:v>-6.4023368046736209E-3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2112"/>
        <c:axId val="99341056"/>
      </c:scatterChart>
      <c:valAx>
        <c:axId val="9932211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341056"/>
        <c:crossesAt val="-10"/>
        <c:crossBetween val="midCat"/>
      </c:valAx>
      <c:valAx>
        <c:axId val="99341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32211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25</xdr:row>
      <xdr:rowOff>38100</xdr:rowOff>
    </xdr:from>
    <xdr:to>
      <xdr:col>13</xdr:col>
      <xdr:colOff>295275</xdr:colOff>
      <xdr:row>32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15</xdr:row>
      <xdr:rowOff>266700</xdr:rowOff>
    </xdr:to>
    <xdr:pic>
      <xdr:nvPicPr>
        <xdr:cNvPr id="10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15</xdr:row>
      <xdr:rowOff>238125</xdr:rowOff>
    </xdr:to>
    <xdr:pic>
      <xdr:nvPicPr>
        <xdr:cNvPr id="10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48</xdr:row>
      <xdr:rowOff>95249</xdr:rowOff>
    </xdr:from>
    <xdr:to>
      <xdr:col>15</xdr:col>
      <xdr:colOff>514350</xdr:colOff>
      <xdr:row>63</xdr:row>
      <xdr:rowOff>47624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8896349"/>
          <a:ext cx="5019675" cy="2085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1000">
            <a:effectLst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523875</xdr:colOff>
      <xdr:row>35</xdr:row>
      <xdr:rowOff>66675</xdr:rowOff>
    </xdr:from>
    <xdr:to>
      <xdr:col>7</xdr:col>
      <xdr:colOff>542925</xdr:colOff>
      <xdr:row>40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49"/>
  <sheetViews>
    <sheetView tabSelected="1" topLeftCell="A22" zoomScaleNormal="100" workbookViewId="0">
      <selection activeCell="T62" sqref="T62"/>
    </sheetView>
  </sheetViews>
  <sheetFormatPr defaultRowHeight="11.25"/>
  <cols>
    <col min="1" max="1" width="34.83203125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37" t="s">
        <v>401</v>
      </c>
      <c r="C1" s="366" t="s">
        <v>402</v>
      </c>
      <c r="D1" s="367"/>
      <c r="E1" s="367"/>
      <c r="F1" s="367"/>
      <c r="G1" s="367"/>
      <c r="H1" s="368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60" t="s">
        <v>120</v>
      </c>
      <c r="C3" s="361"/>
      <c r="D3" s="362"/>
      <c r="E3" s="35"/>
      <c r="F3" s="363" t="s">
        <v>18</v>
      </c>
      <c r="G3" s="364"/>
      <c r="H3" s="365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4">
        <f>GECdrivetrain!J30</f>
        <v>6.2266106191414261E-3</v>
      </c>
      <c r="C5" s="144">
        <f>GECdrivetrain!K30</f>
        <v>0</v>
      </c>
      <c r="D5" s="144">
        <f>GECdrivetrain!L30</f>
        <v>-0.16898817734177707</v>
      </c>
      <c r="E5" s="147">
        <f>GECdrivetrain!I30</f>
        <v>15580.140251640041</v>
      </c>
      <c r="F5" s="150">
        <f>GECdrivetrain!M30</f>
        <v>4471.0045410568418</v>
      </c>
      <c r="G5" s="150">
        <f>GECdrivetrain!N30</f>
        <v>7784.0425259522517</v>
      </c>
      <c r="H5" s="150">
        <f>GECdrivetrain!O30</f>
        <v>6732.184026764553</v>
      </c>
    </row>
    <row r="6" spans="1:8">
      <c r="A6" s="22" t="s">
        <v>10</v>
      </c>
      <c r="B6" s="145">
        <f>GECdrivetrain!J16</f>
        <v>0.54408382818374879</v>
      </c>
      <c r="C6" s="145">
        <f>GECdrivetrain!K16</f>
        <v>0</v>
      </c>
      <c r="D6" s="145">
        <f>GECdrivetrain!L16</f>
        <v>0</v>
      </c>
      <c r="E6" s="148">
        <f>GECdrivetrain!I16</f>
        <v>1131.2074102368219</v>
      </c>
      <c r="F6" s="39">
        <f>GECdrivetrain!M16</f>
        <v>65735.985618380335</v>
      </c>
      <c r="G6" s="39">
        <f>GECdrivetrain!N16</f>
        <v>139.26932249329496</v>
      </c>
      <c r="H6" s="39">
        <f>GECdrivetrain!O16</f>
        <v>139.26932249329496</v>
      </c>
    </row>
    <row r="7" spans="1:8">
      <c r="A7" s="22" t="s">
        <v>11</v>
      </c>
      <c r="B7" s="145">
        <f>GECdrivetrain!J15</f>
        <v>-0.46437800200458612</v>
      </c>
      <c r="C7" s="145">
        <f>GECdrivetrain!K15</f>
        <v>0</v>
      </c>
      <c r="D7" s="145">
        <f>GECdrivetrain!L15</f>
        <v>0</v>
      </c>
      <c r="E7" s="148">
        <f>GECdrivetrain!I15</f>
        <v>4238.8965977950375</v>
      </c>
      <c r="F7" s="151">
        <f>GECdrivetrain!M15</f>
        <v>152.98048271744582</v>
      </c>
      <c r="G7" s="151">
        <f>GECdrivetrain!N15</f>
        <v>1751.6710645266089</v>
      </c>
      <c r="H7" s="151">
        <f>GECdrivetrain!O15</f>
        <v>1751.6710645266089</v>
      </c>
    </row>
    <row r="8" spans="1:8" ht="12" thickBot="1">
      <c r="A8" s="23" t="s">
        <v>12</v>
      </c>
      <c r="B8" s="146">
        <f>GECdrivetrain!J14</f>
        <v>-2.33</v>
      </c>
      <c r="C8" s="146">
        <f>GECdrivetrain!K14</f>
        <v>0</v>
      </c>
      <c r="D8" s="146">
        <f>GECdrivetrain!L14</f>
        <v>0</v>
      </c>
      <c r="E8" s="149">
        <f>GECdrivetrain!I14</f>
        <v>6573.9348557027251</v>
      </c>
      <c r="F8" s="40">
        <f>GECdrivetrain!M14</f>
        <v>7485.1732085651756</v>
      </c>
      <c r="G8" s="40">
        <f>GECdrivetrain!N14</f>
        <v>7485.1732085651756</v>
      </c>
      <c r="H8" s="40">
        <f>GECdrivetrain!O14</f>
        <v>7485.1732085651756</v>
      </c>
    </row>
    <row r="9" spans="1:8" ht="12" thickBot="1">
      <c r="A9" s="107" t="s">
        <v>121</v>
      </c>
      <c r="B9" s="272">
        <v>60</v>
      </c>
    </row>
    <row r="10" spans="1:8">
      <c r="A10" s="77" t="s">
        <v>28</v>
      </c>
      <c r="B10" s="273">
        <v>3</v>
      </c>
    </row>
    <row r="11" spans="1:8">
      <c r="A11" s="54" t="s">
        <v>39</v>
      </c>
      <c r="B11" s="274">
        <v>5</v>
      </c>
      <c r="C11" t="s">
        <v>70</v>
      </c>
    </row>
    <row r="12" spans="1:8">
      <c r="A12" s="54" t="s">
        <v>29</v>
      </c>
      <c r="B12" s="274" t="s">
        <v>119</v>
      </c>
    </row>
    <row r="13" spans="1:8">
      <c r="A13" s="108" t="s">
        <v>122</v>
      </c>
      <c r="B13" s="274">
        <v>50</v>
      </c>
    </row>
    <row r="14" spans="1:8" ht="22.5">
      <c r="A14" s="61" t="s">
        <v>43</v>
      </c>
      <c r="B14" s="336">
        <f>PI()*(B58^4-B59^4)/2/(GECdrivetrain!C7)*GECtwrdata!F7</f>
        <v>2074343118.9103956</v>
      </c>
    </row>
    <row r="15" spans="1:8" ht="22.5">
      <c r="A15" s="61" t="s">
        <v>65</v>
      </c>
      <c r="B15" s="29"/>
    </row>
    <row r="16" spans="1:8" ht="23.45" customHeight="1">
      <c r="A16" s="61" t="s">
        <v>42</v>
      </c>
      <c r="B16" s="274">
        <v>1.2250000000000001</v>
      </c>
    </row>
    <row r="17" spans="1:21" ht="13.15" customHeight="1">
      <c r="A17" s="61" t="s">
        <v>38</v>
      </c>
      <c r="B17" s="274">
        <v>0</v>
      </c>
      <c r="C17" t="s">
        <v>71</v>
      </c>
      <c r="I17" s="180" t="s">
        <v>316</v>
      </c>
      <c r="J17" s="181"/>
      <c r="K17" s="181"/>
      <c r="L17" s="181"/>
      <c r="M17" s="181"/>
      <c r="N17" s="181"/>
      <c r="P17" s="182" t="s">
        <v>317</v>
      </c>
      <c r="Q17" s="183"/>
      <c r="R17" s="183"/>
      <c r="S17" s="183"/>
      <c r="T17" s="183"/>
      <c r="U17" s="183"/>
    </row>
    <row r="18" spans="1:21" ht="24" customHeight="1" thickBot="1">
      <c r="A18" s="62" t="s">
        <v>375</v>
      </c>
      <c r="B18" s="274">
        <v>0.95</v>
      </c>
      <c r="C18" s="330">
        <v>1.4999999999999999E-2</v>
      </c>
      <c r="D18" s="369" t="s">
        <v>374</v>
      </c>
      <c r="E18" s="368"/>
      <c r="F18" s="368"/>
    </row>
    <row r="19" spans="1:21" ht="25.5" customHeight="1">
      <c r="A19" s="267" t="s">
        <v>372</v>
      </c>
      <c r="B19" s="273">
        <v>5.0000000000000001E-3</v>
      </c>
      <c r="C19" s="330">
        <v>5.0000000000000001E-3</v>
      </c>
      <c r="D19" s="369" t="s">
        <v>373</v>
      </c>
      <c r="E19" s="368"/>
      <c r="F19" s="368"/>
      <c r="I19" s="35" t="s">
        <v>69</v>
      </c>
      <c r="J19" s="171"/>
      <c r="K19" s="171"/>
      <c r="L19" s="171"/>
      <c r="M19" s="171"/>
      <c r="N19" s="171"/>
      <c r="O19" s="171"/>
      <c r="P19" s="172"/>
    </row>
    <row r="20" spans="1:21" ht="11.45" customHeight="1">
      <c r="A20" s="61" t="s">
        <v>31</v>
      </c>
      <c r="B20" s="274" t="s">
        <v>33</v>
      </c>
      <c r="I20" s="173" t="s">
        <v>318</v>
      </c>
      <c r="J20" s="8"/>
      <c r="K20" s="8"/>
      <c r="L20" s="8"/>
      <c r="M20" s="8"/>
      <c r="N20" s="8"/>
      <c r="O20" s="8"/>
      <c r="P20" s="174"/>
    </row>
    <row r="21" spans="1:21">
      <c r="I21" s="173" t="s">
        <v>319</v>
      </c>
      <c r="J21" s="8"/>
      <c r="K21" s="8"/>
      <c r="L21" s="8"/>
      <c r="M21" s="8"/>
      <c r="N21" s="8"/>
      <c r="O21" s="8"/>
      <c r="P21" s="174"/>
    </row>
    <row r="22" spans="1:21">
      <c r="A22" s="101" t="s">
        <v>78</v>
      </c>
      <c r="B22" s="29"/>
      <c r="I22" s="173" t="s">
        <v>66</v>
      </c>
      <c r="J22" s="8"/>
      <c r="K22" s="8"/>
      <c r="L22" s="8"/>
      <c r="M22" s="8"/>
      <c r="N22" s="8"/>
      <c r="O22" s="8"/>
      <c r="P22" s="174"/>
    </row>
    <row r="23" spans="1:21" ht="12.6" customHeight="1">
      <c r="A23" s="100" t="s">
        <v>75</v>
      </c>
      <c r="B23" s="269">
        <f>B80</f>
        <v>28.647889756541161</v>
      </c>
      <c r="G23" s="89"/>
      <c r="H23" s="12"/>
      <c r="I23" s="173" t="s">
        <v>67</v>
      </c>
      <c r="J23" s="8"/>
      <c r="K23" s="8"/>
      <c r="L23" s="8"/>
      <c r="M23" s="8"/>
      <c r="N23" s="8"/>
      <c r="O23" s="8"/>
      <c r="P23" s="174"/>
    </row>
    <row r="24" spans="1:21" ht="12" thickBot="1">
      <c r="A24" s="100" t="s">
        <v>76</v>
      </c>
      <c r="B24" s="270">
        <v>1</v>
      </c>
      <c r="G24" s="89"/>
      <c r="H24" s="12"/>
      <c r="I24" s="175" t="s">
        <v>68</v>
      </c>
      <c r="J24" s="176"/>
      <c r="K24" s="176"/>
      <c r="L24" s="176"/>
      <c r="M24" s="176"/>
      <c r="N24" s="176"/>
      <c r="O24" s="176"/>
      <c r="P24" s="179"/>
    </row>
    <row r="25" spans="1:21" ht="9.75" customHeight="1">
      <c r="A25" s="100" t="s">
        <v>77</v>
      </c>
      <c r="B25" s="270">
        <f>B83</f>
        <v>750</v>
      </c>
      <c r="G25" s="89"/>
      <c r="H25" s="12"/>
    </row>
    <row r="27" spans="1:21" ht="12.6" customHeight="1">
      <c r="A27" s="101" t="s">
        <v>79</v>
      </c>
      <c r="B27" s="29"/>
    </row>
    <row r="28" spans="1:21" ht="21" customHeight="1">
      <c r="A28" s="100" t="s">
        <v>80</v>
      </c>
      <c r="B28" s="91">
        <f>B80</f>
        <v>28.647889756541161</v>
      </c>
    </row>
    <row r="29" spans="1:21" ht="9.75" customHeight="1">
      <c r="A29" s="100" t="s">
        <v>376</v>
      </c>
      <c r="B29" s="268">
        <f>B83*1000/(B28*PI()/30)/(B18-C18-B19-C19)</f>
        <v>270270.2702702703</v>
      </c>
    </row>
    <row r="30" spans="1:21">
      <c r="B30" s="53"/>
    </row>
    <row r="31" spans="1:21">
      <c r="A31" s="110" t="s">
        <v>81</v>
      </c>
      <c r="B31" s="29"/>
    </row>
    <row r="32" spans="1:21">
      <c r="A32" s="100" t="s">
        <v>82</v>
      </c>
      <c r="B32" s="274">
        <v>2.6</v>
      </c>
    </row>
    <row r="33" spans="1:4">
      <c r="A33" s="100" t="s">
        <v>83</v>
      </c>
      <c r="B33" s="274">
        <v>90</v>
      </c>
    </row>
    <row r="34" spans="1:4" ht="12" customHeight="1">
      <c r="A34" s="100" t="s">
        <v>84</v>
      </c>
      <c r="B34" s="274">
        <v>10</v>
      </c>
    </row>
    <row r="35" spans="1:4" ht="12.75" customHeight="1"/>
    <row r="36" spans="1:4" ht="18.75" customHeight="1">
      <c r="A36" s="110" t="s">
        <v>123</v>
      </c>
      <c r="B36" s="54"/>
    </row>
    <row r="37" spans="1:4" ht="17.25" customHeight="1">
      <c r="A37" s="100" t="s">
        <v>207</v>
      </c>
      <c r="B37" s="275">
        <v>1.33</v>
      </c>
    </row>
    <row r="38" spans="1:4">
      <c r="A38" s="100" t="s">
        <v>124</v>
      </c>
      <c r="B38" s="276">
        <v>2</v>
      </c>
    </row>
    <row r="39" spans="1:4" ht="15" customHeight="1">
      <c r="A39" s="100" t="s">
        <v>125</v>
      </c>
      <c r="B39" s="276">
        <v>9</v>
      </c>
    </row>
    <row r="40" spans="1:4" ht="11.25" customHeight="1">
      <c r="A40" s="100" t="s">
        <v>126</v>
      </c>
      <c r="B40" s="276">
        <v>3.75</v>
      </c>
    </row>
    <row r="41" spans="1:4" ht="13.5" customHeight="1">
      <c r="A41" s="100" t="s">
        <v>127</v>
      </c>
      <c r="B41" s="276">
        <v>15</v>
      </c>
    </row>
    <row r="42" spans="1:4" ht="13.5" customHeight="1">
      <c r="A42" s="100" t="s">
        <v>387</v>
      </c>
      <c r="B42" s="331">
        <v>5</v>
      </c>
    </row>
    <row r="43" spans="1:4" ht="18" customHeight="1">
      <c r="A43" s="110" t="s">
        <v>385</v>
      </c>
      <c r="B43" s="63"/>
    </row>
    <row r="44" spans="1:4" ht="13.5" customHeight="1">
      <c r="A44" s="100" t="s">
        <v>386</v>
      </c>
      <c r="B44" s="106">
        <f>ABS(B8)+B13/2*(B11+B17)/57.3-0.5*(B38+B13/2/B9*(B40-B38))</f>
        <v>3.1469175392670157</v>
      </c>
    </row>
    <row r="46" spans="1:4">
      <c r="A46" s="2" t="s">
        <v>12</v>
      </c>
      <c r="C46" s="5"/>
    </row>
    <row r="47" spans="1:4">
      <c r="A47" s="111" t="s">
        <v>128</v>
      </c>
      <c r="B47" s="277">
        <v>2.5</v>
      </c>
      <c r="C47" t="s">
        <v>86</v>
      </c>
      <c r="D47" t="s">
        <v>129</v>
      </c>
    </row>
    <row r="48" spans="1:4">
      <c r="A48" s="111" t="s">
        <v>130</v>
      </c>
      <c r="B48" s="277">
        <v>1.35</v>
      </c>
      <c r="C48" t="s">
        <v>86</v>
      </c>
      <c r="D48" s="271" t="s">
        <v>383</v>
      </c>
    </row>
    <row r="49" spans="1:4" ht="10.9" customHeight="1">
      <c r="A49" s="111" t="s">
        <v>131</v>
      </c>
      <c r="B49" s="277">
        <v>1.2</v>
      </c>
      <c r="C49" t="s">
        <v>86</v>
      </c>
      <c r="D49" t="s">
        <v>400</v>
      </c>
    </row>
    <row r="50" spans="1:4">
      <c r="A50" s="111" t="s">
        <v>132</v>
      </c>
      <c r="B50" s="277">
        <v>3.3000000000000002E-2</v>
      </c>
      <c r="C50" t="s">
        <v>86</v>
      </c>
      <c r="D50" s="271" t="s">
        <v>377</v>
      </c>
    </row>
    <row r="51" spans="1:4">
      <c r="A51" s="18" t="s">
        <v>133</v>
      </c>
      <c r="B51" s="278">
        <v>7850</v>
      </c>
      <c r="C51" t="s">
        <v>103</v>
      </c>
    </row>
    <row r="52" spans="1:4">
      <c r="A52" s="18" t="s">
        <v>134</v>
      </c>
      <c r="B52" s="277">
        <v>-2.33</v>
      </c>
      <c r="C52" t="s">
        <v>86</v>
      </c>
      <c r="D52" t="s">
        <v>135</v>
      </c>
    </row>
    <row r="53" spans="1:4">
      <c r="A53" s="18" t="s">
        <v>136</v>
      </c>
      <c r="B53" s="277">
        <v>0</v>
      </c>
      <c r="C53" t="s">
        <v>86</v>
      </c>
    </row>
    <row r="54" spans="1:4">
      <c r="A54" s="18" t="s">
        <v>137</v>
      </c>
      <c r="B54" s="277">
        <v>0</v>
      </c>
      <c r="C54" t="s">
        <v>86</v>
      </c>
    </row>
    <row r="55" spans="1:4">
      <c r="A55" s="18"/>
      <c r="B55" s="125"/>
    </row>
    <row r="56" spans="1:4">
      <c r="A56" s="112" t="s">
        <v>138</v>
      </c>
      <c r="B56" s="126"/>
    </row>
    <row r="57" spans="1:4">
      <c r="A57" s="18" t="s">
        <v>139</v>
      </c>
      <c r="B57" s="277">
        <v>1.3979999999999999</v>
      </c>
      <c r="C57" t="s">
        <v>86</v>
      </c>
      <c r="D57" t="s">
        <v>382</v>
      </c>
    </row>
    <row r="58" spans="1:4">
      <c r="A58" s="18" t="s">
        <v>140</v>
      </c>
      <c r="B58" s="277">
        <v>0.4</v>
      </c>
      <c r="C58" t="s">
        <v>86</v>
      </c>
    </row>
    <row r="59" spans="1:4">
      <c r="A59" s="18" t="s">
        <v>141</v>
      </c>
      <c r="B59" s="277">
        <v>0.2</v>
      </c>
      <c r="C59" t="s">
        <v>86</v>
      </c>
      <c r="D59" t="s">
        <v>142</v>
      </c>
    </row>
    <row r="60" spans="1:4">
      <c r="A60" s="18" t="s">
        <v>133</v>
      </c>
      <c r="B60" s="278">
        <v>7850</v>
      </c>
      <c r="C60" t="s">
        <v>103</v>
      </c>
    </row>
    <row r="61" spans="1:4">
      <c r="A61" s="18" t="s">
        <v>136</v>
      </c>
      <c r="B61" s="277">
        <v>0</v>
      </c>
      <c r="C61" t="s">
        <v>86</v>
      </c>
      <c r="D61" t="s">
        <v>143</v>
      </c>
    </row>
    <row r="62" spans="1:4">
      <c r="A62" s="18" t="s">
        <v>137</v>
      </c>
      <c r="B62" s="277">
        <v>0</v>
      </c>
      <c r="C62" t="s">
        <v>86</v>
      </c>
    </row>
    <row r="63" spans="1:4">
      <c r="A63" s="18"/>
      <c r="B63" s="125"/>
    </row>
    <row r="64" spans="1:4">
      <c r="A64" s="112" t="s">
        <v>144</v>
      </c>
      <c r="B64" s="126"/>
    </row>
    <row r="65" spans="1:4">
      <c r="A65" s="18" t="s">
        <v>145</v>
      </c>
      <c r="B65" s="277">
        <v>-1.631</v>
      </c>
      <c r="C65" t="s">
        <v>86</v>
      </c>
      <c r="D65" t="s">
        <v>146</v>
      </c>
    </row>
    <row r="66" spans="1:4">
      <c r="A66" s="18" t="s">
        <v>147</v>
      </c>
      <c r="B66" s="277">
        <v>0</v>
      </c>
      <c r="C66" t="s">
        <v>86</v>
      </c>
    </row>
    <row r="67" spans="1:4">
      <c r="A67" s="18" t="s">
        <v>148</v>
      </c>
      <c r="B67" s="277">
        <v>0</v>
      </c>
      <c r="C67" t="s">
        <v>86</v>
      </c>
    </row>
    <row r="68" spans="1:4">
      <c r="A68" s="18" t="s">
        <v>149</v>
      </c>
      <c r="B68" s="277">
        <v>-0.46600000000000003</v>
      </c>
      <c r="C68" t="s">
        <v>86</v>
      </c>
      <c r="D68" t="s">
        <v>150</v>
      </c>
    </row>
    <row r="69" spans="1:4">
      <c r="A69" s="18" t="s">
        <v>151</v>
      </c>
      <c r="B69" s="277">
        <v>0</v>
      </c>
      <c r="C69" t="s">
        <v>86</v>
      </c>
    </row>
    <row r="70" spans="1:4">
      <c r="A70" s="18" t="s">
        <v>152</v>
      </c>
      <c r="B70" s="277">
        <v>0</v>
      </c>
      <c r="C70" t="s">
        <v>86</v>
      </c>
    </row>
    <row r="71" spans="1:4">
      <c r="A71" s="18"/>
      <c r="B71" s="126"/>
    </row>
    <row r="72" spans="1:4">
      <c r="A72" s="112" t="s">
        <v>153</v>
      </c>
      <c r="B72" s="126"/>
    </row>
    <row r="73" spans="1:4">
      <c r="A73" s="18" t="s">
        <v>154</v>
      </c>
      <c r="B73" s="279">
        <v>4723</v>
      </c>
      <c r="C73" t="s">
        <v>118</v>
      </c>
      <c r="D73" t="s">
        <v>155</v>
      </c>
    </row>
    <row r="74" spans="1:4">
      <c r="A74" s="18" t="s">
        <v>134</v>
      </c>
      <c r="B74" s="277">
        <v>0</v>
      </c>
      <c r="C74" t="s">
        <v>86</v>
      </c>
      <c r="D74" t="s">
        <v>156</v>
      </c>
    </row>
    <row r="75" spans="1:4">
      <c r="A75" s="18" t="s">
        <v>136</v>
      </c>
      <c r="B75" s="277">
        <v>0</v>
      </c>
      <c r="C75" t="s">
        <v>86</v>
      </c>
    </row>
    <row r="76" spans="1:4">
      <c r="A76" s="18" t="s">
        <v>137</v>
      </c>
      <c r="B76" s="277">
        <v>0</v>
      </c>
      <c r="C76" t="s">
        <v>86</v>
      </c>
    </row>
    <row r="77" spans="1:4">
      <c r="A77" s="18" t="s">
        <v>395</v>
      </c>
      <c r="B77" s="277">
        <v>75</v>
      </c>
      <c r="C77" t="s">
        <v>396</v>
      </c>
    </row>
    <row r="78" spans="1:4">
      <c r="A78" s="18" t="s">
        <v>397</v>
      </c>
      <c r="B78" s="277">
        <v>1800</v>
      </c>
      <c r="C78" t="s">
        <v>398</v>
      </c>
    </row>
    <row r="79" spans="1:4">
      <c r="A79" s="18" t="s">
        <v>157</v>
      </c>
      <c r="B79" s="335">
        <f>1800/B80</f>
        <v>62.831853071795862</v>
      </c>
    </row>
    <row r="80" spans="1:4">
      <c r="A80" s="18" t="s">
        <v>158</v>
      </c>
      <c r="B80" s="335">
        <f>B77/B13*2*30/PI()</f>
        <v>28.647889756541161</v>
      </c>
    </row>
    <row r="81" spans="1:4">
      <c r="A81" s="18"/>
      <c r="B81" s="124"/>
    </row>
    <row r="82" spans="1:4">
      <c r="A82" s="112" t="s">
        <v>159</v>
      </c>
      <c r="B82" s="126"/>
    </row>
    <row r="83" spans="1:4">
      <c r="A83" s="18" t="s">
        <v>160</v>
      </c>
      <c r="B83" s="280">
        <v>750</v>
      </c>
      <c r="C83" t="s">
        <v>161</v>
      </c>
    </row>
    <row r="84" spans="1:4">
      <c r="A84" s="18" t="s">
        <v>134</v>
      </c>
      <c r="B84" s="277">
        <v>0.58250000000000002</v>
      </c>
      <c r="C84" t="s">
        <v>86</v>
      </c>
      <c r="D84" t="s">
        <v>162</v>
      </c>
    </row>
    <row r="85" spans="1:4">
      <c r="A85" s="18" t="s">
        <v>136</v>
      </c>
      <c r="B85" s="281">
        <v>0</v>
      </c>
      <c r="C85" t="s">
        <v>86</v>
      </c>
    </row>
    <row r="86" spans="1:4">
      <c r="A86" s="18" t="s">
        <v>137</v>
      </c>
      <c r="B86" s="281">
        <v>0</v>
      </c>
      <c r="C86" t="s">
        <v>86</v>
      </c>
    </row>
    <row r="87" spans="1:4">
      <c r="A87" s="18"/>
      <c r="B87" s="127"/>
    </row>
    <row r="88" spans="1:4">
      <c r="A88" s="112" t="s">
        <v>163</v>
      </c>
      <c r="B88" s="127"/>
    </row>
    <row r="89" spans="1:4">
      <c r="A89" s="18" t="s">
        <v>139</v>
      </c>
      <c r="B89" s="281">
        <v>1.631</v>
      </c>
      <c r="C89" t="s">
        <v>86</v>
      </c>
      <c r="D89" t="s">
        <v>164</v>
      </c>
    </row>
    <row r="90" spans="1:4">
      <c r="A90" s="18" t="s">
        <v>165</v>
      </c>
      <c r="B90" s="277">
        <v>1.7475000000000001</v>
      </c>
      <c r="C90" t="s">
        <v>86</v>
      </c>
      <c r="D90" t="s">
        <v>166</v>
      </c>
    </row>
    <row r="91" spans="1:4">
      <c r="A91" s="18" t="s">
        <v>167</v>
      </c>
      <c r="B91" s="277">
        <v>0.74560000000000004</v>
      </c>
      <c r="C91" t="s">
        <v>86</v>
      </c>
    </row>
    <row r="92" spans="1:4">
      <c r="A92" s="18" t="s">
        <v>168</v>
      </c>
      <c r="B92" s="277">
        <v>0.13</v>
      </c>
      <c r="C92" t="s">
        <v>86</v>
      </c>
    </row>
    <row r="93" spans="1:4">
      <c r="A93" s="18" t="s">
        <v>169</v>
      </c>
      <c r="B93" s="277">
        <v>0.13</v>
      </c>
      <c r="C93" t="s">
        <v>86</v>
      </c>
    </row>
    <row r="94" spans="1:4">
      <c r="A94" s="18" t="s">
        <v>133</v>
      </c>
      <c r="B94" s="278">
        <v>7850</v>
      </c>
      <c r="C94" t="s">
        <v>86</v>
      </c>
    </row>
    <row r="95" spans="1:4">
      <c r="A95" s="18" t="s">
        <v>134</v>
      </c>
      <c r="B95" s="281">
        <v>0</v>
      </c>
      <c r="C95" t="s">
        <v>86</v>
      </c>
    </row>
    <row r="96" spans="1:4">
      <c r="A96" s="18" t="s">
        <v>136</v>
      </c>
      <c r="B96" s="281">
        <v>0</v>
      </c>
      <c r="C96" t="s">
        <v>86</v>
      </c>
    </row>
    <row r="97" spans="1:11">
      <c r="A97" s="18" t="s">
        <v>137</v>
      </c>
      <c r="B97" s="281">
        <v>-0.56850000000000001</v>
      </c>
      <c r="C97" t="s">
        <v>86</v>
      </c>
      <c r="D97" t="s">
        <v>170</v>
      </c>
    </row>
    <row r="99" spans="1:11">
      <c r="A99" s="112" t="s">
        <v>390</v>
      </c>
    </row>
    <row r="100" spans="1:11">
      <c r="A100" s="332" t="s">
        <v>391</v>
      </c>
      <c r="B100" s="333">
        <f>'Blade Data'!R32*B10+E8</f>
        <v>12381.263055221558</v>
      </c>
      <c r="C100" t="s">
        <v>118</v>
      </c>
    </row>
    <row r="101" spans="1:11">
      <c r="A101" s="332" t="s">
        <v>392</v>
      </c>
      <c r="B101" s="333">
        <f>E5+E6+E7</f>
        <v>20950.244259671897</v>
      </c>
      <c r="C101" t="s">
        <v>118</v>
      </c>
    </row>
    <row r="102" spans="1:11">
      <c r="A102" s="332" t="s">
        <v>393</v>
      </c>
      <c r="B102" s="333">
        <f>B100+B101</f>
        <v>33331.507314893453</v>
      </c>
      <c r="C102" t="s">
        <v>118</v>
      </c>
    </row>
    <row r="103" spans="1:11">
      <c r="A103" s="18" t="s">
        <v>399</v>
      </c>
      <c r="B103" s="333">
        <f>GECtwrdata!O26</f>
        <v>53775.756106386892</v>
      </c>
      <c r="C103" t="s">
        <v>118</v>
      </c>
    </row>
    <row r="104" spans="1:11">
      <c r="A104" t="s">
        <v>348</v>
      </c>
      <c r="H104" t="s">
        <v>320</v>
      </c>
      <c r="I104" s="184"/>
      <c r="J104" s="184"/>
    </row>
    <row r="105" spans="1:11" ht="14.25">
      <c r="A105" s="185"/>
      <c r="B105" s="186"/>
      <c r="C105" s="187" t="s">
        <v>321</v>
      </c>
      <c r="D105" s="188"/>
      <c r="E105" s="186"/>
      <c r="F105" s="189" t="s">
        <v>322</v>
      </c>
      <c r="G105" s="190"/>
      <c r="H105" s="185"/>
      <c r="I105" s="191" t="s">
        <v>333</v>
      </c>
      <c r="J105" s="191" t="s">
        <v>334</v>
      </c>
      <c r="K105" s="192" t="s">
        <v>335</v>
      </c>
    </row>
    <row r="106" spans="1:11" ht="13.5">
      <c r="A106" s="193" t="s">
        <v>88</v>
      </c>
      <c r="B106" s="177" t="s">
        <v>336</v>
      </c>
      <c r="C106" s="177" t="s">
        <v>337</v>
      </c>
      <c r="D106" s="178" t="s">
        <v>338</v>
      </c>
      <c r="E106" s="178" t="s">
        <v>339</v>
      </c>
      <c r="F106" s="177" t="s">
        <v>340</v>
      </c>
      <c r="G106" s="194" t="s">
        <v>341</v>
      </c>
      <c r="H106" s="193" t="s">
        <v>88</v>
      </c>
      <c r="I106" s="177" t="s">
        <v>342</v>
      </c>
      <c r="J106" s="177" t="s">
        <v>342</v>
      </c>
      <c r="K106" s="195" t="s">
        <v>342</v>
      </c>
    </row>
    <row r="107" spans="1:11" ht="12">
      <c r="A107" s="282">
        <v>7.0000000000000007E-2</v>
      </c>
      <c r="B107" s="283">
        <v>680.46852313432544</v>
      </c>
      <c r="C107" s="284">
        <v>1557617.3955374449</v>
      </c>
      <c r="D107" s="285">
        <v>3620</v>
      </c>
      <c r="E107" s="286">
        <v>3620</v>
      </c>
      <c r="F107" s="284">
        <v>1557617.3955374449</v>
      </c>
      <c r="G107" s="287">
        <v>3620</v>
      </c>
      <c r="H107" s="288">
        <v>7.0000000000000007E-2</v>
      </c>
      <c r="I107" s="289">
        <v>2.3240623855198695E-3</v>
      </c>
      <c r="J107" s="289">
        <v>2.3240623855198695E-3</v>
      </c>
      <c r="K107" s="290">
        <v>2.3240623855198695E-3</v>
      </c>
    </row>
    <row r="108" spans="1:11" ht="12">
      <c r="A108" s="291">
        <v>0.25</v>
      </c>
      <c r="B108" s="283">
        <v>260.90607125811937</v>
      </c>
      <c r="C108" s="284">
        <v>987620</v>
      </c>
      <c r="D108" s="285">
        <v>3620</v>
      </c>
      <c r="E108" s="286">
        <v>3872.3365369527278</v>
      </c>
      <c r="F108" s="284">
        <v>189109.6258164102</v>
      </c>
      <c r="G108" s="287">
        <v>1263.1593869403541</v>
      </c>
      <c r="H108" s="292">
        <v>0.25</v>
      </c>
      <c r="I108" s="284">
        <v>3.6653773718636723E-3</v>
      </c>
      <c r="J108" s="284">
        <v>3.9208769941401836E-3</v>
      </c>
      <c r="K108" s="293">
        <v>6.6795086790909508E-3</v>
      </c>
    </row>
    <row r="109" spans="1:11" ht="12">
      <c r="A109" s="291">
        <v>0.5</v>
      </c>
      <c r="B109" s="283">
        <v>178.44378866600621</v>
      </c>
      <c r="C109" s="284">
        <v>452000</v>
      </c>
      <c r="D109" s="285">
        <v>3620</v>
      </c>
      <c r="E109" s="286">
        <v>3845.7470139995348</v>
      </c>
      <c r="F109" s="284">
        <v>100924.76937294503</v>
      </c>
      <c r="G109" s="287">
        <v>1263.1593869403541</v>
      </c>
      <c r="H109" s="292">
        <v>0.5</v>
      </c>
      <c r="I109" s="284">
        <v>8.0088495575221241E-3</v>
      </c>
      <c r="J109" s="284">
        <v>8.5082898539812716E-3</v>
      </c>
      <c r="K109" s="293">
        <v>1.2515851111560431E-2</v>
      </c>
    </row>
    <row r="110" spans="1:11" ht="12">
      <c r="A110" s="294">
        <v>0.75</v>
      </c>
      <c r="B110" s="295">
        <v>109.19318519557659</v>
      </c>
      <c r="C110" s="296">
        <v>117633</v>
      </c>
      <c r="D110" s="297">
        <v>3620</v>
      </c>
      <c r="E110" s="298">
        <v>3808.8010680071311</v>
      </c>
      <c r="F110" s="296">
        <v>39845.648743448277</v>
      </c>
      <c r="G110" s="299">
        <v>1263.1593869403541</v>
      </c>
      <c r="H110" s="300">
        <v>0.75</v>
      </c>
      <c r="I110" s="296">
        <v>3.0773677454455809E-2</v>
      </c>
      <c r="J110" s="296">
        <v>3.2378678330121063E-2</v>
      </c>
      <c r="K110" s="301">
        <v>3.1701313111335713E-2</v>
      </c>
    </row>
    <row r="112" spans="1:11">
      <c r="A112" t="s">
        <v>349</v>
      </c>
    </row>
    <row r="113" spans="1:13" ht="13.5">
      <c r="A113" s="185"/>
      <c r="B113" s="189" t="s">
        <v>89</v>
      </c>
      <c r="C113" s="189" t="s">
        <v>323</v>
      </c>
      <c r="D113" s="189" t="s">
        <v>90</v>
      </c>
      <c r="E113" s="196" t="s">
        <v>324</v>
      </c>
      <c r="F113" s="189" t="s">
        <v>325</v>
      </c>
      <c r="G113" s="189" t="s">
        <v>326</v>
      </c>
      <c r="H113" s="189" t="s">
        <v>327</v>
      </c>
      <c r="I113" s="189" t="s">
        <v>343</v>
      </c>
      <c r="J113" s="189" t="s">
        <v>344</v>
      </c>
      <c r="K113" s="189" t="s">
        <v>114</v>
      </c>
      <c r="L113" s="189" t="s">
        <v>113</v>
      </c>
      <c r="M113" s="197" t="s">
        <v>345</v>
      </c>
    </row>
    <row r="114" spans="1:13" ht="13.5">
      <c r="A114" s="193" t="s">
        <v>88</v>
      </c>
      <c r="B114" s="177" t="s">
        <v>91</v>
      </c>
      <c r="C114" s="177" t="s">
        <v>328</v>
      </c>
      <c r="D114" s="177" t="s">
        <v>329</v>
      </c>
      <c r="E114" s="177" t="s">
        <v>330</v>
      </c>
      <c r="F114" s="177" t="s">
        <v>330</v>
      </c>
      <c r="G114" s="177" t="s">
        <v>330</v>
      </c>
      <c r="H114" s="177" t="s">
        <v>331</v>
      </c>
      <c r="I114" s="177" t="s">
        <v>346</v>
      </c>
      <c r="J114" s="177" t="s">
        <v>346</v>
      </c>
      <c r="K114" s="177" t="s">
        <v>332</v>
      </c>
      <c r="L114" s="177" t="s">
        <v>346</v>
      </c>
      <c r="M114" s="195" t="s">
        <v>357</v>
      </c>
    </row>
    <row r="115" spans="1:13">
      <c r="A115" s="302">
        <v>0.05</v>
      </c>
      <c r="B115" s="303">
        <v>1.349657099314199</v>
      </c>
      <c r="C115" s="304">
        <v>1</v>
      </c>
      <c r="D115" s="304" t="s">
        <v>378</v>
      </c>
      <c r="E115" s="356">
        <v>0.25</v>
      </c>
      <c r="F115" s="303">
        <v>0.5</v>
      </c>
      <c r="G115" s="303">
        <v>0.5</v>
      </c>
      <c r="H115" s="306">
        <v>1181.9474017501359</v>
      </c>
      <c r="I115" s="307">
        <v>2362406058.2721553</v>
      </c>
      <c r="J115" s="307">
        <v>2362406058.2721553</v>
      </c>
      <c r="K115" s="307">
        <v>10326627046.93685</v>
      </c>
      <c r="L115" s="307">
        <v>815590611.695804</v>
      </c>
      <c r="M115" s="308">
        <v>538.24909552528584</v>
      </c>
    </row>
    <row r="116" spans="1:13">
      <c r="A116" s="282">
        <v>7.0000000000000007E-2</v>
      </c>
      <c r="B116" s="309">
        <v>1.3496570993141985</v>
      </c>
      <c r="C116" s="310">
        <v>1</v>
      </c>
      <c r="D116" s="310" t="s">
        <v>378</v>
      </c>
      <c r="E116" s="356">
        <v>0.25</v>
      </c>
      <c r="F116" s="309">
        <v>0.5</v>
      </c>
      <c r="G116" s="309">
        <v>0.5</v>
      </c>
      <c r="H116" s="311">
        <v>89.215305458599687</v>
      </c>
      <c r="I116" s="312">
        <v>292871613.66241747</v>
      </c>
      <c r="J116" s="312">
        <v>292871613.66241747</v>
      </c>
      <c r="K116" s="312">
        <v>1295783621.589889</v>
      </c>
      <c r="L116" s="312">
        <v>102340392.98761402</v>
      </c>
      <c r="M116" s="313">
        <v>40.627914067071856</v>
      </c>
    </row>
    <row r="117" spans="1:13">
      <c r="A117" s="291">
        <v>0.25</v>
      </c>
      <c r="B117" s="309">
        <v>2</v>
      </c>
      <c r="C117" s="310">
        <v>0.27</v>
      </c>
      <c r="D117" s="310">
        <v>5.7408195699863462</v>
      </c>
      <c r="E117" s="305">
        <v>0.34</v>
      </c>
      <c r="F117" s="309">
        <v>0.38431406494974252</v>
      </c>
      <c r="G117" s="309">
        <v>0.32303333404645607</v>
      </c>
      <c r="H117" s="311">
        <v>117.20845675339662</v>
      </c>
      <c r="I117" s="312">
        <v>71200412.886402056</v>
      </c>
      <c r="J117" s="312">
        <v>192688198.09657151</v>
      </c>
      <c r="K117" s="314">
        <v>1535809947.6467729</v>
      </c>
      <c r="L117" s="314">
        <v>6059831.2604694702</v>
      </c>
      <c r="M117" s="315">
        <v>24.149591455091301</v>
      </c>
    </row>
    <row r="118" spans="1:13">
      <c r="A118" s="291">
        <v>0.5</v>
      </c>
      <c r="B118" s="309">
        <v>1.5334010668021336</v>
      </c>
      <c r="C118" s="310">
        <v>0.24</v>
      </c>
      <c r="D118" s="310">
        <v>7.8774986568807996</v>
      </c>
      <c r="E118" s="305">
        <v>0.31</v>
      </c>
      <c r="F118" s="309">
        <v>0.37966131849299201</v>
      </c>
      <c r="G118" s="309">
        <v>0.32331172392666518</v>
      </c>
      <c r="H118" s="311">
        <v>82.955569360022096</v>
      </c>
      <c r="I118" s="312">
        <v>22286831.062062379</v>
      </c>
      <c r="J118" s="312">
        <v>79116868.754064709</v>
      </c>
      <c r="K118" s="314">
        <v>1094705409.6217237</v>
      </c>
      <c r="L118" s="314">
        <v>2885752.229026631</v>
      </c>
      <c r="M118" s="315">
        <v>9.0573611452431102</v>
      </c>
    </row>
    <row r="119" spans="1:13">
      <c r="A119" s="291">
        <v>0.75</v>
      </c>
      <c r="B119" s="309">
        <v>1.0670561341122682</v>
      </c>
      <c r="C119" s="310">
        <v>0.21</v>
      </c>
      <c r="D119" s="310">
        <v>7.6422364536705301</v>
      </c>
      <c r="E119" s="305">
        <v>0.28000000000000003</v>
      </c>
      <c r="F119" s="309">
        <v>0.39262047257690491</v>
      </c>
      <c r="G119" s="309">
        <v>0.32643878406891619</v>
      </c>
      <c r="H119" s="311">
        <v>39.129612072462692</v>
      </c>
      <c r="I119" s="312">
        <v>3549221.9475047868</v>
      </c>
      <c r="J119" s="312">
        <v>21323059.849604025</v>
      </c>
      <c r="K119" s="314">
        <v>499093273.18287331</v>
      </c>
      <c r="L119" s="314">
        <v>574933.04560629011</v>
      </c>
      <c r="M119" s="315">
        <v>2.2054187533799334</v>
      </c>
    </row>
    <row r="120" spans="1:13">
      <c r="A120" s="316">
        <v>1</v>
      </c>
      <c r="B120" s="317">
        <v>0.64719329438658879</v>
      </c>
      <c r="C120" s="318">
        <v>0.16</v>
      </c>
      <c r="D120" s="318">
        <v>0</v>
      </c>
      <c r="E120" s="317">
        <v>0.25</v>
      </c>
      <c r="F120" s="317">
        <v>0.49249999999999999</v>
      </c>
      <c r="G120" s="317">
        <v>0.35780000000000001</v>
      </c>
      <c r="H120" s="319">
        <v>7.751396294306554</v>
      </c>
      <c r="I120" s="320">
        <v>79811.599091411103</v>
      </c>
      <c r="J120" s="320">
        <v>2702250.8204062055</v>
      </c>
      <c r="K120" s="321">
        <v>80734393.082686871</v>
      </c>
      <c r="L120" s="321">
        <v>61146.36439630347</v>
      </c>
      <c r="M120" s="322">
        <v>0.25688857997871806</v>
      </c>
    </row>
    <row r="122" spans="1:13">
      <c r="B122" s="18" t="s">
        <v>350</v>
      </c>
      <c r="C122" s="200"/>
      <c r="D122" t="s">
        <v>351</v>
      </c>
      <c r="H122" t="s">
        <v>409</v>
      </c>
    </row>
    <row r="124" spans="1:13">
      <c r="A124" t="s">
        <v>369</v>
      </c>
    </row>
    <row r="125" spans="1:13">
      <c r="A125" s="185"/>
      <c r="B125" s="231" t="s">
        <v>364</v>
      </c>
      <c r="C125" s="338" t="s">
        <v>403</v>
      </c>
      <c r="D125" s="339"/>
    </row>
    <row r="126" spans="1:13" ht="12">
      <c r="A126" s="193" t="s">
        <v>88</v>
      </c>
      <c r="B126" s="234" t="s">
        <v>367</v>
      </c>
      <c r="C126" s="226"/>
      <c r="D126" s="227"/>
    </row>
    <row r="127" spans="1:13">
      <c r="A127" s="237">
        <f t="shared" ref="A127:A132" si="0">A115</f>
        <v>0.05</v>
      </c>
      <c r="B127" s="340">
        <v>10.5</v>
      </c>
      <c r="C127" s="323"/>
      <c r="D127" s="324">
        <v>1</v>
      </c>
    </row>
    <row r="128" spans="1:13">
      <c r="A128" s="242">
        <f t="shared" si="0"/>
        <v>7.0000000000000007E-2</v>
      </c>
      <c r="B128" s="341">
        <v>10.5</v>
      </c>
      <c r="C128" s="325"/>
      <c r="D128" s="326">
        <v>1</v>
      </c>
    </row>
    <row r="129" spans="1:5">
      <c r="A129" s="242">
        <f t="shared" si="0"/>
        <v>0.25</v>
      </c>
      <c r="B129" s="328">
        <v>10.5</v>
      </c>
      <c r="C129" s="325"/>
      <c r="D129" s="326">
        <v>2</v>
      </c>
    </row>
    <row r="130" spans="1:5">
      <c r="A130" s="242">
        <f t="shared" si="0"/>
        <v>0.5</v>
      </c>
      <c r="B130" s="328">
        <v>2.5</v>
      </c>
      <c r="C130" s="325"/>
      <c r="D130" s="326">
        <v>2.5</v>
      </c>
    </row>
    <row r="131" spans="1:5">
      <c r="A131" s="242">
        <f t="shared" si="0"/>
        <v>0.75</v>
      </c>
      <c r="B131" s="342">
        <v>0</v>
      </c>
      <c r="C131" s="325"/>
      <c r="D131" s="326">
        <v>3</v>
      </c>
    </row>
    <row r="132" spans="1:5">
      <c r="A132" s="248">
        <f t="shared" si="0"/>
        <v>1</v>
      </c>
      <c r="B132" s="329">
        <v>-0.6</v>
      </c>
      <c r="C132" s="343"/>
      <c r="D132" s="327">
        <v>4</v>
      </c>
    </row>
    <row r="134" spans="1:5" ht="12">
      <c r="A134" s="344" t="s">
        <v>404</v>
      </c>
      <c r="B134" s="354" t="s">
        <v>405</v>
      </c>
      <c r="C134" s="355"/>
    </row>
    <row r="135" spans="1:5">
      <c r="A135" s="345">
        <v>1</v>
      </c>
      <c r="B135" s="346"/>
      <c r="C135" s="347" t="s">
        <v>379</v>
      </c>
    </row>
    <row r="136" spans="1:5">
      <c r="A136" s="345">
        <v>2</v>
      </c>
      <c r="B136" s="348"/>
      <c r="C136" s="349" t="s">
        <v>380</v>
      </c>
    </row>
    <row r="137" spans="1:5">
      <c r="A137" s="345">
        <v>3</v>
      </c>
      <c r="B137" s="348"/>
      <c r="C137" s="349" t="s">
        <v>381</v>
      </c>
    </row>
    <row r="138" spans="1:5">
      <c r="A138" s="350">
        <v>4</v>
      </c>
      <c r="B138" s="351"/>
      <c r="C138" s="352" t="s">
        <v>406</v>
      </c>
      <c r="E138" t="s">
        <v>407</v>
      </c>
    </row>
    <row r="139" spans="1:5" ht="12" thickBot="1"/>
    <row r="140" spans="1:5" ht="12" thickBot="1">
      <c r="A140" s="357" t="s">
        <v>408</v>
      </c>
      <c r="B140" s="358"/>
      <c r="C140" s="359"/>
    </row>
    <row r="141" spans="1:5">
      <c r="A141" s="93" t="s">
        <v>35</v>
      </c>
      <c r="B141" s="375" t="s">
        <v>36</v>
      </c>
      <c r="C141" s="374" t="s">
        <v>37</v>
      </c>
      <c r="E141" t="s">
        <v>410</v>
      </c>
    </row>
    <row r="142" spans="1:5" ht="12" thickBot="1">
      <c r="A142" s="264">
        <v>0.03</v>
      </c>
      <c r="B142" s="376">
        <v>0.03</v>
      </c>
      <c r="C142" s="377">
        <v>0.03</v>
      </c>
    </row>
    <row r="145" spans="1:4">
      <c r="A145" s="5"/>
      <c r="B145" s="378"/>
      <c r="C145" s="378"/>
      <c r="D145" s="378"/>
    </row>
    <row r="146" spans="1:4">
      <c r="A146" s="5"/>
      <c r="B146" s="378"/>
      <c r="C146" s="378"/>
      <c r="D146" s="378"/>
    </row>
    <row r="147" spans="1:4">
      <c r="A147" s="5"/>
      <c r="B147" s="378"/>
      <c r="C147" s="379"/>
      <c r="D147" s="378"/>
    </row>
    <row r="148" spans="1:4">
      <c r="A148" s="5"/>
      <c r="B148" s="378"/>
      <c r="C148" s="378"/>
      <c r="D148" s="378"/>
    </row>
    <row r="149" spans="1:4">
      <c r="A149" s="5"/>
      <c r="B149" s="378"/>
      <c r="C149" s="378"/>
      <c r="D149" s="378"/>
    </row>
  </sheetData>
  <mergeCells count="6">
    <mergeCell ref="A140:C140"/>
    <mergeCell ref="B3:D3"/>
    <mergeCell ref="F3:H3"/>
    <mergeCell ref="C1:H1"/>
    <mergeCell ref="D19:F19"/>
    <mergeCell ref="D18:F18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36" sqref="C36"/>
    </sheetView>
  </sheetViews>
  <sheetFormatPr defaultRowHeight="11.25"/>
  <cols>
    <col min="1" max="1" width="15.1640625" customWidth="1"/>
    <col min="2" max="3" width="13.33203125" bestFit="1" customWidth="1"/>
    <col min="4" max="4" width="15.6640625" bestFit="1" customWidth="1"/>
    <col min="5" max="5" width="17" bestFit="1" customWidth="1"/>
    <col min="6" max="7" width="15.83203125" bestFit="1" customWidth="1"/>
    <col min="8" max="8" width="11.83203125" bestFit="1" customWidth="1"/>
    <col min="9" max="9" width="12.5" bestFit="1" customWidth="1"/>
    <col min="10" max="10" width="9.5" bestFit="1" customWidth="1"/>
  </cols>
  <sheetData>
    <row r="1" spans="1:10">
      <c r="A1">
        <f>'Main Page'!B13</f>
        <v>50</v>
      </c>
    </row>
    <row r="2" spans="1:10">
      <c r="A2">
        <f>'Main Page'!B47</f>
        <v>2.5</v>
      </c>
    </row>
    <row r="3" spans="1:10">
      <c r="A3" t="str">
        <f>'Main Page'!C135</f>
        <v>cylinder</v>
      </c>
      <c r="B3" t="str">
        <f>'Main Page'!C136</f>
        <v>s818_2702.dat</v>
      </c>
      <c r="C3" t="str">
        <f>'Main Page'!C137</f>
        <v>s825_2102.dat</v>
      </c>
      <c r="D3" t="str">
        <f>'Main Page'!C138</f>
        <v>s826_1602.dat</v>
      </c>
    </row>
    <row r="4" spans="1:10">
      <c r="A4">
        <f>'Main Page'!A142</f>
        <v>0.03</v>
      </c>
      <c r="B4">
        <f>'Main Page'!B142</f>
        <v>0.03</v>
      </c>
      <c r="C4">
        <f>'Main Page'!C142</f>
        <v>0.03</v>
      </c>
    </row>
    <row r="5" spans="1:10" ht="12.75">
      <c r="A5" s="353" t="str">
        <f>'Main Page'!A114</f>
        <v>Station</v>
      </c>
      <c r="B5" s="353" t="str">
        <f>'Main Page'!H113</f>
        <v>Unit Weight</v>
      </c>
      <c r="C5" s="353" t="str">
        <f>'Main Page'!B125</f>
        <v>Twist</v>
      </c>
      <c r="D5" s="353" t="str">
        <f>'Main Page'!L113</f>
        <v>GJ</v>
      </c>
      <c r="E5" s="353" t="str">
        <f>'Main Page'!K113</f>
        <v>EA</v>
      </c>
      <c r="F5" s="353" t="str">
        <f>'Main Page'!J113</f>
        <v>EIEdge</v>
      </c>
      <c r="G5" s="353" t="str">
        <f>'Main Page'!I113</f>
        <v>EIFlap</v>
      </c>
      <c r="H5" s="353" t="str">
        <f>'Main Page'!B113</f>
        <v>Chord</v>
      </c>
      <c r="I5" s="353" t="str">
        <f>'Main Page'!E113</f>
        <v>Gen. Axis Loc.</v>
      </c>
      <c r="J5" s="353" t="str">
        <f>'Main Page'!A134</f>
        <v>Airfoil ID</v>
      </c>
    </row>
    <row r="6" spans="1:10" ht="12.75">
      <c r="A6" s="353">
        <f>'Main Page'!A115</f>
        <v>0.05</v>
      </c>
      <c r="B6" s="353">
        <f>'Main Page'!H115</f>
        <v>1181.9474017501359</v>
      </c>
      <c r="C6" s="353">
        <f>'Main Page'!B127 - 'Main Page'!B$132</f>
        <v>11.1</v>
      </c>
      <c r="D6" s="353">
        <f>'Main Page'!L115</f>
        <v>815590611.695804</v>
      </c>
      <c r="E6" s="353">
        <f>'Main Page'!K115</f>
        <v>10326627046.93685</v>
      </c>
      <c r="F6" s="353">
        <f>'Main Page'!J115</f>
        <v>2362406058.2721553</v>
      </c>
      <c r="G6" s="353">
        <f>'Main Page'!I115</f>
        <v>2362406058.2721553</v>
      </c>
      <c r="H6" s="353">
        <f>'Main Page'!B115</f>
        <v>1.349657099314199</v>
      </c>
      <c r="I6" s="353">
        <f>'Main Page'!E115</f>
        <v>0.25</v>
      </c>
      <c r="J6" s="353">
        <f>'Main Page'!D127</f>
        <v>1</v>
      </c>
    </row>
    <row r="7" spans="1:10" ht="12.75">
      <c r="A7" s="353">
        <f>'Main Page'!A116</f>
        <v>7.0000000000000007E-2</v>
      </c>
      <c r="B7" s="353">
        <f>'Main Page'!H116</f>
        <v>89.215305458599687</v>
      </c>
      <c r="C7" s="353">
        <f>'Main Page'!B128 - 'Main Page'!B$132</f>
        <v>11.1</v>
      </c>
      <c r="D7" s="353">
        <f>'Main Page'!L116</f>
        <v>102340392.98761402</v>
      </c>
      <c r="E7" s="353">
        <f>'Main Page'!K116</f>
        <v>1295783621.589889</v>
      </c>
      <c r="F7" s="353">
        <f>'Main Page'!J116</f>
        <v>292871613.66241747</v>
      </c>
      <c r="G7" s="353">
        <f>'Main Page'!I116</f>
        <v>292871613.66241747</v>
      </c>
      <c r="H7" s="353">
        <f>'Main Page'!B116</f>
        <v>1.3496570993141985</v>
      </c>
      <c r="I7" s="353">
        <f>'Main Page'!E116</f>
        <v>0.25</v>
      </c>
      <c r="J7" s="353">
        <f>'Main Page'!D128</f>
        <v>1</v>
      </c>
    </row>
    <row r="8" spans="1:10" ht="12.75">
      <c r="A8" s="353">
        <f>'Main Page'!A117</f>
        <v>0.25</v>
      </c>
      <c r="B8" s="353">
        <f>'Main Page'!H117</f>
        <v>117.20845675339662</v>
      </c>
      <c r="C8" s="353">
        <f>'Main Page'!B129 - 'Main Page'!B$132</f>
        <v>11.1</v>
      </c>
      <c r="D8" s="353">
        <f>'Main Page'!L117</f>
        <v>6059831.2604694702</v>
      </c>
      <c r="E8" s="353">
        <f>'Main Page'!K117</f>
        <v>1535809947.6467729</v>
      </c>
      <c r="F8" s="353">
        <f>'Main Page'!J117</f>
        <v>192688198.09657151</v>
      </c>
      <c r="G8" s="353">
        <f>'Main Page'!I117</f>
        <v>71200412.886402056</v>
      </c>
      <c r="H8" s="353">
        <f>'Main Page'!B117</f>
        <v>2</v>
      </c>
      <c r="I8" s="353">
        <f>'Main Page'!E117</f>
        <v>0.34</v>
      </c>
      <c r="J8" s="353">
        <f>'Main Page'!D129</f>
        <v>2</v>
      </c>
    </row>
    <row r="9" spans="1:10" ht="12.75">
      <c r="A9" s="353">
        <f>'Main Page'!A118</f>
        <v>0.5</v>
      </c>
      <c r="B9" s="353">
        <f>'Main Page'!H118</f>
        <v>82.955569360022096</v>
      </c>
      <c r="C9" s="353">
        <f>'Main Page'!B130 - 'Main Page'!B$132</f>
        <v>3.1</v>
      </c>
      <c r="D9" s="353">
        <f>'Main Page'!L118</f>
        <v>2885752.229026631</v>
      </c>
      <c r="E9" s="353">
        <f>'Main Page'!K118</f>
        <v>1094705409.6217237</v>
      </c>
      <c r="F9" s="353">
        <f>'Main Page'!J118</f>
        <v>79116868.754064709</v>
      </c>
      <c r="G9" s="353">
        <f>'Main Page'!I118</f>
        <v>22286831.062062379</v>
      </c>
      <c r="H9" s="353">
        <f>'Main Page'!B118</f>
        <v>1.5334010668021336</v>
      </c>
      <c r="I9" s="353">
        <f>'Main Page'!E118</f>
        <v>0.31</v>
      </c>
      <c r="J9" s="353">
        <f>'Main Page'!D130</f>
        <v>2.5</v>
      </c>
    </row>
    <row r="10" spans="1:10" ht="12.75">
      <c r="A10" s="353">
        <f>'Main Page'!A119</f>
        <v>0.75</v>
      </c>
      <c r="B10" s="353">
        <f>'Main Page'!H119</f>
        <v>39.129612072462692</v>
      </c>
      <c r="C10" s="353">
        <f>'Main Page'!B131 - 'Main Page'!B$132</f>
        <v>0.6</v>
      </c>
      <c r="D10" s="353">
        <f>'Main Page'!L119</f>
        <v>574933.04560629011</v>
      </c>
      <c r="E10" s="353">
        <f>'Main Page'!K119</f>
        <v>499093273.18287331</v>
      </c>
      <c r="F10" s="353">
        <f>'Main Page'!J119</f>
        <v>21323059.849604025</v>
      </c>
      <c r="G10" s="353">
        <f>'Main Page'!I119</f>
        <v>3549221.9475047868</v>
      </c>
      <c r="H10" s="353">
        <f>'Main Page'!B119</f>
        <v>1.0670561341122682</v>
      </c>
      <c r="I10" s="353">
        <f>'Main Page'!E119</f>
        <v>0.28000000000000003</v>
      </c>
      <c r="J10" s="353">
        <f>'Main Page'!D131</f>
        <v>3</v>
      </c>
    </row>
    <row r="11" spans="1:10" ht="12.75">
      <c r="A11" s="353">
        <f>'Main Page'!A120</f>
        <v>1</v>
      </c>
      <c r="B11" s="353">
        <f>'Main Page'!H120</f>
        <v>7.751396294306554</v>
      </c>
      <c r="C11" s="353">
        <f>'Main Page'!B132 - 'Main Page'!B$132</f>
        <v>0</v>
      </c>
      <c r="D11" s="353">
        <f>'Main Page'!L120</f>
        <v>61146.36439630347</v>
      </c>
      <c r="E11" s="353">
        <f>'Main Page'!K120</f>
        <v>80734393.082686871</v>
      </c>
      <c r="F11" s="353">
        <f>'Main Page'!J120</f>
        <v>2702250.8204062055</v>
      </c>
      <c r="G11" s="353">
        <f>'Main Page'!I120</f>
        <v>79811.599091411103</v>
      </c>
      <c r="H11" s="353">
        <f>'Main Page'!B120</f>
        <v>0.64719329438658879</v>
      </c>
      <c r="I11" s="353">
        <f>'Main Page'!E120</f>
        <v>0.25</v>
      </c>
      <c r="J11" s="353">
        <f>'Main Page'!D132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/>
  <sheetData>
    <row r="1" spans="1:1">
      <c r="A1">
        <f>'Main Page'!B77</f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="75" workbookViewId="0">
      <selection activeCell="B20" sqref="B20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370" t="s">
        <v>85</v>
      </c>
      <c r="B2" s="371"/>
      <c r="C2" s="371"/>
      <c r="D2" s="372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4">
        <v>0.01</v>
      </c>
      <c r="B4" s="265">
        <v>0.01</v>
      </c>
      <c r="C4" s="265">
        <v>0.01</v>
      </c>
      <c r="D4" s="266">
        <v>0.01</v>
      </c>
      <c r="F4" s="74" t="s">
        <v>117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315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1456.5699814057803</v>
      </c>
      <c r="D8" s="86">
        <f>GECtwrdata!J15</f>
        <v>4876.9084198854243</v>
      </c>
      <c r="E8" s="86">
        <f>GECtwrdata!M15</f>
        <v>2438.4542099427122</v>
      </c>
      <c r="F8" s="86">
        <v>0</v>
      </c>
      <c r="G8" s="86">
        <v>0</v>
      </c>
      <c r="H8" s="50">
        <f>GECtwrdata!K15</f>
        <v>47789401468.744972</v>
      </c>
      <c r="I8" s="50">
        <f>GECtwrdata!H15</f>
        <v>35342917352.88517</v>
      </c>
      <c r="J8" s="50">
        <f>GECtwrdata!N15</f>
        <v>62126221909.368462</v>
      </c>
      <c r="K8" s="51">
        <f>GECtwrdata!N15</f>
        <v>62126221909.368462</v>
      </c>
    </row>
    <row r="9" spans="1:11" ht="12" thickBot="1">
      <c r="A9" s="48">
        <v>2</v>
      </c>
      <c r="B9" s="85">
        <f>GECtwrdata!C16</f>
        <v>6.5188888888888892</v>
      </c>
      <c r="C9" s="86">
        <f>GECtwrdata!G16</f>
        <v>1319.6643913839366</v>
      </c>
      <c r="D9" s="86">
        <f>GECtwrdata!J16</f>
        <v>3972.1820598975628</v>
      </c>
      <c r="E9" s="86">
        <f>GECtwrdata!M16</f>
        <v>1986.0910299487814</v>
      </c>
      <c r="F9" s="86">
        <v>0</v>
      </c>
      <c r="G9" s="86">
        <v>0</v>
      </c>
      <c r="H9" s="50">
        <f>GECtwrdata!K16</f>
        <v>38923881037.702721</v>
      </c>
      <c r="I9" s="50">
        <f>GECtwrdata!H16</f>
        <v>32020974009.92263</v>
      </c>
      <c r="J9" s="50">
        <f>GECtwrdata!N16</f>
        <v>50601045349.013542</v>
      </c>
      <c r="K9" s="51">
        <f>GECtwrdata!N16</f>
        <v>50601045349.013542</v>
      </c>
    </row>
    <row r="10" spans="1:11" ht="12" thickBot="1">
      <c r="A10" s="48">
        <v>3</v>
      </c>
      <c r="B10" s="85">
        <f>GECtwrdata!C17</f>
        <v>13.037777777777778</v>
      </c>
      <c r="C10" s="86">
        <f>GECtwrdata!G17</f>
        <v>1189.4722103298889</v>
      </c>
      <c r="D10" s="86">
        <f>GECtwrdata!J17</f>
        <v>3199.4162682686474</v>
      </c>
      <c r="E10" s="86">
        <f>GECtwrdata!M17</f>
        <v>1599.7081341343237</v>
      </c>
      <c r="F10" s="86">
        <v>0</v>
      </c>
      <c r="G10" s="86">
        <v>0</v>
      </c>
      <c r="H10" s="50">
        <f>GECtwrdata!K17</f>
        <v>31351457797.830936</v>
      </c>
      <c r="I10" s="50">
        <f>GECtwrdata!H17</f>
        <v>28861928063.812893</v>
      </c>
      <c r="J10" s="50">
        <f>GECtwrdata!N17</f>
        <v>40756895137.180222</v>
      </c>
      <c r="K10" s="51">
        <f>GECtwrdata!N17</f>
        <v>40756895137.180222</v>
      </c>
    </row>
    <row r="11" spans="1:11" ht="12" thickBot="1">
      <c r="A11" s="48">
        <v>4</v>
      </c>
      <c r="B11" s="85">
        <f>GECtwrdata!C18</f>
        <v>19.556666666666668</v>
      </c>
      <c r="C11" s="86">
        <f>GECtwrdata!G18</f>
        <v>1065.9934382436375</v>
      </c>
      <c r="D11" s="86">
        <f>GECtwrdata!J18</f>
        <v>2545.1298360182082</v>
      </c>
      <c r="E11" s="86">
        <f>GECtwrdata!M18</f>
        <v>1272.5649180091041</v>
      </c>
      <c r="F11" s="86">
        <v>0</v>
      </c>
      <c r="G11" s="86">
        <v>0</v>
      </c>
      <c r="H11" s="50">
        <f>GECtwrdata!K18</f>
        <v>24940027790.477295</v>
      </c>
      <c r="I11" s="50">
        <f>GECtwrdata!H18</f>
        <v>25865779514.555958</v>
      </c>
      <c r="J11" s="50">
        <f>GECtwrdata!N18</f>
        <v>32422036127.620483</v>
      </c>
      <c r="K11" s="51">
        <f>GECtwrdata!N18</f>
        <v>32422036127.620483</v>
      </c>
    </row>
    <row r="12" spans="1:11" ht="12" thickBot="1">
      <c r="A12" s="48">
        <v>5</v>
      </c>
      <c r="B12" s="85">
        <f>GECtwrdata!C19</f>
        <v>26.075555555555557</v>
      </c>
      <c r="C12" s="86">
        <f>GECtwrdata!G19</f>
        <v>949.2280751251825</v>
      </c>
      <c r="D12" s="86">
        <f>GECtwrdata!J19</f>
        <v>1996.5667680974823</v>
      </c>
      <c r="E12" s="86">
        <f>GECtwrdata!M19</f>
        <v>998.28338404874114</v>
      </c>
      <c r="F12" s="86">
        <v>0</v>
      </c>
      <c r="G12" s="86">
        <v>0</v>
      </c>
      <c r="H12" s="50">
        <f>GECtwrdata!K19</f>
        <v>19564593513.939072</v>
      </c>
      <c r="I12" s="50">
        <f>GECtwrdata!H19</f>
        <v>23032528362.151833</v>
      </c>
      <c r="J12" s="50">
        <f>GECtwrdata!N19</f>
        <v>25433971568.120796</v>
      </c>
      <c r="K12" s="51">
        <f>GECtwrdata!N19</f>
        <v>25433971568.120796</v>
      </c>
    </row>
    <row r="13" spans="1:11" ht="12" thickBot="1">
      <c r="A13" s="48">
        <v>6</v>
      </c>
      <c r="B13" s="85">
        <f>GECtwrdata!C20</f>
        <v>32.594444444444449</v>
      </c>
      <c r="C13" s="86">
        <f>GECtwrdata!G20</f>
        <v>839.17612097452354</v>
      </c>
      <c r="D13" s="86">
        <f>GECtwrdata!J20</f>
        <v>1541.6962833894095</v>
      </c>
      <c r="E13" s="86">
        <f>GECtwrdata!M20</f>
        <v>770.84814169470474</v>
      </c>
      <c r="F13" s="86">
        <v>0</v>
      </c>
      <c r="G13" s="86">
        <v>0</v>
      </c>
      <c r="H13" s="50">
        <f>GECtwrdata!K20</f>
        <v>15107263923.4631</v>
      </c>
      <c r="I13" s="50">
        <f>GECtwrdata!H20</f>
        <v>20362174606.60051</v>
      </c>
      <c r="J13" s="50">
        <f>GECtwrdata!N20</f>
        <v>19639443100.502033</v>
      </c>
      <c r="K13" s="51">
        <f>GECtwrdata!N20</f>
        <v>19639443100.502033</v>
      </c>
    </row>
    <row r="14" spans="1:11" ht="12" thickBot="1">
      <c r="A14" s="48">
        <v>7</v>
      </c>
      <c r="B14" s="85">
        <f>GECtwrdata!C21</f>
        <v>39.113333333333337</v>
      </c>
      <c r="C14" s="86">
        <f>GECtwrdata!G21</f>
        <v>735.83757579166081</v>
      </c>
      <c r="D14" s="86">
        <f>GECtwrdata!J21</f>
        <v>1169.2128147086407</v>
      </c>
      <c r="E14" s="86">
        <f>GECtwrdata!M21</f>
        <v>584.60640735432037</v>
      </c>
      <c r="F14" s="86">
        <v>0</v>
      </c>
      <c r="G14" s="86">
        <v>0</v>
      </c>
      <c r="H14" s="50">
        <f>GECtwrdata!K21</f>
        <v>11457254431.245865</v>
      </c>
      <c r="I14" s="50">
        <f>GECtwrdata!H21</f>
        <v>17854718247.901989</v>
      </c>
      <c r="J14" s="50">
        <f>GECtwrdata!N21</f>
        <v>14894430760.619625</v>
      </c>
      <c r="K14" s="51">
        <f>GECtwrdata!N21</f>
        <v>14894430760.619625</v>
      </c>
    </row>
    <row r="15" spans="1:11" ht="12" thickBot="1">
      <c r="A15" s="48">
        <v>8</v>
      </c>
      <c r="B15" s="85">
        <f>GECtwrdata!C22</f>
        <v>45.632222222222225</v>
      </c>
      <c r="C15" s="86">
        <f>GECtwrdata!G22</f>
        <v>639.21243957659442</v>
      </c>
      <c r="D15" s="86">
        <f>GECtwrdata!J22</f>
        <v>868.53600880153101</v>
      </c>
      <c r="E15" s="86">
        <f>GECtwrdata!M22</f>
        <v>434.26800440076551</v>
      </c>
      <c r="F15" s="86">
        <v>0</v>
      </c>
      <c r="G15" s="86">
        <v>0</v>
      </c>
      <c r="H15" s="50">
        <f>GECtwrdata!K22</f>
        <v>8510886906.433424</v>
      </c>
      <c r="I15" s="50">
        <f>GECtwrdata!H22</f>
        <v>15510159286.056276</v>
      </c>
      <c r="J15" s="50">
        <f>GECtwrdata!N22</f>
        <v>11064152978.363453</v>
      </c>
      <c r="K15" s="51">
        <f>GECtwrdata!N22</f>
        <v>11064152978.363453</v>
      </c>
    </row>
    <row r="16" spans="1:11" ht="12" thickBot="1">
      <c r="A16" s="48">
        <v>9</v>
      </c>
      <c r="B16" s="85">
        <f>GECtwrdata!C23</f>
        <v>52.151111111111113</v>
      </c>
      <c r="C16" s="86">
        <f>GECtwrdata!G23</f>
        <v>549.3007123293238</v>
      </c>
      <c r="D16" s="86">
        <f>GECtwrdata!J23</f>
        <v>629.8107263461402</v>
      </c>
      <c r="E16" s="86">
        <f>GECtwrdata!M23</f>
        <v>314.9053631730701</v>
      </c>
      <c r="F16" s="86">
        <v>0</v>
      </c>
      <c r="G16" s="86">
        <v>0</v>
      </c>
      <c r="H16" s="50">
        <f>GECtwrdata!K23</f>
        <v>6171589675.1214123</v>
      </c>
      <c r="I16" s="50">
        <f>GECtwrdata!H23</f>
        <v>13328497721.063362</v>
      </c>
      <c r="J16" s="50">
        <f>GECtwrdata!N23</f>
        <v>8023066577.657836</v>
      </c>
      <c r="K16" s="51">
        <f>GECtwrdata!N23</f>
        <v>8023066577.657836</v>
      </c>
    </row>
    <row r="17" spans="1:11">
      <c r="A17" s="48">
        <v>10</v>
      </c>
      <c r="B17" s="85">
        <f>GECtwrdata!C24</f>
        <v>58.67</v>
      </c>
      <c r="C17" s="86">
        <f>GECtwrdata!G24</f>
        <v>466.10239404984969</v>
      </c>
      <c r="D17" s="86">
        <f>GECtwrdata!J24</f>
        <v>443.90704195223776</v>
      </c>
      <c r="E17" s="86">
        <f>GECtwrdata!M24</f>
        <v>221.95352097611888</v>
      </c>
      <c r="F17" s="86">
        <v>0</v>
      </c>
      <c r="G17" s="86">
        <v>0</v>
      </c>
      <c r="H17" s="50">
        <f>GECtwrdata!K24</f>
        <v>4349897520.3550978</v>
      </c>
      <c r="I17" s="50">
        <f>GECtwrdata!H24</f>
        <v>11309733552.923256</v>
      </c>
      <c r="J17" s="50">
        <f>GECtwrdata!N24</f>
        <v>5654866776.461628</v>
      </c>
      <c r="K17" s="51">
        <f>GECtwrdata!N24</f>
        <v>5654866776.461628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D2" sqref="D2:F4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23.75</v>
      </c>
      <c r="D2" s="357" t="s">
        <v>85</v>
      </c>
      <c r="E2" s="358"/>
      <c r="F2" s="359"/>
    </row>
    <row r="3" spans="1:20" ht="23.25" thickBot="1">
      <c r="A3" s="98" t="s">
        <v>57</v>
      </c>
      <c r="B3" s="33">
        <f>GECbladedata!D13</f>
        <v>1.25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4">
        <v>0.03</v>
      </c>
      <c r="E4" s="265">
        <v>0.03</v>
      </c>
      <c r="F4" s="266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74</v>
      </c>
      <c r="N9" s="88" t="s">
        <v>73</v>
      </c>
      <c r="O9" s="88" t="s">
        <v>62</v>
      </c>
      <c r="P9" s="88" t="s">
        <v>72</v>
      </c>
      <c r="Q9" s="62" t="s">
        <v>41</v>
      </c>
      <c r="R9" s="19" t="s">
        <v>394</v>
      </c>
      <c r="S9" s="89"/>
      <c r="T9" s="89"/>
    </row>
    <row r="10" spans="1:20">
      <c r="A10" s="7">
        <v>1</v>
      </c>
      <c r="B10" s="91">
        <f>GECbladedata!C28</f>
        <v>0</v>
      </c>
      <c r="C10" s="105">
        <f>GECbladedata!D28</f>
        <v>1181.9474017501359</v>
      </c>
      <c r="D10" s="105">
        <f>GECbladedata!E28</f>
        <v>0</v>
      </c>
      <c r="E10" s="105">
        <f>GECbladedata!F28</f>
        <v>538.24909552528584</v>
      </c>
      <c r="F10" s="65">
        <f>GECbladedata!G28</f>
        <v>0</v>
      </c>
      <c r="G10" s="106">
        <f>GECbladedata!H28</f>
        <v>0.33741427482854974</v>
      </c>
      <c r="H10" s="65">
        <f>GECbladedata!I28</f>
        <v>0</v>
      </c>
      <c r="I10" s="106">
        <f>GECbladedata!J28</f>
        <v>0.33741427482854974</v>
      </c>
      <c r="J10" s="105">
        <f>GECbladedata!K28</f>
        <v>11.1</v>
      </c>
      <c r="K10" s="255">
        <f>GECbladedata!L28</f>
        <v>815590611.695804</v>
      </c>
      <c r="L10" s="255">
        <f>GECbladedata!M28</f>
        <v>10326627046.93685</v>
      </c>
      <c r="M10" s="255">
        <f>GECbladedata!N28</f>
        <v>2362406058.2721553</v>
      </c>
      <c r="N10" s="255">
        <f>GECbladedata!O28</f>
        <v>2362406058.2721553</v>
      </c>
      <c r="O10" s="106">
        <f>GECbladedata!P28</f>
        <v>1.349657099314199</v>
      </c>
      <c r="P10" s="106">
        <f>GECbladedata!Q28</f>
        <v>0</v>
      </c>
      <c r="Q10" s="67">
        <f>GECbladedata!R28</f>
        <v>1</v>
      </c>
      <c r="R10" s="334">
        <f>C10*(B11-B10)/2*B$2</f>
        <v>295.48685043753403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5">
        <f>GECbladedata!D29</f>
        <v>89.215305458599687</v>
      </c>
      <c r="D11" s="105">
        <f>GECbladedata!E29</f>
        <v>0</v>
      </c>
      <c r="E11" s="105">
        <f>GECbladedata!F29</f>
        <v>40.627914067071856</v>
      </c>
      <c r="F11" s="65">
        <f>GECbladedata!G29</f>
        <v>0</v>
      </c>
      <c r="G11" s="106">
        <f>GECbladedata!H29</f>
        <v>0.33741427482854963</v>
      </c>
      <c r="H11" s="65">
        <f>GECbladedata!I29</f>
        <v>0</v>
      </c>
      <c r="I11" s="106">
        <f>GECbladedata!J29</f>
        <v>0.33741427482854963</v>
      </c>
      <c r="J11" s="105">
        <f>GECbladedata!K29</f>
        <v>11.1</v>
      </c>
      <c r="K11" s="255">
        <f>GECbladedata!L29</f>
        <v>102340392.98761402</v>
      </c>
      <c r="L11" s="255">
        <f>GECbladedata!M29</f>
        <v>1295783621.589889</v>
      </c>
      <c r="M11" s="255">
        <f>GECbladedata!N29</f>
        <v>292871613.66241747</v>
      </c>
      <c r="N11" s="255">
        <f>GECbladedata!O29</f>
        <v>292871613.66241747</v>
      </c>
      <c r="O11" s="106">
        <f>GECbladedata!P29</f>
        <v>1.3496570993141985</v>
      </c>
      <c r="P11" s="106">
        <f>GECbladedata!Q29</f>
        <v>0</v>
      </c>
      <c r="Q11" s="67">
        <f>GECbladedata!R29</f>
        <v>1</v>
      </c>
      <c r="R11" s="334">
        <f>C11*(B12-B10)/2*B$2</f>
        <v>55.759565911624797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5">
        <f>GECbladedata!D30</f>
        <v>93.880830674399178</v>
      </c>
      <c r="D12" s="105">
        <f>GECbladedata!E30</f>
        <v>0</v>
      </c>
      <c r="E12" s="105">
        <f>GECbladedata!F30</f>
        <v>37.881526965075096</v>
      </c>
      <c r="F12" s="65">
        <f>GECbladedata!G30</f>
        <v>0</v>
      </c>
      <c r="G12" s="106">
        <f>GECbladedata!H30</f>
        <v>0.29594991734037218</v>
      </c>
      <c r="H12" s="65">
        <f>GECbladedata!I30</f>
        <v>0</v>
      </c>
      <c r="I12" s="106">
        <f>GECbladedata!J30</f>
        <v>0.27552300703927668</v>
      </c>
      <c r="J12" s="105">
        <f>GECbladedata!K30</f>
        <v>11.1</v>
      </c>
      <c r="K12" s="255">
        <f>GECbladedata!L30</f>
        <v>86293632.699756593</v>
      </c>
      <c r="L12" s="255">
        <f>GECbladedata!M30</f>
        <v>1335788009.2660363</v>
      </c>
      <c r="M12" s="255">
        <f>GECbladedata!N30</f>
        <v>276174377.7347765</v>
      </c>
      <c r="N12" s="255">
        <f>GECbladedata!O30</f>
        <v>255926413.53308159</v>
      </c>
      <c r="O12" s="106">
        <f>GECbladedata!P30</f>
        <v>1.4580475827618322</v>
      </c>
      <c r="P12" s="106">
        <f>GECbladedata!Q30</f>
        <v>-3.0000000000000006E-2</v>
      </c>
      <c r="Q12" s="67">
        <f>GECbladedata!R30</f>
        <v>1</v>
      </c>
      <c r="R12" s="334">
        <f t="shared" ref="R12:R29" si="0">C12*(B13-B11)/2*B$2</f>
        <v>93.880830674399164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5">
        <f>GECbladedata!D31</f>
        <v>101.65670603406498</v>
      </c>
      <c r="D13" s="105">
        <f>GECbladedata!E31</f>
        <v>0</v>
      </c>
      <c r="E13" s="105">
        <f>GECbladedata!F31</f>
        <v>33.30421512841383</v>
      </c>
      <c r="F13" s="65">
        <f>GECbladedata!G31</f>
        <v>0</v>
      </c>
      <c r="G13" s="106">
        <f>GECbladedata!H31</f>
        <v>0.22684265486007649</v>
      </c>
      <c r="H13" s="65">
        <f>GECbladedata!I31</f>
        <v>0</v>
      </c>
      <c r="I13" s="106">
        <f>GECbladedata!J31</f>
        <v>0.17237089405715517</v>
      </c>
      <c r="J13" s="105">
        <f>GECbladedata!K31</f>
        <v>11.1</v>
      </c>
      <c r="K13" s="255">
        <f>GECbladedata!L31</f>
        <v>59549032.219994225</v>
      </c>
      <c r="L13" s="255">
        <f>GECbladedata!M31</f>
        <v>1402461988.7262819</v>
      </c>
      <c r="M13" s="255">
        <f>GECbladedata!N31</f>
        <v>248345651.18870816</v>
      </c>
      <c r="N13" s="255">
        <f>GECbladedata!O31</f>
        <v>194351079.98418844</v>
      </c>
      <c r="O13" s="106">
        <f>GECbladedata!P31</f>
        <v>1.6386983885078881</v>
      </c>
      <c r="P13" s="106">
        <f>GECbladedata!Q31</f>
        <v>-8.0000000000000016E-2</v>
      </c>
      <c r="Q13" s="67">
        <f>GECbladedata!R31</f>
        <v>2</v>
      </c>
      <c r="R13" s="334">
        <f t="shared" si="0"/>
        <v>127.07088254258123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5">
        <f>GECbladedata!D32</f>
        <v>109.4325813937308</v>
      </c>
      <c r="D14" s="105">
        <f>GECbladedata!E32</f>
        <v>0</v>
      </c>
      <c r="E14" s="105">
        <f>GECbladedata!F32</f>
        <v>28.726903291752564</v>
      </c>
      <c r="F14" s="65">
        <f>GECbladedata!G32</f>
        <v>0</v>
      </c>
      <c r="G14" s="106">
        <f>GECbladedata!H32</f>
        <v>0.15773539237978068</v>
      </c>
      <c r="H14" s="65">
        <f>GECbladedata!I32</f>
        <v>0</v>
      </c>
      <c r="I14" s="106">
        <f>GECbladedata!J32</f>
        <v>6.9218781075033597E-2</v>
      </c>
      <c r="J14" s="105">
        <f>GECbladedata!K32</f>
        <v>11.1</v>
      </c>
      <c r="K14" s="255">
        <f>GECbladedata!L32</f>
        <v>32804431.740231842</v>
      </c>
      <c r="L14" s="255">
        <f>GECbladedata!M32</f>
        <v>1469135968.1865273</v>
      </c>
      <c r="M14" s="255">
        <f>GECbladedata!N32</f>
        <v>220516924.64263982</v>
      </c>
      <c r="N14" s="255">
        <f>GECbladedata!O32</f>
        <v>132775746.43529522</v>
      </c>
      <c r="O14" s="106">
        <f>GECbladedata!P32</f>
        <v>1.8193491942539441</v>
      </c>
      <c r="P14" s="106">
        <f>GECbladedata!Q32</f>
        <v>-0.13000000000000006</v>
      </c>
      <c r="Q14" s="67">
        <f>GECbladedata!R32</f>
        <v>2</v>
      </c>
      <c r="R14" s="334">
        <f t="shared" si="0"/>
        <v>136.79072674216349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5">
        <f>GECbladedata!D33</f>
        <v>117.20845675339662</v>
      </c>
      <c r="D15" s="105">
        <f>GECbladedata!E33</f>
        <v>0</v>
      </c>
      <c r="E15" s="105">
        <f>GECbladedata!F33</f>
        <v>24.149591455091301</v>
      </c>
      <c r="F15" s="65">
        <f>GECbladedata!G33</f>
        <v>0</v>
      </c>
      <c r="G15" s="106">
        <f>GECbladedata!H33</f>
        <v>8.8628129899484986E-2</v>
      </c>
      <c r="H15" s="65">
        <f>GECbladedata!I33</f>
        <v>0</v>
      </c>
      <c r="I15" s="106">
        <f>GECbladedata!J33</f>
        <v>-3.3933331907087916E-2</v>
      </c>
      <c r="J15" s="105">
        <f>GECbladedata!K33</f>
        <v>11.1</v>
      </c>
      <c r="K15" s="255">
        <f>GECbladedata!L33</f>
        <v>6059831.2604694702</v>
      </c>
      <c r="L15" s="255">
        <f>GECbladedata!M33</f>
        <v>1535809947.6467729</v>
      </c>
      <c r="M15" s="255">
        <f>GECbladedata!N33</f>
        <v>192688198.09657151</v>
      </c>
      <c r="N15" s="255">
        <f>GECbladedata!O33</f>
        <v>71200412.886402056</v>
      </c>
      <c r="O15" s="106">
        <f>GECbladedata!P33</f>
        <v>2</v>
      </c>
      <c r="P15" s="106">
        <f>GECbladedata!Q33</f>
        <v>-0.18000000000000005</v>
      </c>
      <c r="Q15" s="67">
        <f>GECbladedata!R33</f>
        <v>2</v>
      </c>
      <c r="R15" s="334">
        <f t="shared" si="0"/>
        <v>146.51057094174578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5">
        <f>GECbladedata!D34</f>
        <v>110.35787927472171</v>
      </c>
      <c r="D16" s="105">
        <f>GECbladedata!E34</f>
        <v>0</v>
      </c>
      <c r="E16" s="105">
        <f>GECbladedata!F34</f>
        <v>21.131145393121663</v>
      </c>
      <c r="F16" s="65">
        <f>GECbladedata!G34</f>
        <v>0</v>
      </c>
      <c r="G16" s="106">
        <f>GECbladedata!H34</f>
        <v>9.2266251937987417E-2</v>
      </c>
      <c r="H16" s="65">
        <f>GECbladedata!I34</f>
        <v>0</v>
      </c>
      <c r="I16" s="106">
        <f>GECbladedata!J34</f>
        <v>-2.3064223191645555E-2</v>
      </c>
      <c r="J16" s="105">
        <f>GECbladedata!K34</f>
        <v>9.5</v>
      </c>
      <c r="K16" s="255">
        <f>GECbladedata!L34</f>
        <v>5425015.4541809028</v>
      </c>
      <c r="L16" s="255">
        <f>GECbladedata!M34</f>
        <v>1447589040.0417631</v>
      </c>
      <c r="M16" s="255">
        <f>GECbladedata!N34</f>
        <v>169973932.22807014</v>
      </c>
      <c r="N16" s="255">
        <f>GECbladedata!O34</f>
        <v>61417696.521534123</v>
      </c>
      <c r="O16" s="106">
        <f>GECbladedata!P34</f>
        <v>1.9066802133604268</v>
      </c>
      <c r="P16" s="106">
        <f>GECbladedata!Q34</f>
        <v>-0.16240081280162566</v>
      </c>
      <c r="Q16" s="67">
        <f>GECbladedata!R34</f>
        <v>2</v>
      </c>
      <c r="R16" s="334">
        <f t="shared" si="0"/>
        <v>137.94734909340212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5">
        <f>GECbladedata!D35</f>
        <v>103.50730179604682</v>
      </c>
      <c r="D17" s="105">
        <f>GECbladedata!E35</f>
        <v>0</v>
      </c>
      <c r="E17" s="105">
        <f>GECbladedata!F35</f>
        <v>18.112699331152026</v>
      </c>
      <c r="F17" s="65">
        <f>GECbladedata!G35</f>
        <v>0</v>
      </c>
      <c r="G17" s="106">
        <f>GECbladedata!H35</f>
        <v>9.5904373976489848E-2</v>
      </c>
      <c r="H17" s="65">
        <f>GECbladedata!I35</f>
        <v>0</v>
      </c>
      <c r="I17" s="106">
        <f>GECbladedata!J35</f>
        <v>-1.2195114476203198E-2</v>
      </c>
      <c r="J17" s="105">
        <f>GECbladedata!K35</f>
        <v>7.9</v>
      </c>
      <c r="K17" s="255">
        <f>GECbladedata!L35</f>
        <v>4790199.6478923345</v>
      </c>
      <c r="L17" s="255">
        <f>GECbladedata!M35</f>
        <v>1359368132.4367533</v>
      </c>
      <c r="M17" s="255">
        <f>GECbladedata!N35</f>
        <v>147259666.3595688</v>
      </c>
      <c r="N17" s="255">
        <f>GECbladedata!O35</f>
        <v>51634980.156666189</v>
      </c>
      <c r="O17" s="106">
        <f>GECbladedata!P35</f>
        <v>1.8133604267208534</v>
      </c>
      <c r="P17" s="106">
        <f>GECbladedata!Q35</f>
        <v>-0.14480162560325124</v>
      </c>
      <c r="Q17" s="67">
        <f>GECbladedata!R35</f>
        <v>2</v>
      </c>
      <c r="R17" s="334">
        <f t="shared" si="0"/>
        <v>129.38412724505852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5">
        <f>GECbladedata!D36</f>
        <v>96.656724317371896</v>
      </c>
      <c r="D18" s="105">
        <f>GECbladedata!E36</f>
        <v>0</v>
      </c>
      <c r="E18" s="105">
        <f>GECbladedata!F36</f>
        <v>15.094253269182385</v>
      </c>
      <c r="F18" s="65">
        <f>GECbladedata!G36</f>
        <v>0</v>
      </c>
      <c r="G18" s="106">
        <f>GECbladedata!H36</f>
        <v>9.9542496014992279E-2</v>
      </c>
      <c r="H18" s="65">
        <f>GECbladedata!I36</f>
        <v>0</v>
      </c>
      <c r="I18" s="106">
        <f>GECbladedata!J36</f>
        <v>-1.3260057607608275E-3</v>
      </c>
      <c r="J18" s="105">
        <f>GECbladedata!K36</f>
        <v>6.2999999999999989</v>
      </c>
      <c r="K18" s="255">
        <f>GECbladedata!L36</f>
        <v>4155383.8416037662</v>
      </c>
      <c r="L18" s="255">
        <f>GECbladedata!M36</f>
        <v>1271147224.8317432</v>
      </c>
      <c r="M18" s="255">
        <f>GECbladedata!N36</f>
        <v>124545400.49106742</v>
      </c>
      <c r="N18" s="255">
        <f>GECbladedata!O36</f>
        <v>41852263.791798249</v>
      </c>
      <c r="O18" s="106">
        <f>GECbladedata!P36</f>
        <v>1.72004064008128</v>
      </c>
      <c r="P18" s="106">
        <f>GECbladedata!Q36</f>
        <v>-0.12720243840487683</v>
      </c>
      <c r="Q18" s="67">
        <f>GECbladedata!R36</f>
        <v>2</v>
      </c>
      <c r="R18" s="334">
        <f t="shared" si="0"/>
        <v>120.82090539671486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5">
        <f>GECbladedata!D37</f>
        <v>89.806146838697003</v>
      </c>
      <c r="D19" s="105">
        <f>GECbladedata!E37</f>
        <v>0</v>
      </c>
      <c r="E19" s="105">
        <f>GECbladedata!F37</f>
        <v>12.075807207212748</v>
      </c>
      <c r="F19" s="65">
        <f>GECbladedata!G37</f>
        <v>0</v>
      </c>
      <c r="G19" s="106">
        <f>GECbladedata!H37</f>
        <v>0.10318061805349471</v>
      </c>
      <c r="H19" s="65">
        <f>GECbladedata!I37</f>
        <v>0</v>
      </c>
      <c r="I19" s="106">
        <f>GECbladedata!J37</f>
        <v>9.543102954681526E-3</v>
      </c>
      <c r="J19" s="105">
        <f>GECbladedata!K37</f>
        <v>4.6999999999999993</v>
      </c>
      <c r="K19" s="255">
        <f>GECbladedata!L37</f>
        <v>3520568.0353151988</v>
      </c>
      <c r="L19" s="255">
        <f>GECbladedata!M37</f>
        <v>1182926317.2267334</v>
      </c>
      <c r="M19" s="255">
        <f>GECbladedata!N37</f>
        <v>101831134.62256606</v>
      </c>
      <c r="N19" s="255">
        <f>GECbladedata!O37</f>
        <v>32069547.426930316</v>
      </c>
      <c r="O19" s="106">
        <f>GECbladedata!P37</f>
        <v>1.6267208534417068</v>
      </c>
      <c r="P19" s="106">
        <f>GECbladedata!Q37</f>
        <v>-0.10960325120650241</v>
      </c>
      <c r="Q19" s="67">
        <f>GECbladedata!R37</f>
        <v>2</v>
      </c>
      <c r="R19" s="334">
        <f t="shared" si="0"/>
        <v>112.25768354837125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5">
        <f>GECbladedata!D38</f>
        <v>82.955569360022096</v>
      </c>
      <c r="D20" s="105">
        <f>GECbladedata!E38</f>
        <v>0</v>
      </c>
      <c r="E20" s="105">
        <f>GECbladedata!F38</f>
        <v>9.0573611452431102</v>
      </c>
      <c r="F20" s="65">
        <f>GECbladedata!G38</f>
        <v>0</v>
      </c>
      <c r="G20" s="106">
        <f>GECbladedata!H38</f>
        <v>0.10681874009199714</v>
      </c>
      <c r="H20" s="65">
        <f>GECbladedata!I38</f>
        <v>0</v>
      </c>
      <c r="I20" s="106">
        <f>GECbladedata!J38</f>
        <v>2.0412211670123883E-2</v>
      </c>
      <c r="J20" s="105">
        <f>GECbladedata!K38</f>
        <v>3.1</v>
      </c>
      <c r="K20" s="255">
        <f>GECbladedata!L38</f>
        <v>2885752.229026631</v>
      </c>
      <c r="L20" s="255">
        <f>GECbladedata!M38</f>
        <v>1094705409.6217237</v>
      </c>
      <c r="M20" s="255">
        <f>GECbladedata!N38</f>
        <v>79116868.754064709</v>
      </c>
      <c r="N20" s="255">
        <f>GECbladedata!O38</f>
        <v>22286831.062062379</v>
      </c>
      <c r="O20" s="106">
        <f>GECbladedata!P38</f>
        <v>1.5334010668021336</v>
      </c>
      <c r="P20" s="106">
        <f>GECbladedata!Q38</f>
        <v>-9.2004064008128009E-2</v>
      </c>
      <c r="Q20" s="67">
        <f>GECbladedata!R38</f>
        <v>2</v>
      </c>
      <c r="R20" s="334">
        <f t="shared" si="0"/>
        <v>103.69446170002762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5">
        <f>GECbladedata!D39</f>
        <v>74.190377902510207</v>
      </c>
      <c r="D21" s="105">
        <f>GECbladedata!E39</f>
        <v>0</v>
      </c>
      <c r="E21" s="105">
        <f>GECbladedata!F39</f>
        <v>7.6869726668704734</v>
      </c>
      <c r="F21" s="65">
        <f>GECbladedata!G39</f>
        <v>0</v>
      </c>
      <c r="G21" s="106">
        <f>GECbladedata!H39</f>
        <v>0.10948946529155948</v>
      </c>
      <c r="H21" s="65">
        <f>GECbladedata!I39</f>
        <v>0</v>
      </c>
      <c r="I21" s="106">
        <f>GECbladedata!J39</f>
        <v>2.6240327216389525E-2</v>
      </c>
      <c r="J21" s="105">
        <f>GECbladedata!K39</f>
        <v>2.5999999999999996</v>
      </c>
      <c r="K21" s="255">
        <f>GECbladedata!L39</f>
        <v>2423588.3923425623</v>
      </c>
      <c r="L21" s="255">
        <f>GECbladedata!M39</f>
        <v>975582982.3339535</v>
      </c>
      <c r="M21" s="255">
        <f>GECbladedata!N39</f>
        <v>67558106.97317256</v>
      </c>
      <c r="N21" s="255">
        <f>GECbladedata!O39</f>
        <v>18539309.239150856</v>
      </c>
      <c r="O21" s="106">
        <f>GECbladedata!P39</f>
        <v>1.4401320802641604</v>
      </c>
      <c r="P21" s="106">
        <f>GECbladedata!Q39</f>
        <v>-8.0005588011176007E-2</v>
      </c>
      <c r="Q21" s="67">
        <f>GECbladedata!R39</f>
        <v>3</v>
      </c>
      <c r="R21" s="334">
        <f t="shared" si="0"/>
        <v>92.737972378137712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5">
        <f>GECbladedata!D40</f>
        <v>65.425186444998332</v>
      </c>
      <c r="D22" s="105">
        <f>GECbladedata!E40</f>
        <v>0</v>
      </c>
      <c r="E22" s="105">
        <f>GECbladedata!F40</f>
        <v>6.3165841884978402</v>
      </c>
      <c r="F22" s="65">
        <f>GECbladedata!G40</f>
        <v>0</v>
      </c>
      <c r="G22" s="106">
        <f>GECbladedata!H40</f>
        <v>0.11216019049112182</v>
      </c>
      <c r="H22" s="65">
        <f>GECbladedata!I40</f>
        <v>0</v>
      </c>
      <c r="I22" s="106">
        <f>GECbladedata!J40</f>
        <v>3.206844276265515E-2</v>
      </c>
      <c r="J22" s="105">
        <f>GECbladedata!K40</f>
        <v>2.1000000000000005</v>
      </c>
      <c r="K22" s="255">
        <f>GECbladedata!L40</f>
        <v>1961424.5556584948</v>
      </c>
      <c r="L22" s="255">
        <f>GECbladedata!M40</f>
        <v>856460555.04618359</v>
      </c>
      <c r="M22" s="255">
        <f>GECbladedata!N40</f>
        <v>55999345.192280442</v>
      </c>
      <c r="N22" s="255">
        <f>GECbladedata!O40</f>
        <v>14791787.416239344</v>
      </c>
      <c r="O22" s="106">
        <f>GECbladedata!P40</f>
        <v>1.3468630937261874</v>
      </c>
      <c r="P22" s="106">
        <f>GECbladedata!Q40</f>
        <v>-6.8007112014224047E-2</v>
      </c>
      <c r="Q22" s="67">
        <f>GECbladedata!R40</f>
        <v>3</v>
      </c>
      <c r="R22" s="334">
        <f t="shared" si="0"/>
        <v>81.781483056247907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5">
        <f>GECbladedata!D41</f>
        <v>56.659994987486449</v>
      </c>
      <c r="D23" s="105">
        <f>GECbladedata!E41</f>
        <v>0</v>
      </c>
      <c r="E23" s="105">
        <f>GECbladedata!F41</f>
        <v>4.9461957101252034</v>
      </c>
      <c r="F23" s="65">
        <f>GECbladedata!G41</f>
        <v>0</v>
      </c>
      <c r="G23" s="106">
        <f>GECbladedata!H41</f>
        <v>0.11483091569068417</v>
      </c>
      <c r="H23" s="65">
        <f>GECbladedata!I41</f>
        <v>0</v>
      </c>
      <c r="I23" s="106">
        <f>GECbladedata!J41</f>
        <v>3.7896558308920796E-2</v>
      </c>
      <c r="J23" s="105">
        <f>GECbladedata!K41</f>
        <v>1.5999999999999999</v>
      </c>
      <c r="K23" s="255">
        <f>GECbladedata!L41</f>
        <v>1499260.7189744262</v>
      </c>
      <c r="L23" s="255">
        <f>GECbladedata!M41</f>
        <v>737338127.75841331</v>
      </c>
      <c r="M23" s="255">
        <f>GECbladedata!N41</f>
        <v>44440583.411388293</v>
      </c>
      <c r="N23" s="255">
        <f>GECbladedata!O41</f>
        <v>11044265.59332782</v>
      </c>
      <c r="O23" s="106">
        <f>GECbladedata!P41</f>
        <v>1.2535941071882144</v>
      </c>
      <c r="P23" s="106">
        <f>GECbladedata!Q41</f>
        <v>-5.6008636017272045E-2</v>
      </c>
      <c r="Q23" s="67">
        <f>GECbladedata!R41</f>
        <v>3</v>
      </c>
      <c r="R23" s="334">
        <f t="shared" si="0"/>
        <v>70.82499373435806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5">
        <f>GECbladedata!D42</f>
        <v>47.894803529974581</v>
      </c>
      <c r="D24" s="105">
        <f>GECbladedata!E42</f>
        <v>0</v>
      </c>
      <c r="E24" s="105">
        <f>GECbladedata!F42</f>
        <v>3.5758072317525702</v>
      </c>
      <c r="F24" s="65">
        <f>GECbladedata!G42</f>
        <v>0</v>
      </c>
      <c r="G24" s="106">
        <f>GECbladedata!H42</f>
        <v>0.11750164089024651</v>
      </c>
      <c r="H24" s="65">
        <f>GECbladedata!I42</f>
        <v>0</v>
      </c>
      <c r="I24" s="106">
        <f>GECbladedata!J42</f>
        <v>4.3724673855186427E-2</v>
      </c>
      <c r="J24" s="105">
        <f>GECbladedata!K42</f>
        <v>1.1000000000000005</v>
      </c>
      <c r="K24" s="255">
        <f>GECbladedata!L42</f>
        <v>1037096.8822903587</v>
      </c>
      <c r="L24" s="255">
        <f>GECbladedata!M42</f>
        <v>618215700.47064352</v>
      </c>
      <c r="M24" s="255">
        <f>GECbladedata!N42</f>
        <v>32881821.630496174</v>
      </c>
      <c r="N24" s="255">
        <f>GECbladedata!O42</f>
        <v>7296743.7704163063</v>
      </c>
      <c r="O24" s="106">
        <f>GECbladedata!P42</f>
        <v>1.1603251206502414</v>
      </c>
      <c r="P24" s="106">
        <f>GECbladedata!Q42</f>
        <v>-4.4010160020320072E-2</v>
      </c>
      <c r="Q24" s="67">
        <f>GECbladedata!R42</f>
        <v>3</v>
      </c>
      <c r="R24" s="334">
        <f t="shared" si="0"/>
        <v>59.868504412468219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5">
        <f>GECbladedata!D43</f>
        <v>39.129612072462692</v>
      </c>
      <c r="D25" s="105">
        <f>GECbladedata!E43</f>
        <v>0</v>
      </c>
      <c r="E25" s="105">
        <f>GECbladedata!F43</f>
        <v>2.2054187533799334</v>
      </c>
      <c r="F25" s="65">
        <f>GECbladedata!G43</f>
        <v>0</v>
      </c>
      <c r="G25" s="106">
        <f>GECbladedata!H43</f>
        <v>0.12017236608980884</v>
      </c>
      <c r="H25" s="65">
        <f>GECbladedata!I43</f>
        <v>0</v>
      </c>
      <c r="I25" s="106">
        <f>GECbladedata!J43</f>
        <v>4.9552789401452066E-2</v>
      </c>
      <c r="J25" s="105">
        <f>GECbladedata!K43</f>
        <v>0.6</v>
      </c>
      <c r="K25" s="255">
        <f>GECbladedata!L43</f>
        <v>574933.04560629011</v>
      </c>
      <c r="L25" s="255">
        <f>GECbladedata!M43</f>
        <v>499093273.18287331</v>
      </c>
      <c r="M25" s="255">
        <f>GECbladedata!N43</f>
        <v>21323059.849604025</v>
      </c>
      <c r="N25" s="255">
        <f>GECbladedata!O43</f>
        <v>3549221.9475047868</v>
      </c>
      <c r="O25" s="106">
        <f>GECbladedata!P43</f>
        <v>1.0670561341122682</v>
      </c>
      <c r="P25" s="106">
        <f>GECbladedata!Q43</f>
        <v>-3.2011684023368077E-2</v>
      </c>
      <c r="Q25" s="67">
        <f>GECbladedata!R43</f>
        <v>3</v>
      </c>
      <c r="R25" s="334">
        <f t="shared" si="0"/>
        <v>48.912015090578365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5">
        <f>GECbladedata!D44</f>
        <v>32.853968916831455</v>
      </c>
      <c r="D26" s="105">
        <f>GECbladedata!E44</f>
        <v>0</v>
      </c>
      <c r="E26" s="105">
        <f>GECbladedata!F44</f>
        <v>1.81571271869969</v>
      </c>
      <c r="F26" s="65">
        <f>GECbladedata!G44</f>
        <v>0</v>
      </c>
      <c r="G26" s="106">
        <f>GECbladedata!H44</f>
        <v>0.12752676764959664</v>
      </c>
      <c r="H26" s="65">
        <f>GECbladedata!I44</f>
        <v>0</v>
      </c>
      <c r="I26" s="106">
        <f>GECbladedata!J44</f>
        <v>5.3595718948136514E-2</v>
      </c>
      <c r="J26" s="105">
        <f>GECbladedata!K44</f>
        <v>0.47999999999999987</v>
      </c>
      <c r="K26" s="255">
        <f>GECbladedata!L44</f>
        <v>472175.70936429268</v>
      </c>
      <c r="L26" s="255">
        <f>GECbladedata!M44</f>
        <v>415421497.16283596</v>
      </c>
      <c r="M26" s="255">
        <f>GECbladedata!N44</f>
        <v>17598898.043764457</v>
      </c>
      <c r="N26" s="255">
        <f>GECbladedata!O44</f>
        <v>2855339.8778221109</v>
      </c>
      <c r="O26" s="106">
        <f>GECbladedata!P44</f>
        <v>0.98308356616713222</v>
      </c>
      <c r="P26" s="106">
        <f>GECbladedata!Q44</f>
        <v>-2.5609347218694456E-2</v>
      </c>
      <c r="Q26" s="67">
        <f>GECbladedata!R44</f>
        <v>3</v>
      </c>
      <c r="R26" s="334">
        <f t="shared" si="0"/>
        <v>41.067461146039278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5">
        <f>GECbladedata!D45</f>
        <v>26.57832576120024</v>
      </c>
      <c r="D27" s="105">
        <f>GECbladedata!E45</f>
        <v>0</v>
      </c>
      <c r="E27" s="105">
        <f>GECbladedata!F45</f>
        <v>1.4260066840194474</v>
      </c>
      <c r="F27" s="65">
        <f>GECbladedata!G45</f>
        <v>0</v>
      </c>
      <c r="G27" s="106">
        <f>GECbladedata!H45</f>
        <v>0.13488116920938442</v>
      </c>
      <c r="H27" s="65">
        <f>GECbladedata!I45</f>
        <v>0</v>
      </c>
      <c r="I27" s="106">
        <f>GECbladedata!J45</f>
        <v>5.7638648494820949E-2</v>
      </c>
      <c r="J27" s="105">
        <f>GECbladedata!K45</f>
        <v>0.36000000000000004</v>
      </c>
      <c r="K27" s="255">
        <f>GECbladedata!L45</f>
        <v>369418.37312229548</v>
      </c>
      <c r="L27" s="255">
        <f>GECbladedata!M45</f>
        <v>331749721.14279878</v>
      </c>
      <c r="M27" s="255">
        <f>GECbladedata!N45</f>
        <v>13874736.2379249</v>
      </c>
      <c r="N27" s="255">
        <f>GECbladedata!O45</f>
        <v>2161457.8081394369</v>
      </c>
      <c r="O27" s="106">
        <f>GECbladedata!P45</f>
        <v>0.89911099822199647</v>
      </c>
      <c r="P27" s="106">
        <f>GECbladedata!Q45</f>
        <v>-1.9207010414020849E-2</v>
      </c>
      <c r="Q27" s="67">
        <f>GECbladedata!R45</f>
        <v>3</v>
      </c>
      <c r="R27" s="334">
        <f t="shared" si="0"/>
        <v>33.222907201500298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5">
        <f>GECbladedata!D46</f>
        <v>20.302682605569004</v>
      </c>
      <c r="D28" s="105">
        <f>GECbladedata!E46</f>
        <v>0</v>
      </c>
      <c r="E28" s="105">
        <f>GECbladedata!F46</f>
        <v>1.036300649339204</v>
      </c>
      <c r="F28" s="65">
        <f>GECbladedata!G46</f>
        <v>0</v>
      </c>
      <c r="G28" s="106">
        <f>GECbladedata!H46</f>
        <v>0.1422355707691722</v>
      </c>
      <c r="H28" s="65">
        <f>GECbladedata!I46</f>
        <v>0</v>
      </c>
      <c r="I28" s="106">
        <f>GECbladedata!J46</f>
        <v>6.1681578041505397E-2</v>
      </c>
      <c r="J28" s="105">
        <f>GECbladedata!K46</f>
        <v>0.23999999999999994</v>
      </c>
      <c r="K28" s="255">
        <f>GECbladedata!L46</f>
        <v>266661.03688029811</v>
      </c>
      <c r="L28" s="255">
        <f>GECbladedata!M46</f>
        <v>248077945.1227614</v>
      </c>
      <c r="M28" s="255">
        <f>GECbladedata!N46</f>
        <v>10150574.432085332</v>
      </c>
      <c r="N28" s="255">
        <f>GECbladedata!O46</f>
        <v>1467575.738456761</v>
      </c>
      <c r="O28" s="106">
        <f>GECbladedata!P46</f>
        <v>0.8151384302768605</v>
      </c>
      <c r="P28" s="106">
        <f>GECbladedata!Q46</f>
        <v>-1.2804673609347228E-2</v>
      </c>
      <c r="Q28" s="67">
        <f>GECbladedata!R46</f>
        <v>4</v>
      </c>
      <c r="R28" s="334">
        <f t="shared" si="0"/>
        <v>25.378353256961251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5">
        <f>GECbladedata!D47</f>
        <v>14.027039449937785</v>
      </c>
      <c r="D29" s="105">
        <f>GECbladedata!E47</f>
        <v>0</v>
      </c>
      <c r="E29" s="105">
        <f>GECbladedata!F47</f>
        <v>0.6465946146589614</v>
      </c>
      <c r="F29" s="65">
        <f>GECbladedata!G47</f>
        <v>0</v>
      </c>
      <c r="G29" s="106">
        <f>GECbladedata!H47</f>
        <v>0.14958997232895999</v>
      </c>
      <c r="H29" s="65">
        <f>GECbladedata!I47</f>
        <v>0</v>
      </c>
      <c r="I29" s="106">
        <f>GECbladedata!J47</f>
        <v>6.5724507588189832E-2</v>
      </c>
      <c r="J29" s="105">
        <f>GECbladedata!K47</f>
        <v>0.12000000000000011</v>
      </c>
      <c r="K29" s="255">
        <f>GECbladedata!L47</f>
        <v>163903.70063830091</v>
      </c>
      <c r="L29" s="255">
        <f>GECbladedata!M47</f>
        <v>164406169.10272419</v>
      </c>
      <c r="M29" s="255">
        <f>GECbladedata!N47</f>
        <v>6426412.6262457725</v>
      </c>
      <c r="N29" s="255">
        <f>GECbladedata!O47</f>
        <v>773693.66877408698</v>
      </c>
      <c r="O29" s="106">
        <f>GECbladedata!P47</f>
        <v>0.73116586233172476</v>
      </c>
      <c r="P29" s="106">
        <f>GECbladedata!Q47</f>
        <v>-6.4023368046736209E-3</v>
      </c>
      <c r="Q29" s="67">
        <f>GECbladedata!R47</f>
        <v>4</v>
      </c>
      <c r="R29" s="334">
        <f t="shared" si="0"/>
        <v>17.533799312422229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4">
        <f>GECbladedata!D48</f>
        <v>7.751396294306554</v>
      </c>
      <c r="D30" s="105">
        <f>GECbladedata!E48</f>
        <v>0</v>
      </c>
      <c r="E30" s="105">
        <f>GECbladedata!F48</f>
        <v>0.25688857997871806</v>
      </c>
      <c r="F30" s="65">
        <f>GECbladedata!G48</f>
        <v>0</v>
      </c>
      <c r="G30" s="106">
        <f>GECbladedata!H48</f>
        <v>0.15694437388874777</v>
      </c>
      <c r="H30" s="65">
        <f>GECbladedata!I48</f>
        <v>0</v>
      </c>
      <c r="I30" s="106">
        <f>GECbladedata!J48</f>
        <v>6.976743713487428E-2</v>
      </c>
      <c r="J30" s="105">
        <f>GECbladedata!K48</f>
        <v>0</v>
      </c>
      <c r="K30" s="255">
        <f>GECbladedata!L48</f>
        <v>61146.36439630347</v>
      </c>
      <c r="L30" s="255">
        <f>GECbladedata!M48</f>
        <v>80734393.082686871</v>
      </c>
      <c r="M30" s="255">
        <f>GECbladedata!N48</f>
        <v>2702250.8204062055</v>
      </c>
      <c r="N30" s="255">
        <f>GECbladedata!O48</f>
        <v>79811.599091411103</v>
      </c>
      <c r="O30" s="256">
        <f>GECbladedata!P48</f>
        <v>0.64719329438658879</v>
      </c>
      <c r="P30" s="106">
        <f>GECbladedata!Q48</f>
        <v>0</v>
      </c>
      <c r="Q30" s="67">
        <f>GECbladedata!R48</f>
        <v>4</v>
      </c>
      <c r="R30" s="334">
        <f>C30*(B30-B29)/2*B$2</f>
        <v>4.8446226839416004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3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3">
        <f>SUM(R10:R31)</f>
        <v>1935.7760665062776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Normal="100" workbookViewId="0">
      <selection activeCell="Q47" sqref="Q47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347</v>
      </c>
    </row>
    <row r="3" spans="2:21" ht="13.5">
      <c r="B3" s="185"/>
      <c r="C3" s="189" t="s">
        <v>89</v>
      </c>
      <c r="D3" s="189" t="s">
        <v>323</v>
      </c>
      <c r="E3" s="189" t="s">
        <v>90</v>
      </c>
      <c r="F3" s="196" t="s">
        <v>324</v>
      </c>
      <c r="G3" s="189" t="s">
        <v>325</v>
      </c>
      <c r="H3" s="189" t="s">
        <v>326</v>
      </c>
      <c r="I3" s="189" t="s">
        <v>327</v>
      </c>
      <c r="J3" s="189" t="s">
        <v>343</v>
      </c>
      <c r="K3" s="189" t="s">
        <v>344</v>
      </c>
      <c r="L3" s="189" t="s">
        <v>114</v>
      </c>
      <c r="M3" s="189" t="s">
        <v>113</v>
      </c>
      <c r="N3" s="197" t="s">
        <v>345</v>
      </c>
    </row>
    <row r="4" spans="2:21" ht="13.5">
      <c r="B4" s="193" t="s">
        <v>88</v>
      </c>
      <c r="C4" s="177" t="s">
        <v>91</v>
      </c>
      <c r="D4" s="177" t="s">
        <v>328</v>
      </c>
      <c r="E4" s="177" t="s">
        <v>329</v>
      </c>
      <c r="F4" s="177" t="s">
        <v>330</v>
      </c>
      <c r="G4" s="177" t="s">
        <v>330</v>
      </c>
      <c r="H4" s="177" t="s">
        <v>330</v>
      </c>
      <c r="I4" s="177" t="s">
        <v>331</v>
      </c>
      <c r="J4" s="177" t="s">
        <v>346</v>
      </c>
      <c r="K4" s="177" t="s">
        <v>346</v>
      </c>
      <c r="L4" s="177" t="s">
        <v>332</v>
      </c>
      <c r="M4" s="177" t="s">
        <v>346</v>
      </c>
      <c r="N4" s="195" t="s">
        <v>357</v>
      </c>
    </row>
    <row r="5" spans="2:21">
      <c r="B5" s="201">
        <f>'Main Page'!A115</f>
        <v>0.05</v>
      </c>
      <c r="C5" s="202">
        <f>'Main Page'!B115</f>
        <v>1.349657099314199</v>
      </c>
      <c r="D5" s="203">
        <f>'Main Page'!C115</f>
        <v>1</v>
      </c>
      <c r="E5" s="203" t="str">
        <f>'Main Page'!D115</f>
        <v>NA</v>
      </c>
      <c r="F5" s="204">
        <f>'Main Page'!E115</f>
        <v>0.25</v>
      </c>
      <c r="G5" s="202">
        <f>'Main Page'!F115</f>
        <v>0.5</v>
      </c>
      <c r="H5" s="202">
        <f>'Main Page'!G115</f>
        <v>0.5</v>
      </c>
      <c r="I5" s="205">
        <f>'Main Page'!H115</f>
        <v>1181.9474017501359</v>
      </c>
      <c r="J5" s="206">
        <f>'Main Page'!I115</f>
        <v>2362406058.2721553</v>
      </c>
      <c r="K5" s="206">
        <f>'Main Page'!J115</f>
        <v>2362406058.2721553</v>
      </c>
      <c r="L5" s="206">
        <f>'Main Page'!K115</f>
        <v>10326627046.93685</v>
      </c>
      <c r="M5" s="206">
        <f>'Main Page'!L115</f>
        <v>815590611.695804</v>
      </c>
      <c r="N5" s="207">
        <f>'Main Page'!M115</f>
        <v>538.24909552528584</v>
      </c>
      <c r="P5" s="104"/>
    </row>
    <row r="6" spans="2:21">
      <c r="B6" s="208">
        <f>'Main Page'!A116</f>
        <v>7.0000000000000007E-2</v>
      </c>
      <c r="C6" s="209">
        <f>'Main Page'!B116</f>
        <v>1.3496570993141985</v>
      </c>
      <c r="D6" s="210">
        <f>'Main Page'!C116</f>
        <v>1</v>
      </c>
      <c r="E6" s="210" t="str">
        <f>'Main Page'!D116</f>
        <v>NA</v>
      </c>
      <c r="F6" s="204">
        <f>'Main Page'!E116</f>
        <v>0.25</v>
      </c>
      <c r="G6" s="209">
        <f>'Main Page'!F116</f>
        <v>0.5</v>
      </c>
      <c r="H6" s="209">
        <f>'Main Page'!G116</f>
        <v>0.5</v>
      </c>
      <c r="I6" s="211">
        <f>'Main Page'!H116</f>
        <v>89.215305458599687</v>
      </c>
      <c r="J6" s="212">
        <f>'Main Page'!I116</f>
        <v>292871613.66241747</v>
      </c>
      <c r="K6" s="212">
        <f>'Main Page'!J116</f>
        <v>292871613.66241747</v>
      </c>
      <c r="L6" s="212">
        <f>'Main Page'!K116</f>
        <v>1295783621.589889</v>
      </c>
      <c r="M6" s="212">
        <f>'Main Page'!L116</f>
        <v>102340392.98761402</v>
      </c>
      <c r="N6" s="213">
        <f>'Main Page'!M116</f>
        <v>40.627914067071856</v>
      </c>
      <c r="P6" s="104"/>
    </row>
    <row r="7" spans="2:21">
      <c r="B7" s="198">
        <f>'Main Page'!A117</f>
        <v>0.25</v>
      </c>
      <c r="C7" s="209">
        <f>'Main Page'!B117</f>
        <v>2</v>
      </c>
      <c r="D7" s="210">
        <f>'Main Page'!C117</f>
        <v>0.27</v>
      </c>
      <c r="E7" s="210">
        <f>'Main Page'!D117</f>
        <v>5.7408195699863462</v>
      </c>
      <c r="F7" s="204">
        <f>'Main Page'!E117</f>
        <v>0.34</v>
      </c>
      <c r="G7" s="209">
        <f>'Main Page'!F117</f>
        <v>0.38431406494974252</v>
      </c>
      <c r="H7" s="209">
        <f>'Main Page'!G117</f>
        <v>0.32303333404645607</v>
      </c>
      <c r="I7" s="211">
        <f>'Main Page'!H117</f>
        <v>117.20845675339662</v>
      </c>
      <c r="J7" s="212">
        <f>'Main Page'!I117</f>
        <v>71200412.886402056</v>
      </c>
      <c r="K7" s="212">
        <f>'Main Page'!J117</f>
        <v>192688198.09657151</v>
      </c>
      <c r="L7" s="199">
        <f>'Main Page'!K117</f>
        <v>1535809947.6467729</v>
      </c>
      <c r="M7" s="199">
        <f>'Main Page'!L117</f>
        <v>6059831.2604694702</v>
      </c>
      <c r="N7" s="214">
        <f>'Main Page'!M117</f>
        <v>24.149591455091301</v>
      </c>
      <c r="P7" s="104"/>
    </row>
    <row r="8" spans="2:21">
      <c r="B8" s="198">
        <f>'Main Page'!A118</f>
        <v>0.5</v>
      </c>
      <c r="C8" s="209">
        <f>'Main Page'!B118</f>
        <v>1.5334010668021336</v>
      </c>
      <c r="D8" s="215">
        <f>'Main Page'!C118</f>
        <v>0.24</v>
      </c>
      <c r="E8" s="210">
        <f>'Main Page'!D118</f>
        <v>7.8774986568807996</v>
      </c>
      <c r="F8" s="204">
        <f>'Main Page'!E118</f>
        <v>0.31</v>
      </c>
      <c r="G8" s="209">
        <f>'Main Page'!F118</f>
        <v>0.37966131849299201</v>
      </c>
      <c r="H8" s="209">
        <f>'Main Page'!G118</f>
        <v>0.32331172392666518</v>
      </c>
      <c r="I8" s="211">
        <f>'Main Page'!H118</f>
        <v>82.955569360022096</v>
      </c>
      <c r="J8" s="212">
        <f>'Main Page'!I118</f>
        <v>22286831.062062379</v>
      </c>
      <c r="K8" s="212">
        <f>'Main Page'!J118</f>
        <v>79116868.754064709</v>
      </c>
      <c r="L8" s="199">
        <f>'Main Page'!K118</f>
        <v>1094705409.6217237</v>
      </c>
      <c r="M8" s="199">
        <f>'Main Page'!L118</f>
        <v>2885752.229026631</v>
      </c>
      <c r="N8" s="214">
        <f>'Main Page'!M118</f>
        <v>9.0573611452431102</v>
      </c>
      <c r="P8" s="104"/>
    </row>
    <row r="9" spans="2:21">
      <c r="B9" s="198">
        <f>'Main Page'!A119</f>
        <v>0.75</v>
      </c>
      <c r="C9" s="209">
        <f>'Main Page'!B119</f>
        <v>1.0670561341122682</v>
      </c>
      <c r="D9" s="215">
        <f>'Main Page'!C119</f>
        <v>0.21</v>
      </c>
      <c r="E9" s="210">
        <f>'Main Page'!D119</f>
        <v>7.6422364536705301</v>
      </c>
      <c r="F9" s="204">
        <f>'Main Page'!E119</f>
        <v>0.28000000000000003</v>
      </c>
      <c r="G9" s="209">
        <f>'Main Page'!F119</f>
        <v>0.39262047257690491</v>
      </c>
      <c r="H9" s="209">
        <f>'Main Page'!G119</f>
        <v>0.32643878406891619</v>
      </c>
      <c r="I9" s="211">
        <f>'Main Page'!H119</f>
        <v>39.129612072462692</v>
      </c>
      <c r="J9" s="212">
        <f>'Main Page'!I119</f>
        <v>3549221.9475047868</v>
      </c>
      <c r="K9" s="212">
        <f>'Main Page'!J119</f>
        <v>21323059.849604025</v>
      </c>
      <c r="L9" s="199">
        <f>'Main Page'!K119</f>
        <v>499093273.18287331</v>
      </c>
      <c r="M9" s="199">
        <f>'Main Page'!L119</f>
        <v>574933.04560629011</v>
      </c>
      <c r="N9" s="214">
        <f>'Main Page'!M119</f>
        <v>2.2054187533799334</v>
      </c>
      <c r="P9" s="104"/>
    </row>
    <row r="10" spans="2:21">
      <c r="B10" s="216">
        <f>'Main Page'!A120</f>
        <v>1</v>
      </c>
      <c r="C10" s="217">
        <f>'Main Page'!B120</f>
        <v>0.64719329438658879</v>
      </c>
      <c r="D10" s="218">
        <f>'Main Page'!C120</f>
        <v>0.16</v>
      </c>
      <c r="E10" s="218">
        <f>'Main Page'!D120</f>
        <v>0</v>
      </c>
      <c r="F10" s="217">
        <f>'Main Page'!E120</f>
        <v>0.25</v>
      </c>
      <c r="G10" s="217">
        <f>'Main Page'!F120</f>
        <v>0.49249999999999999</v>
      </c>
      <c r="H10" s="217">
        <f>'Main Page'!G120</f>
        <v>0.35780000000000001</v>
      </c>
      <c r="I10" s="219">
        <f>'Main Page'!H120</f>
        <v>7.751396294306554</v>
      </c>
      <c r="J10" s="220">
        <f>'Main Page'!I120</f>
        <v>79811.599091411103</v>
      </c>
      <c r="K10" s="220">
        <f>'Main Page'!J120</f>
        <v>2702250.8204062055</v>
      </c>
      <c r="L10" s="221">
        <f>'Main Page'!K120</f>
        <v>80734393.082686871</v>
      </c>
      <c r="M10" s="221">
        <f>'Main Page'!L120</f>
        <v>61146.36439630347</v>
      </c>
      <c r="N10" s="222">
        <f>'Main Page'!M120</f>
        <v>0.25688857997871806</v>
      </c>
      <c r="P10" s="104"/>
    </row>
    <row r="11" spans="2:21">
      <c r="J11" s="102"/>
      <c r="L11" s="102"/>
      <c r="M11" s="103"/>
      <c r="N11" s="104"/>
      <c r="Q11" s="109"/>
      <c r="R11" s="109"/>
      <c r="S11" s="109"/>
      <c r="T11" s="109"/>
      <c r="U11" s="109"/>
    </row>
    <row r="12" spans="2:21">
      <c r="B12" s="185"/>
      <c r="C12" s="223" t="s">
        <v>353</v>
      </c>
      <c r="D12" s="228">
        <f>'Main Page'!B13/2</f>
        <v>25</v>
      </c>
      <c r="E12" s="190" t="s">
        <v>86</v>
      </c>
      <c r="J12" s="102"/>
      <c r="L12" s="102"/>
      <c r="M12" s="103"/>
      <c r="N12" s="104"/>
      <c r="Q12" s="109"/>
      <c r="R12" s="109"/>
      <c r="S12" s="109"/>
      <c r="T12" s="109"/>
      <c r="U12" s="109"/>
    </row>
    <row r="13" spans="2:21">
      <c r="B13" s="224"/>
      <c r="C13" s="225" t="s">
        <v>354</v>
      </c>
      <c r="D13" s="229">
        <f>'Main Page'!B47/2</f>
        <v>1.25</v>
      </c>
      <c r="E13" s="227" t="s">
        <v>86</v>
      </c>
      <c r="J13" s="102"/>
      <c r="L13" s="102"/>
      <c r="M13" s="103"/>
      <c r="N13" s="104"/>
      <c r="Q13" s="109"/>
      <c r="R13" s="109"/>
      <c r="S13" s="109"/>
      <c r="T13" s="109"/>
      <c r="U13" s="109"/>
    </row>
    <row r="14" spans="2:21">
      <c r="J14" s="102"/>
      <c r="L14" s="102"/>
      <c r="M14" s="103"/>
      <c r="N14" s="104"/>
      <c r="Q14" s="109"/>
      <c r="R14" s="109"/>
      <c r="S14" s="109"/>
      <c r="T14" s="109"/>
      <c r="U14" s="109"/>
    </row>
    <row r="15" spans="2:21">
      <c r="B15" t="s">
        <v>352</v>
      </c>
      <c r="J15" s="102"/>
      <c r="L15" s="102"/>
      <c r="M15" s="103"/>
      <c r="N15" s="104"/>
      <c r="Q15" s="109"/>
      <c r="R15" s="109"/>
      <c r="S15" s="109"/>
      <c r="T15" s="109"/>
      <c r="U15" s="109"/>
    </row>
    <row r="16" spans="2:21" ht="13.5">
      <c r="B16" s="230" t="s">
        <v>88</v>
      </c>
      <c r="C16" s="231" t="s">
        <v>139</v>
      </c>
      <c r="D16" s="231" t="s">
        <v>154</v>
      </c>
      <c r="E16" s="189" t="s">
        <v>358</v>
      </c>
      <c r="F16" s="189" t="s">
        <v>359</v>
      </c>
      <c r="G16" s="232" t="s">
        <v>360</v>
      </c>
      <c r="H16" s="232" t="s">
        <v>360</v>
      </c>
      <c r="I16" s="232" t="s">
        <v>363</v>
      </c>
      <c r="J16" s="232" t="s">
        <v>363</v>
      </c>
      <c r="K16" s="231" t="s">
        <v>364</v>
      </c>
      <c r="L16" s="189" t="s">
        <v>113</v>
      </c>
      <c r="M16" s="189" t="s">
        <v>114</v>
      </c>
      <c r="N16" s="189" t="s">
        <v>344</v>
      </c>
      <c r="O16" s="189" t="s">
        <v>343</v>
      </c>
      <c r="P16" s="189" t="s">
        <v>89</v>
      </c>
      <c r="Q16" s="257" t="s">
        <v>366</v>
      </c>
      <c r="R16" s="233" t="s">
        <v>370</v>
      </c>
      <c r="S16" s="109"/>
      <c r="T16" s="109"/>
      <c r="U16" s="109"/>
    </row>
    <row r="17" spans="2:21" ht="13.5">
      <c r="B17" s="193" t="s">
        <v>355</v>
      </c>
      <c r="C17" s="234" t="s">
        <v>356</v>
      </c>
      <c r="D17" s="234" t="s">
        <v>331</v>
      </c>
      <c r="E17" s="177" t="s">
        <v>357</v>
      </c>
      <c r="F17" s="177" t="s">
        <v>357</v>
      </c>
      <c r="G17" s="235" t="s">
        <v>361</v>
      </c>
      <c r="H17" s="235" t="s">
        <v>362</v>
      </c>
      <c r="I17" s="235" t="s">
        <v>361</v>
      </c>
      <c r="J17" s="235" t="s">
        <v>362</v>
      </c>
      <c r="K17" s="234" t="s">
        <v>365</v>
      </c>
      <c r="L17" s="177" t="s">
        <v>346</v>
      </c>
      <c r="M17" s="177" t="s">
        <v>332</v>
      </c>
      <c r="N17" s="177" t="s">
        <v>346</v>
      </c>
      <c r="O17" s="177" t="s">
        <v>346</v>
      </c>
      <c r="P17" s="177" t="s">
        <v>91</v>
      </c>
      <c r="Q17" s="259" t="s">
        <v>91</v>
      </c>
      <c r="R17" s="260" t="s">
        <v>371</v>
      </c>
      <c r="S17" s="109"/>
      <c r="T17" s="109"/>
      <c r="U17" s="109"/>
    </row>
    <row r="18" spans="2:21">
      <c r="B18" s="237">
        <f t="shared" ref="B18:B23" si="0">B5</f>
        <v>0.05</v>
      </c>
      <c r="C18" s="238">
        <f t="shared" ref="C18:C23" si="1">(1/(B$23-B$18))*B18-(B$18/(B$23-B$18))</f>
        <v>0</v>
      </c>
      <c r="D18" s="239">
        <f t="shared" ref="D18:D23" si="2">I5</f>
        <v>1181.9474017501359</v>
      </c>
      <c r="E18" s="239">
        <f>N5*'Main Page'!C$122/('Main Page'!C$122+1)</f>
        <v>0</v>
      </c>
      <c r="F18" s="239">
        <f t="shared" ref="F18:F23" si="3">N5-E18</f>
        <v>538.24909552528584</v>
      </c>
      <c r="G18" s="186">
        <v>0</v>
      </c>
      <c r="H18" s="228">
        <f t="shared" ref="H18:H23" si="4">C5*(G5-F5)</f>
        <v>0.33741427482854974</v>
      </c>
      <c r="I18" s="186">
        <v>0</v>
      </c>
      <c r="J18" s="240">
        <f t="shared" ref="J18:J23" si="5">C5*(H5-F5)</f>
        <v>0.33741427482854974</v>
      </c>
      <c r="K18" s="239">
        <f>'Main Page'!B127-'Main Page'!B$132</f>
        <v>11.1</v>
      </c>
      <c r="L18" s="241">
        <f t="shared" ref="L18:L23" si="6">M5</f>
        <v>815590611.695804</v>
      </c>
      <c r="M18" s="241">
        <f t="shared" ref="M18:M23" si="7">L5</f>
        <v>10326627046.93685</v>
      </c>
      <c r="N18" s="241">
        <f t="shared" ref="N18:N23" si="8">K5</f>
        <v>2362406058.2721553</v>
      </c>
      <c r="O18" s="241">
        <f t="shared" ref="O18:O23" si="9">J5</f>
        <v>2362406058.2721553</v>
      </c>
      <c r="P18" s="228">
        <f t="shared" ref="P18:P23" si="10">C5</f>
        <v>1.349657099314199</v>
      </c>
      <c r="Q18" s="228">
        <v>0</v>
      </c>
      <c r="R18" s="263">
        <f>'Main Page'!D127</f>
        <v>1</v>
      </c>
      <c r="S18" s="109"/>
      <c r="T18" s="109"/>
      <c r="U18" s="109"/>
    </row>
    <row r="19" spans="2:21">
      <c r="B19" s="242">
        <f t="shared" si="0"/>
        <v>7.0000000000000007E-2</v>
      </c>
      <c r="C19" s="243">
        <f t="shared" si="1"/>
        <v>2.1052631578947371E-2</v>
      </c>
      <c r="D19" s="244">
        <f t="shared" si="2"/>
        <v>89.215305458599687</v>
      </c>
      <c r="E19" s="244">
        <f>N6*'Main Page'!C$122/('Main Page'!C$122+1)</f>
        <v>0</v>
      </c>
      <c r="F19" s="244">
        <f t="shared" si="3"/>
        <v>40.627914067071856</v>
      </c>
      <c r="G19" s="8">
        <v>0</v>
      </c>
      <c r="H19" s="245">
        <f t="shared" si="4"/>
        <v>0.33741427482854963</v>
      </c>
      <c r="I19" s="8">
        <v>0</v>
      </c>
      <c r="J19" s="246">
        <f t="shared" si="5"/>
        <v>0.33741427482854963</v>
      </c>
      <c r="K19" s="244">
        <f>'Main Page'!B128-'Main Page'!B$132</f>
        <v>11.1</v>
      </c>
      <c r="L19" s="247">
        <f t="shared" si="6"/>
        <v>102340392.98761402</v>
      </c>
      <c r="M19" s="247">
        <f t="shared" si="7"/>
        <v>1295783621.589889</v>
      </c>
      <c r="N19" s="247">
        <f t="shared" si="8"/>
        <v>292871613.66241747</v>
      </c>
      <c r="O19" s="247">
        <f t="shared" si="9"/>
        <v>292871613.66241747</v>
      </c>
      <c r="P19" s="245">
        <f t="shared" si="10"/>
        <v>1.3496570993141985</v>
      </c>
      <c r="Q19" s="245">
        <v>0</v>
      </c>
      <c r="R19" s="261">
        <f>'Main Page'!D128</f>
        <v>1</v>
      </c>
      <c r="S19" s="109"/>
      <c r="T19" s="109"/>
      <c r="U19" s="109"/>
    </row>
    <row r="20" spans="2:21">
      <c r="B20" s="242">
        <f t="shared" si="0"/>
        <v>0.25</v>
      </c>
      <c r="C20" s="243">
        <f t="shared" si="1"/>
        <v>0.21052631578947367</v>
      </c>
      <c r="D20" s="244">
        <f t="shared" si="2"/>
        <v>117.20845675339662</v>
      </c>
      <c r="E20" s="244">
        <f>N7*'Main Page'!C$122/('Main Page'!C$122+1)</f>
        <v>0</v>
      </c>
      <c r="F20" s="244">
        <f t="shared" si="3"/>
        <v>24.149591455091301</v>
      </c>
      <c r="G20" s="8">
        <v>0</v>
      </c>
      <c r="H20" s="245">
        <f t="shared" si="4"/>
        <v>8.8628129899484986E-2</v>
      </c>
      <c r="I20" s="8">
        <v>0</v>
      </c>
      <c r="J20" s="246">
        <f t="shared" si="5"/>
        <v>-3.3933331907087916E-2</v>
      </c>
      <c r="K20" s="244">
        <f>'Main Page'!B129-'Main Page'!B$132</f>
        <v>11.1</v>
      </c>
      <c r="L20" s="247">
        <f t="shared" si="6"/>
        <v>6059831.2604694702</v>
      </c>
      <c r="M20" s="247">
        <f t="shared" si="7"/>
        <v>1535809947.6467729</v>
      </c>
      <c r="N20" s="247">
        <f t="shared" si="8"/>
        <v>192688198.09657151</v>
      </c>
      <c r="O20" s="247">
        <f t="shared" si="9"/>
        <v>71200412.886402056</v>
      </c>
      <c r="P20" s="245">
        <f t="shared" si="10"/>
        <v>2</v>
      </c>
      <c r="Q20" s="245">
        <f>C7*(0.25-F7)</f>
        <v>-0.18000000000000005</v>
      </c>
      <c r="R20" s="261">
        <f>'Main Page'!D129</f>
        <v>2</v>
      </c>
      <c r="S20" s="109"/>
      <c r="T20" s="109"/>
      <c r="U20" s="109"/>
    </row>
    <row r="21" spans="2:21">
      <c r="B21" s="242">
        <f t="shared" si="0"/>
        <v>0.5</v>
      </c>
      <c r="C21" s="243">
        <f t="shared" si="1"/>
        <v>0.47368421052631576</v>
      </c>
      <c r="D21" s="244">
        <f t="shared" si="2"/>
        <v>82.955569360022096</v>
      </c>
      <c r="E21" s="244">
        <f>N8*'Main Page'!C$122/('Main Page'!C$122+1)</f>
        <v>0</v>
      </c>
      <c r="F21" s="244">
        <f t="shared" si="3"/>
        <v>9.0573611452431102</v>
      </c>
      <c r="G21" s="8">
        <v>0</v>
      </c>
      <c r="H21" s="245">
        <f t="shared" si="4"/>
        <v>0.10681874009199714</v>
      </c>
      <c r="I21" s="8">
        <v>0</v>
      </c>
      <c r="J21" s="246">
        <f t="shared" si="5"/>
        <v>2.0412211670123883E-2</v>
      </c>
      <c r="K21" s="244">
        <f>'Main Page'!B130-'Main Page'!B$132</f>
        <v>3.1</v>
      </c>
      <c r="L21" s="247">
        <f t="shared" si="6"/>
        <v>2885752.229026631</v>
      </c>
      <c r="M21" s="247">
        <f t="shared" si="7"/>
        <v>1094705409.6217237</v>
      </c>
      <c r="N21" s="247">
        <f t="shared" si="8"/>
        <v>79116868.754064709</v>
      </c>
      <c r="O21" s="247">
        <f t="shared" si="9"/>
        <v>22286831.062062379</v>
      </c>
      <c r="P21" s="245">
        <f t="shared" si="10"/>
        <v>1.5334010668021336</v>
      </c>
      <c r="Q21" s="245">
        <f>C8*(0.25-F8)</f>
        <v>-9.2004064008128009E-2</v>
      </c>
      <c r="R21" s="261"/>
      <c r="S21" s="109"/>
      <c r="T21" s="109"/>
      <c r="U21" s="109"/>
    </row>
    <row r="22" spans="2:21">
      <c r="B22" s="242">
        <f t="shared" si="0"/>
        <v>0.75</v>
      </c>
      <c r="C22" s="243">
        <f t="shared" si="1"/>
        <v>0.73684210526315785</v>
      </c>
      <c r="D22" s="244">
        <f t="shared" si="2"/>
        <v>39.129612072462692</v>
      </c>
      <c r="E22" s="244">
        <f>N9*'Main Page'!C$122/('Main Page'!C$122+1)</f>
        <v>0</v>
      </c>
      <c r="F22" s="244">
        <f t="shared" si="3"/>
        <v>2.2054187533799334</v>
      </c>
      <c r="G22" s="8">
        <v>0</v>
      </c>
      <c r="H22" s="245">
        <f t="shared" si="4"/>
        <v>0.12017236608980884</v>
      </c>
      <c r="I22" s="8">
        <v>0</v>
      </c>
      <c r="J22" s="246">
        <f t="shared" si="5"/>
        <v>4.9552789401452066E-2</v>
      </c>
      <c r="K22" s="244">
        <f>'Main Page'!B131-'Main Page'!B$132</f>
        <v>0.6</v>
      </c>
      <c r="L22" s="247">
        <f t="shared" si="6"/>
        <v>574933.04560629011</v>
      </c>
      <c r="M22" s="247">
        <f t="shared" si="7"/>
        <v>499093273.18287331</v>
      </c>
      <c r="N22" s="247">
        <f t="shared" si="8"/>
        <v>21323059.849604025</v>
      </c>
      <c r="O22" s="247">
        <f t="shared" si="9"/>
        <v>3549221.9475047868</v>
      </c>
      <c r="P22" s="245">
        <f t="shared" si="10"/>
        <v>1.0670561341122682</v>
      </c>
      <c r="Q22" s="245">
        <f>C9*(0.25-F9)</f>
        <v>-3.2011684023368077E-2</v>
      </c>
      <c r="R22" s="261">
        <f>'Main Page'!D131</f>
        <v>3</v>
      </c>
      <c r="S22" s="109"/>
      <c r="T22" s="109"/>
      <c r="U22" s="109"/>
    </row>
    <row r="23" spans="2:21">
      <c r="B23" s="248">
        <f t="shared" si="0"/>
        <v>1</v>
      </c>
      <c r="C23" s="249">
        <f t="shared" si="1"/>
        <v>0.99999999999999989</v>
      </c>
      <c r="D23" s="250">
        <f t="shared" si="2"/>
        <v>7.751396294306554</v>
      </c>
      <c r="E23" s="250">
        <f>N10*'Main Page'!C$122/('Main Page'!C$122+1)</f>
        <v>0</v>
      </c>
      <c r="F23" s="250">
        <f t="shared" si="3"/>
        <v>0.25688857997871806</v>
      </c>
      <c r="G23" s="226">
        <v>0</v>
      </c>
      <c r="H23" s="229">
        <f t="shared" si="4"/>
        <v>0.15694437388874777</v>
      </c>
      <c r="I23" s="226">
        <v>0</v>
      </c>
      <c r="J23" s="251">
        <f t="shared" si="5"/>
        <v>6.976743713487428E-2</v>
      </c>
      <c r="K23" s="250">
        <f>'Main Page'!B132-'Main Page'!B$132</f>
        <v>0</v>
      </c>
      <c r="L23" s="252">
        <f t="shared" si="6"/>
        <v>61146.36439630347</v>
      </c>
      <c r="M23" s="252">
        <f t="shared" si="7"/>
        <v>80734393.082686871</v>
      </c>
      <c r="N23" s="252">
        <f t="shared" si="8"/>
        <v>2702250.8204062055</v>
      </c>
      <c r="O23" s="252">
        <f t="shared" si="9"/>
        <v>79811.599091411103</v>
      </c>
      <c r="P23" s="229">
        <f t="shared" si="10"/>
        <v>0.64719329438658879</v>
      </c>
      <c r="Q23" s="229">
        <f>C10*(0.25-F10)</f>
        <v>0</v>
      </c>
      <c r="R23" s="262">
        <f>'Main Page'!D132</f>
        <v>4</v>
      </c>
      <c r="S23" s="109"/>
      <c r="T23" s="109"/>
      <c r="U23" s="109"/>
    </row>
    <row r="25" spans="2:21">
      <c r="B25" t="s">
        <v>368</v>
      </c>
    </row>
    <row r="26" spans="2:21" ht="13.5">
      <c r="B26" s="230" t="s">
        <v>88</v>
      </c>
      <c r="C26" s="231" t="s">
        <v>139</v>
      </c>
      <c r="D26" s="231" t="s">
        <v>154</v>
      </c>
      <c r="E26" s="189" t="s">
        <v>358</v>
      </c>
      <c r="F26" s="189" t="s">
        <v>359</v>
      </c>
      <c r="G26" s="232" t="s">
        <v>360</v>
      </c>
      <c r="H26" s="232" t="s">
        <v>360</v>
      </c>
      <c r="I26" s="232" t="s">
        <v>363</v>
      </c>
      <c r="J26" s="232" t="s">
        <v>363</v>
      </c>
      <c r="K26" s="231" t="s">
        <v>364</v>
      </c>
      <c r="L26" s="189" t="s">
        <v>113</v>
      </c>
      <c r="M26" s="189" t="s">
        <v>114</v>
      </c>
      <c r="N26" s="189" t="s">
        <v>344</v>
      </c>
      <c r="O26" s="189" t="s">
        <v>343</v>
      </c>
      <c r="P26" s="189" t="s">
        <v>89</v>
      </c>
      <c r="Q26" s="257" t="s">
        <v>366</v>
      </c>
      <c r="R26" s="233" t="s">
        <v>370</v>
      </c>
      <c r="T26" t="s">
        <v>384</v>
      </c>
    </row>
    <row r="27" spans="2:21" ht="13.5">
      <c r="B27" s="193" t="s">
        <v>355</v>
      </c>
      <c r="C27" s="234" t="s">
        <v>356</v>
      </c>
      <c r="D27" s="234" t="s">
        <v>331</v>
      </c>
      <c r="E27" s="177" t="s">
        <v>357</v>
      </c>
      <c r="F27" s="177" t="s">
        <v>357</v>
      </c>
      <c r="G27" s="235" t="s">
        <v>361</v>
      </c>
      <c r="H27" s="235" t="s">
        <v>362</v>
      </c>
      <c r="I27" s="235" t="s">
        <v>361</v>
      </c>
      <c r="J27" s="235" t="s">
        <v>362</v>
      </c>
      <c r="K27" s="234" t="s">
        <v>365</v>
      </c>
      <c r="L27" s="177" t="s">
        <v>346</v>
      </c>
      <c r="M27" s="177" t="s">
        <v>332</v>
      </c>
      <c r="N27" s="177" t="s">
        <v>346</v>
      </c>
      <c r="O27" s="177" t="s">
        <v>346</v>
      </c>
      <c r="P27" s="177" t="s">
        <v>91</v>
      </c>
      <c r="Q27" s="258" t="s">
        <v>91</v>
      </c>
      <c r="R27" s="236" t="s">
        <v>371</v>
      </c>
    </row>
    <row r="28" spans="2:21">
      <c r="B28" s="237">
        <v>0.05</v>
      </c>
      <c r="C28" s="238">
        <f>(1/(B$23-B$18))*B28-(B$18/(B$23-B$18))</f>
        <v>0</v>
      </c>
      <c r="D28" s="239">
        <f>D18</f>
        <v>1181.9474017501359</v>
      </c>
      <c r="E28" s="239">
        <f t="shared" ref="E28:Q28" si="11">E18</f>
        <v>0</v>
      </c>
      <c r="F28" s="239">
        <f t="shared" si="11"/>
        <v>538.24909552528584</v>
      </c>
      <c r="G28" s="186">
        <f t="shared" si="11"/>
        <v>0</v>
      </c>
      <c r="H28" s="228">
        <f t="shared" si="11"/>
        <v>0.33741427482854974</v>
      </c>
      <c r="I28" s="186">
        <f t="shared" si="11"/>
        <v>0</v>
      </c>
      <c r="J28" s="240">
        <f t="shared" si="11"/>
        <v>0.33741427482854974</v>
      </c>
      <c r="K28" s="239">
        <f t="shared" si="11"/>
        <v>11.1</v>
      </c>
      <c r="L28" s="241">
        <f t="shared" si="11"/>
        <v>815590611.695804</v>
      </c>
      <c r="M28" s="241">
        <f t="shared" si="11"/>
        <v>10326627046.93685</v>
      </c>
      <c r="N28" s="241">
        <f t="shared" si="11"/>
        <v>2362406058.2721553</v>
      </c>
      <c r="O28" s="241">
        <f t="shared" si="11"/>
        <v>2362406058.2721553</v>
      </c>
      <c r="P28" s="228">
        <f t="shared" si="11"/>
        <v>1.349657099314199</v>
      </c>
      <c r="Q28" s="228">
        <f t="shared" si="11"/>
        <v>0</v>
      </c>
      <c r="R28" s="263">
        <f>$R$18</f>
        <v>1</v>
      </c>
      <c r="T28">
        <f>D28*(C29-C28)/2*(D$12-D$13)</f>
        <v>295.48685043753403</v>
      </c>
    </row>
    <row r="29" spans="2:21">
      <c r="B29" s="242">
        <f>B19</f>
        <v>7.0000000000000007E-2</v>
      </c>
      <c r="C29" s="243">
        <f>(1/(B$23-B$18))*B29-(B$18/(B$23-B$18))</f>
        <v>2.1052631578947371E-2</v>
      </c>
      <c r="D29" s="244">
        <f>D19</f>
        <v>89.215305458599687</v>
      </c>
      <c r="E29" s="244">
        <f t="shared" ref="E29:Q29" si="12">E19</f>
        <v>0</v>
      </c>
      <c r="F29" s="244">
        <f t="shared" si="12"/>
        <v>40.627914067071856</v>
      </c>
      <c r="G29" s="8">
        <f t="shared" si="12"/>
        <v>0</v>
      </c>
      <c r="H29" s="245">
        <f t="shared" si="12"/>
        <v>0.33741427482854963</v>
      </c>
      <c r="I29" s="8">
        <f t="shared" si="12"/>
        <v>0</v>
      </c>
      <c r="J29" s="246">
        <f t="shared" si="12"/>
        <v>0.33741427482854963</v>
      </c>
      <c r="K29" s="244">
        <f t="shared" si="12"/>
        <v>11.1</v>
      </c>
      <c r="L29" s="247">
        <f t="shared" si="12"/>
        <v>102340392.98761402</v>
      </c>
      <c r="M29" s="247">
        <f t="shared" si="12"/>
        <v>1295783621.589889</v>
      </c>
      <c r="N29" s="247">
        <f t="shared" si="12"/>
        <v>292871613.66241747</v>
      </c>
      <c r="O29" s="247">
        <f t="shared" si="12"/>
        <v>292871613.66241747</v>
      </c>
      <c r="P29" s="245">
        <f t="shared" si="12"/>
        <v>1.3496570993141985</v>
      </c>
      <c r="Q29" s="245">
        <f t="shared" si="12"/>
        <v>0</v>
      </c>
      <c r="R29" s="261">
        <f>$R$18</f>
        <v>1</v>
      </c>
      <c r="T29">
        <f>D29*(C30-C28)/2*(D$12-D$13)</f>
        <v>55.759565911624797</v>
      </c>
    </row>
    <row r="30" spans="2:21">
      <c r="B30" s="242">
        <v>0.1</v>
      </c>
      <c r="C30" s="243">
        <f>(1/(B$23-B$18))*B30-(B$18/(B$23-B$18))</f>
        <v>5.2631578947368411E-2</v>
      </c>
      <c r="D30" s="244">
        <f>D$29+($B30-$B$29)*(D$33-D$29)/($B$33-$B$29)</f>
        <v>93.880830674399178</v>
      </c>
      <c r="E30" s="244">
        <f>E$29+($B30-$B$29)*(E$33-E$29)/($B$33-$B$29)</f>
        <v>0</v>
      </c>
      <c r="F30" s="244">
        <f>F$29+($B30-$B$29)*(F$33-F$29)/($B$33-$B$29)</f>
        <v>37.881526965075096</v>
      </c>
      <c r="G30" s="253">
        <f>G$29+($B30-$B$29)*(G$33-G$29)/($B$33-$B$29)</f>
        <v>0</v>
      </c>
      <c r="H30" s="245">
        <f>H$29+($B30-$B$29)*(H$33-H$29)/($B$33-$B$29)</f>
        <v>0.29594991734037218</v>
      </c>
      <c r="I30" s="8">
        <f t="shared" ref="I30:Q32" si="13">I$29+($B30-$B$29)*(I$33-I$29)/($B$33-$B$29)</f>
        <v>0</v>
      </c>
      <c r="J30" s="246">
        <f t="shared" si="13"/>
        <v>0.27552300703927668</v>
      </c>
      <c r="K30" s="244">
        <f t="shared" si="13"/>
        <v>11.1</v>
      </c>
      <c r="L30" s="247">
        <f t="shared" si="13"/>
        <v>86293632.699756593</v>
      </c>
      <c r="M30" s="247">
        <f t="shared" si="13"/>
        <v>1335788009.2660363</v>
      </c>
      <c r="N30" s="247">
        <f t="shared" si="13"/>
        <v>276174377.7347765</v>
      </c>
      <c r="O30" s="247">
        <f t="shared" si="13"/>
        <v>255926413.53308159</v>
      </c>
      <c r="P30" s="245">
        <f t="shared" si="13"/>
        <v>1.4580475827618322</v>
      </c>
      <c r="Q30" s="245">
        <f t="shared" si="13"/>
        <v>-3.0000000000000006E-2</v>
      </c>
      <c r="R30" s="261">
        <f>$R$18</f>
        <v>1</v>
      </c>
      <c r="T30">
        <f t="shared" ref="T30:T47" si="14">D30*(C31-C29)/2*(D$12-D$13)</f>
        <v>93.880830674399164</v>
      </c>
    </row>
    <row r="31" spans="2:21">
      <c r="B31" s="242">
        <v>0.15</v>
      </c>
      <c r="C31" s="243">
        <f t="shared" ref="C31:C48" si="15">(1/(B$23-B$18))*B31-(B$18/(B$23-B$18))</f>
        <v>0.10526315789473684</v>
      </c>
      <c r="D31" s="244">
        <f t="shared" ref="D31:H32" si="16">D$29+($B31-$B$29)*(D$33-D$29)/($B$33-$B$29)</f>
        <v>101.65670603406498</v>
      </c>
      <c r="E31" s="244">
        <f t="shared" si="16"/>
        <v>0</v>
      </c>
      <c r="F31" s="244">
        <f t="shared" si="16"/>
        <v>33.30421512841383</v>
      </c>
      <c r="G31" s="253">
        <f t="shared" si="16"/>
        <v>0</v>
      </c>
      <c r="H31" s="245">
        <f t="shared" si="16"/>
        <v>0.22684265486007649</v>
      </c>
      <c r="I31" s="8">
        <f t="shared" si="13"/>
        <v>0</v>
      </c>
      <c r="J31" s="246">
        <f t="shared" si="13"/>
        <v>0.17237089405715517</v>
      </c>
      <c r="K31" s="244">
        <f t="shared" si="13"/>
        <v>11.1</v>
      </c>
      <c r="L31" s="247">
        <f t="shared" si="13"/>
        <v>59549032.219994225</v>
      </c>
      <c r="M31" s="247">
        <f t="shared" si="13"/>
        <v>1402461988.7262819</v>
      </c>
      <c r="N31" s="247">
        <f t="shared" si="13"/>
        <v>248345651.18870816</v>
      </c>
      <c r="O31" s="247">
        <f t="shared" si="13"/>
        <v>194351079.98418844</v>
      </c>
      <c r="P31" s="245">
        <f t="shared" si="13"/>
        <v>1.6386983885078881</v>
      </c>
      <c r="Q31" s="245">
        <f t="shared" si="13"/>
        <v>-8.0000000000000016E-2</v>
      </c>
      <c r="R31" s="261">
        <f t="shared" ref="R31:R38" si="17">$R$20</f>
        <v>2</v>
      </c>
      <c r="T31">
        <f t="shared" si="14"/>
        <v>127.07088254258123</v>
      </c>
    </row>
    <row r="32" spans="2:21">
      <c r="B32" s="242">
        <v>0.2</v>
      </c>
      <c r="C32" s="243">
        <f t="shared" si="15"/>
        <v>0.15789473684210525</v>
      </c>
      <c r="D32" s="244">
        <f t="shared" si="16"/>
        <v>109.4325813937308</v>
      </c>
      <c r="E32" s="244">
        <f t="shared" si="16"/>
        <v>0</v>
      </c>
      <c r="F32" s="244">
        <f t="shared" si="16"/>
        <v>28.726903291752564</v>
      </c>
      <c r="G32" s="253">
        <f t="shared" si="16"/>
        <v>0</v>
      </c>
      <c r="H32" s="245">
        <f t="shared" si="16"/>
        <v>0.15773539237978068</v>
      </c>
      <c r="I32" s="8">
        <f t="shared" si="13"/>
        <v>0</v>
      </c>
      <c r="J32" s="246">
        <f t="shared" si="13"/>
        <v>6.9218781075033597E-2</v>
      </c>
      <c r="K32" s="244">
        <f t="shared" si="13"/>
        <v>11.1</v>
      </c>
      <c r="L32" s="247">
        <f t="shared" si="13"/>
        <v>32804431.740231842</v>
      </c>
      <c r="M32" s="247">
        <f t="shared" si="13"/>
        <v>1469135968.1865273</v>
      </c>
      <c r="N32" s="247">
        <f t="shared" si="13"/>
        <v>220516924.64263982</v>
      </c>
      <c r="O32" s="247">
        <f t="shared" si="13"/>
        <v>132775746.43529522</v>
      </c>
      <c r="P32" s="245">
        <f t="shared" si="13"/>
        <v>1.8193491942539441</v>
      </c>
      <c r="Q32" s="245">
        <f t="shared" si="13"/>
        <v>-0.13000000000000006</v>
      </c>
      <c r="R32" s="261">
        <f t="shared" si="17"/>
        <v>2</v>
      </c>
      <c r="T32">
        <f t="shared" si="14"/>
        <v>136.79072674216349</v>
      </c>
    </row>
    <row r="33" spans="2:20">
      <c r="B33" s="242">
        <v>0.25</v>
      </c>
      <c r="C33" s="243">
        <f t="shared" si="15"/>
        <v>0.21052631578947367</v>
      </c>
      <c r="D33" s="244">
        <f>D20</f>
        <v>117.20845675339662</v>
      </c>
      <c r="E33" s="244">
        <f t="shared" ref="E33:Q33" si="18">E20</f>
        <v>0</v>
      </c>
      <c r="F33" s="244">
        <f t="shared" si="18"/>
        <v>24.149591455091301</v>
      </c>
      <c r="G33" s="8">
        <f t="shared" si="18"/>
        <v>0</v>
      </c>
      <c r="H33" s="245">
        <f t="shared" si="18"/>
        <v>8.8628129899484986E-2</v>
      </c>
      <c r="I33" s="8">
        <f t="shared" si="18"/>
        <v>0</v>
      </c>
      <c r="J33" s="246">
        <f t="shared" si="18"/>
        <v>-3.3933331907087916E-2</v>
      </c>
      <c r="K33" s="244">
        <f t="shared" si="18"/>
        <v>11.1</v>
      </c>
      <c r="L33" s="247">
        <f t="shared" si="18"/>
        <v>6059831.2604694702</v>
      </c>
      <c r="M33" s="247">
        <f t="shared" si="18"/>
        <v>1535809947.6467729</v>
      </c>
      <c r="N33" s="247">
        <f t="shared" si="18"/>
        <v>192688198.09657151</v>
      </c>
      <c r="O33" s="247">
        <f t="shared" si="18"/>
        <v>71200412.886402056</v>
      </c>
      <c r="P33" s="245">
        <f t="shared" si="18"/>
        <v>2</v>
      </c>
      <c r="Q33" s="245">
        <f t="shared" si="18"/>
        <v>-0.18000000000000005</v>
      </c>
      <c r="R33" s="261">
        <f t="shared" si="17"/>
        <v>2</v>
      </c>
      <c r="T33">
        <f t="shared" si="14"/>
        <v>146.51057094174578</v>
      </c>
    </row>
    <row r="34" spans="2:20">
      <c r="B34" s="242">
        <v>0.3</v>
      </c>
      <c r="C34" s="243">
        <f t="shared" si="15"/>
        <v>0.26315789473684209</v>
      </c>
      <c r="D34" s="244">
        <f>D$33+($B34-$B$33)*(D$38-D$33)/($B$38-$B$33)</f>
        <v>110.35787927472171</v>
      </c>
      <c r="E34" s="244">
        <f t="shared" ref="E34:Q37" si="19">E$33+($B34-$B$33)*(E$38-E$33)/($B$38-$B$33)</f>
        <v>0</v>
      </c>
      <c r="F34" s="244">
        <f t="shared" si="19"/>
        <v>21.131145393121663</v>
      </c>
      <c r="G34" s="8">
        <f t="shared" si="19"/>
        <v>0</v>
      </c>
      <c r="H34" s="245">
        <f t="shared" si="19"/>
        <v>9.2266251937987417E-2</v>
      </c>
      <c r="I34" s="8">
        <f t="shared" si="19"/>
        <v>0</v>
      </c>
      <c r="J34" s="246">
        <f t="shared" si="19"/>
        <v>-2.3064223191645555E-2</v>
      </c>
      <c r="K34" s="244">
        <f t="shared" si="19"/>
        <v>9.5</v>
      </c>
      <c r="L34" s="247">
        <f t="shared" si="19"/>
        <v>5425015.4541809028</v>
      </c>
      <c r="M34" s="247">
        <f t="shared" si="19"/>
        <v>1447589040.0417631</v>
      </c>
      <c r="N34" s="247">
        <f t="shared" si="19"/>
        <v>169973932.22807014</v>
      </c>
      <c r="O34" s="247">
        <f t="shared" si="19"/>
        <v>61417696.521534123</v>
      </c>
      <c r="P34" s="245">
        <f t="shared" si="19"/>
        <v>1.9066802133604268</v>
      </c>
      <c r="Q34" s="245">
        <f t="shared" si="19"/>
        <v>-0.16240081280162566</v>
      </c>
      <c r="R34" s="261">
        <f t="shared" si="17"/>
        <v>2</v>
      </c>
      <c r="T34">
        <f t="shared" si="14"/>
        <v>137.94734909340212</v>
      </c>
    </row>
    <row r="35" spans="2:20">
      <c r="B35" s="242">
        <v>0.35</v>
      </c>
      <c r="C35" s="243">
        <f t="shared" si="15"/>
        <v>0.31578947368421051</v>
      </c>
      <c r="D35" s="244">
        <f>D$33+($B35-$B$33)*(D$38-D$33)/($B$38-$B$33)</f>
        <v>103.50730179604682</v>
      </c>
      <c r="E35" s="244">
        <f t="shared" si="19"/>
        <v>0</v>
      </c>
      <c r="F35" s="244">
        <f t="shared" si="19"/>
        <v>18.112699331152026</v>
      </c>
      <c r="G35" s="8">
        <f t="shared" si="19"/>
        <v>0</v>
      </c>
      <c r="H35" s="245">
        <f t="shared" si="19"/>
        <v>9.5904373976489848E-2</v>
      </c>
      <c r="I35" s="8">
        <f t="shared" si="19"/>
        <v>0</v>
      </c>
      <c r="J35" s="246">
        <f t="shared" si="19"/>
        <v>-1.2195114476203198E-2</v>
      </c>
      <c r="K35" s="244">
        <f t="shared" si="19"/>
        <v>7.9</v>
      </c>
      <c r="L35" s="247">
        <f t="shared" si="19"/>
        <v>4790199.6478923345</v>
      </c>
      <c r="M35" s="247">
        <f t="shared" si="19"/>
        <v>1359368132.4367533</v>
      </c>
      <c r="N35" s="247">
        <f t="shared" si="19"/>
        <v>147259666.3595688</v>
      </c>
      <c r="O35" s="247">
        <f t="shared" si="19"/>
        <v>51634980.156666189</v>
      </c>
      <c r="P35" s="245">
        <f t="shared" si="19"/>
        <v>1.8133604267208534</v>
      </c>
      <c r="Q35" s="245">
        <f t="shared" si="19"/>
        <v>-0.14480162560325124</v>
      </c>
      <c r="R35" s="261">
        <f t="shared" si="17"/>
        <v>2</v>
      </c>
      <c r="T35">
        <f t="shared" si="14"/>
        <v>129.38412724505852</v>
      </c>
    </row>
    <row r="36" spans="2:20">
      <c r="B36" s="242">
        <v>0.4</v>
      </c>
      <c r="C36" s="243">
        <f t="shared" si="15"/>
        <v>0.36842105263157893</v>
      </c>
      <c r="D36" s="244">
        <f>D$33+($B36-$B$33)*(D$38-D$33)/($B$38-$B$33)</f>
        <v>96.656724317371896</v>
      </c>
      <c r="E36" s="244">
        <f t="shared" si="19"/>
        <v>0</v>
      </c>
      <c r="F36" s="244">
        <f t="shared" si="19"/>
        <v>15.094253269182385</v>
      </c>
      <c r="G36" s="8">
        <f t="shared" si="19"/>
        <v>0</v>
      </c>
      <c r="H36" s="245">
        <f t="shared" si="19"/>
        <v>9.9542496014992279E-2</v>
      </c>
      <c r="I36" s="8">
        <f t="shared" si="19"/>
        <v>0</v>
      </c>
      <c r="J36" s="246">
        <f t="shared" si="19"/>
        <v>-1.3260057607608275E-3</v>
      </c>
      <c r="K36" s="244">
        <f t="shared" si="19"/>
        <v>6.2999999999999989</v>
      </c>
      <c r="L36" s="247">
        <f t="shared" si="19"/>
        <v>4155383.8416037662</v>
      </c>
      <c r="M36" s="247">
        <f t="shared" si="19"/>
        <v>1271147224.8317432</v>
      </c>
      <c r="N36" s="247">
        <f t="shared" si="19"/>
        <v>124545400.49106742</v>
      </c>
      <c r="O36" s="247">
        <f t="shared" si="19"/>
        <v>41852263.791798249</v>
      </c>
      <c r="P36" s="245">
        <f t="shared" si="19"/>
        <v>1.72004064008128</v>
      </c>
      <c r="Q36" s="245">
        <f t="shared" si="19"/>
        <v>-0.12720243840487683</v>
      </c>
      <c r="R36" s="261">
        <f t="shared" si="17"/>
        <v>2</v>
      </c>
      <c r="T36">
        <f t="shared" si="14"/>
        <v>120.82090539671486</v>
      </c>
    </row>
    <row r="37" spans="2:20">
      <c r="B37" s="242">
        <v>0.45</v>
      </c>
      <c r="C37" s="243">
        <f t="shared" si="15"/>
        <v>0.42105263157894735</v>
      </c>
      <c r="D37" s="244">
        <f>D$33+($B37-$B$33)*(D$38-D$33)/($B$38-$B$33)</f>
        <v>89.806146838697003</v>
      </c>
      <c r="E37" s="244">
        <f t="shared" si="19"/>
        <v>0</v>
      </c>
      <c r="F37" s="244">
        <f t="shared" si="19"/>
        <v>12.075807207212748</v>
      </c>
      <c r="G37" s="8">
        <f t="shared" si="19"/>
        <v>0</v>
      </c>
      <c r="H37" s="245">
        <f t="shared" si="19"/>
        <v>0.10318061805349471</v>
      </c>
      <c r="I37" s="8">
        <f t="shared" si="19"/>
        <v>0</v>
      </c>
      <c r="J37" s="246">
        <f t="shared" si="19"/>
        <v>9.543102954681526E-3</v>
      </c>
      <c r="K37" s="244">
        <f t="shared" si="19"/>
        <v>4.6999999999999993</v>
      </c>
      <c r="L37" s="247">
        <f t="shared" si="19"/>
        <v>3520568.0353151988</v>
      </c>
      <c r="M37" s="247">
        <f t="shared" si="19"/>
        <v>1182926317.2267334</v>
      </c>
      <c r="N37" s="247">
        <f t="shared" si="19"/>
        <v>101831134.62256606</v>
      </c>
      <c r="O37" s="247">
        <f t="shared" si="19"/>
        <v>32069547.426930316</v>
      </c>
      <c r="P37" s="245">
        <f t="shared" si="19"/>
        <v>1.6267208534417068</v>
      </c>
      <c r="Q37" s="245">
        <f t="shared" si="19"/>
        <v>-0.10960325120650241</v>
      </c>
      <c r="R37" s="261">
        <f t="shared" si="17"/>
        <v>2</v>
      </c>
      <c r="T37">
        <f t="shared" si="14"/>
        <v>112.25768354837125</v>
      </c>
    </row>
    <row r="38" spans="2:20">
      <c r="B38" s="242">
        <v>0.5</v>
      </c>
      <c r="C38" s="243">
        <f t="shared" si="15"/>
        <v>0.47368421052631576</v>
      </c>
      <c r="D38" s="244">
        <f>D21</f>
        <v>82.955569360022096</v>
      </c>
      <c r="E38" s="244">
        <f t="shared" ref="E38:Q38" si="20">E21</f>
        <v>0</v>
      </c>
      <c r="F38" s="244">
        <f t="shared" si="20"/>
        <v>9.0573611452431102</v>
      </c>
      <c r="G38" s="8">
        <f t="shared" si="20"/>
        <v>0</v>
      </c>
      <c r="H38" s="245">
        <f t="shared" si="20"/>
        <v>0.10681874009199714</v>
      </c>
      <c r="I38" s="8">
        <f t="shared" si="20"/>
        <v>0</v>
      </c>
      <c r="J38" s="246">
        <f t="shared" si="20"/>
        <v>2.0412211670123883E-2</v>
      </c>
      <c r="K38" s="244">
        <f t="shared" si="20"/>
        <v>3.1</v>
      </c>
      <c r="L38" s="247">
        <f t="shared" si="20"/>
        <v>2885752.229026631</v>
      </c>
      <c r="M38" s="247">
        <f t="shared" si="20"/>
        <v>1094705409.6217237</v>
      </c>
      <c r="N38" s="247">
        <f t="shared" si="20"/>
        <v>79116868.754064709</v>
      </c>
      <c r="O38" s="247">
        <f t="shared" si="20"/>
        <v>22286831.062062379</v>
      </c>
      <c r="P38" s="245">
        <f t="shared" si="20"/>
        <v>1.5334010668021336</v>
      </c>
      <c r="Q38" s="245">
        <f t="shared" si="20"/>
        <v>-9.2004064008128009E-2</v>
      </c>
      <c r="R38" s="261">
        <f t="shared" si="17"/>
        <v>2</v>
      </c>
      <c r="T38">
        <f t="shared" si="14"/>
        <v>103.69446170002762</v>
      </c>
    </row>
    <row r="39" spans="2:20">
      <c r="B39" s="242">
        <v>0.55000000000000004</v>
      </c>
      <c r="C39" s="243">
        <f t="shared" si="15"/>
        <v>0.52631578947368418</v>
      </c>
      <c r="D39" s="244">
        <f>D$38+($B39-$B$38)*(D$43-D$38)/($B$43-$B$38)</f>
        <v>74.190377902510207</v>
      </c>
      <c r="E39" s="244">
        <f t="shared" ref="E39:Q42" si="21">E$38+($B39-$B$38)*(E$43-E$38)/($B$43-$B$38)</f>
        <v>0</v>
      </c>
      <c r="F39" s="244">
        <f t="shared" si="21"/>
        <v>7.6869726668704734</v>
      </c>
      <c r="G39" s="8">
        <f t="shared" si="21"/>
        <v>0</v>
      </c>
      <c r="H39" s="245">
        <f t="shared" si="21"/>
        <v>0.10948946529155948</v>
      </c>
      <c r="I39" s="8">
        <f t="shared" si="21"/>
        <v>0</v>
      </c>
      <c r="J39" s="246">
        <f t="shared" si="21"/>
        <v>2.6240327216389525E-2</v>
      </c>
      <c r="K39" s="244">
        <f t="shared" si="21"/>
        <v>2.5999999999999996</v>
      </c>
      <c r="L39" s="247">
        <f t="shared" si="21"/>
        <v>2423588.3923425623</v>
      </c>
      <c r="M39" s="247">
        <f t="shared" si="21"/>
        <v>975582982.3339535</v>
      </c>
      <c r="N39" s="247">
        <f t="shared" si="21"/>
        <v>67558106.97317256</v>
      </c>
      <c r="O39" s="247">
        <f t="shared" si="21"/>
        <v>18539309.239150856</v>
      </c>
      <c r="P39" s="245">
        <f t="shared" si="21"/>
        <v>1.4401320802641604</v>
      </c>
      <c r="Q39" s="245">
        <f t="shared" si="21"/>
        <v>-8.0005588011176007E-2</v>
      </c>
      <c r="R39" s="261">
        <f t="shared" ref="R39:R45" si="22">$R$22</f>
        <v>3</v>
      </c>
      <c r="T39">
        <f t="shared" si="14"/>
        <v>92.737972378137712</v>
      </c>
    </row>
    <row r="40" spans="2:20">
      <c r="B40" s="242">
        <v>0.6</v>
      </c>
      <c r="C40" s="243">
        <f t="shared" si="15"/>
        <v>0.57894736842105254</v>
      </c>
      <c r="D40" s="244">
        <f>D$38+($B40-$B$38)*(D$43-D$38)/($B$43-$B$38)</f>
        <v>65.425186444998332</v>
      </c>
      <c r="E40" s="244">
        <f t="shared" si="21"/>
        <v>0</v>
      </c>
      <c r="F40" s="244">
        <f t="shared" si="21"/>
        <v>6.3165841884978402</v>
      </c>
      <c r="G40" s="8">
        <f t="shared" si="21"/>
        <v>0</v>
      </c>
      <c r="H40" s="245">
        <f t="shared" si="21"/>
        <v>0.11216019049112182</v>
      </c>
      <c r="I40" s="8">
        <f t="shared" si="21"/>
        <v>0</v>
      </c>
      <c r="J40" s="246">
        <f t="shared" si="21"/>
        <v>3.206844276265515E-2</v>
      </c>
      <c r="K40" s="244">
        <f t="shared" si="21"/>
        <v>2.1000000000000005</v>
      </c>
      <c r="L40" s="247">
        <f t="shared" si="21"/>
        <v>1961424.5556584948</v>
      </c>
      <c r="M40" s="247">
        <f t="shared" si="21"/>
        <v>856460555.04618359</v>
      </c>
      <c r="N40" s="247">
        <f t="shared" si="21"/>
        <v>55999345.192280442</v>
      </c>
      <c r="O40" s="247">
        <f t="shared" si="21"/>
        <v>14791787.416239344</v>
      </c>
      <c r="P40" s="245">
        <f t="shared" si="21"/>
        <v>1.3468630937261874</v>
      </c>
      <c r="Q40" s="245">
        <f t="shared" si="21"/>
        <v>-6.8007112014224047E-2</v>
      </c>
      <c r="R40" s="261">
        <f t="shared" si="22"/>
        <v>3</v>
      </c>
      <c r="T40">
        <f t="shared" si="14"/>
        <v>81.781483056247907</v>
      </c>
    </row>
    <row r="41" spans="2:20">
      <c r="B41" s="242">
        <v>0.65</v>
      </c>
      <c r="C41" s="243">
        <f t="shared" si="15"/>
        <v>0.63157894736842102</v>
      </c>
      <c r="D41" s="244">
        <f>D$38+($B41-$B$38)*(D$43-D$38)/($B$43-$B$38)</f>
        <v>56.659994987486449</v>
      </c>
      <c r="E41" s="244">
        <f t="shared" si="21"/>
        <v>0</v>
      </c>
      <c r="F41" s="244">
        <f t="shared" si="21"/>
        <v>4.9461957101252034</v>
      </c>
      <c r="G41" s="8">
        <f t="shared" si="21"/>
        <v>0</v>
      </c>
      <c r="H41" s="245">
        <f t="shared" si="21"/>
        <v>0.11483091569068417</v>
      </c>
      <c r="I41" s="8">
        <f t="shared" si="21"/>
        <v>0</v>
      </c>
      <c r="J41" s="246">
        <f t="shared" si="21"/>
        <v>3.7896558308920796E-2</v>
      </c>
      <c r="K41" s="244">
        <f t="shared" si="21"/>
        <v>1.5999999999999999</v>
      </c>
      <c r="L41" s="247">
        <f t="shared" si="21"/>
        <v>1499260.7189744262</v>
      </c>
      <c r="M41" s="247">
        <f t="shared" si="21"/>
        <v>737338127.75841331</v>
      </c>
      <c r="N41" s="247">
        <f t="shared" si="21"/>
        <v>44440583.411388293</v>
      </c>
      <c r="O41" s="247">
        <f t="shared" si="21"/>
        <v>11044265.59332782</v>
      </c>
      <c r="P41" s="245">
        <f t="shared" si="21"/>
        <v>1.2535941071882144</v>
      </c>
      <c r="Q41" s="245">
        <f t="shared" si="21"/>
        <v>-5.6008636017272045E-2</v>
      </c>
      <c r="R41" s="261">
        <f t="shared" si="22"/>
        <v>3</v>
      </c>
      <c r="T41">
        <f t="shared" si="14"/>
        <v>70.82499373435806</v>
      </c>
    </row>
    <row r="42" spans="2:20">
      <c r="B42" s="242">
        <v>0.7</v>
      </c>
      <c r="C42" s="243">
        <f t="shared" si="15"/>
        <v>0.68421052631578938</v>
      </c>
      <c r="D42" s="244">
        <f>D$38+($B42-$B$38)*(D$43-D$38)/($B$43-$B$38)</f>
        <v>47.894803529974581</v>
      </c>
      <c r="E42" s="244">
        <f t="shared" si="21"/>
        <v>0</v>
      </c>
      <c r="F42" s="244">
        <f t="shared" si="21"/>
        <v>3.5758072317525702</v>
      </c>
      <c r="G42" s="8">
        <f t="shared" si="21"/>
        <v>0</v>
      </c>
      <c r="H42" s="245">
        <f t="shared" si="21"/>
        <v>0.11750164089024651</v>
      </c>
      <c r="I42" s="8">
        <f t="shared" si="21"/>
        <v>0</v>
      </c>
      <c r="J42" s="246">
        <f t="shared" si="21"/>
        <v>4.3724673855186427E-2</v>
      </c>
      <c r="K42" s="244">
        <f t="shared" si="21"/>
        <v>1.1000000000000005</v>
      </c>
      <c r="L42" s="247">
        <f t="shared" si="21"/>
        <v>1037096.8822903587</v>
      </c>
      <c r="M42" s="247">
        <f t="shared" si="21"/>
        <v>618215700.47064352</v>
      </c>
      <c r="N42" s="247">
        <f t="shared" si="21"/>
        <v>32881821.630496174</v>
      </c>
      <c r="O42" s="247">
        <f t="shared" si="21"/>
        <v>7296743.7704163063</v>
      </c>
      <c r="P42" s="245">
        <f t="shared" si="21"/>
        <v>1.1603251206502414</v>
      </c>
      <c r="Q42" s="245">
        <f t="shared" si="21"/>
        <v>-4.4010160020320072E-2</v>
      </c>
      <c r="R42" s="261">
        <f t="shared" si="22"/>
        <v>3</v>
      </c>
      <c r="T42">
        <f t="shared" si="14"/>
        <v>59.868504412468219</v>
      </c>
    </row>
    <row r="43" spans="2:20">
      <c r="B43" s="242">
        <v>0.75</v>
      </c>
      <c r="C43" s="243">
        <f t="shared" si="15"/>
        <v>0.73684210526315785</v>
      </c>
      <c r="D43" s="244">
        <f>D22</f>
        <v>39.129612072462692</v>
      </c>
      <c r="E43" s="244">
        <f t="shared" ref="E43:Q43" si="23">E22</f>
        <v>0</v>
      </c>
      <c r="F43" s="244">
        <f t="shared" si="23"/>
        <v>2.2054187533799334</v>
      </c>
      <c r="G43" s="8">
        <f t="shared" si="23"/>
        <v>0</v>
      </c>
      <c r="H43" s="245">
        <f t="shared" si="23"/>
        <v>0.12017236608980884</v>
      </c>
      <c r="I43" s="8">
        <f t="shared" si="23"/>
        <v>0</v>
      </c>
      <c r="J43" s="246">
        <f t="shared" si="23"/>
        <v>4.9552789401452066E-2</v>
      </c>
      <c r="K43" s="244">
        <f t="shared" si="23"/>
        <v>0.6</v>
      </c>
      <c r="L43" s="247">
        <f t="shared" si="23"/>
        <v>574933.04560629011</v>
      </c>
      <c r="M43" s="247">
        <f t="shared" si="23"/>
        <v>499093273.18287331</v>
      </c>
      <c r="N43" s="247">
        <f t="shared" si="23"/>
        <v>21323059.849604025</v>
      </c>
      <c r="O43" s="247">
        <f t="shared" si="23"/>
        <v>3549221.9475047868</v>
      </c>
      <c r="P43" s="245">
        <f t="shared" si="23"/>
        <v>1.0670561341122682</v>
      </c>
      <c r="Q43" s="245">
        <f t="shared" si="23"/>
        <v>-3.2011684023368077E-2</v>
      </c>
      <c r="R43" s="261">
        <f t="shared" si="22"/>
        <v>3</v>
      </c>
      <c r="T43">
        <f t="shared" si="14"/>
        <v>48.912015090578365</v>
      </c>
    </row>
    <row r="44" spans="2:20">
      <c r="B44" s="242">
        <v>0.8</v>
      </c>
      <c r="C44" s="243">
        <f t="shared" si="15"/>
        <v>0.78947368421052622</v>
      </c>
      <c r="D44" s="244">
        <f>D$43+($B44-$B$43)*(D$48-D$43)/($B$48-$B$43)</f>
        <v>32.853968916831455</v>
      </c>
      <c r="E44" s="244">
        <f t="shared" ref="E44:Q47" si="24">E$43+($B44-$B$43)*(E$48-E$43)/($B$48-$B$43)</f>
        <v>0</v>
      </c>
      <c r="F44" s="244">
        <f t="shared" si="24"/>
        <v>1.81571271869969</v>
      </c>
      <c r="G44" s="8">
        <f t="shared" si="24"/>
        <v>0</v>
      </c>
      <c r="H44" s="245">
        <f t="shared" si="24"/>
        <v>0.12752676764959664</v>
      </c>
      <c r="I44" s="8">
        <f t="shared" si="24"/>
        <v>0</v>
      </c>
      <c r="J44" s="246">
        <f t="shared" si="24"/>
        <v>5.3595718948136514E-2</v>
      </c>
      <c r="K44" s="244">
        <f t="shared" si="24"/>
        <v>0.47999999999999987</v>
      </c>
      <c r="L44" s="247">
        <f t="shared" si="24"/>
        <v>472175.70936429268</v>
      </c>
      <c r="M44" s="247">
        <f t="shared" si="24"/>
        <v>415421497.16283596</v>
      </c>
      <c r="N44" s="247">
        <f t="shared" si="24"/>
        <v>17598898.043764457</v>
      </c>
      <c r="O44" s="247">
        <f t="shared" si="24"/>
        <v>2855339.8778221109</v>
      </c>
      <c r="P44" s="245">
        <f t="shared" si="24"/>
        <v>0.98308356616713222</v>
      </c>
      <c r="Q44" s="245">
        <f t="shared" si="24"/>
        <v>-2.5609347218694456E-2</v>
      </c>
      <c r="R44" s="261">
        <f t="shared" si="22"/>
        <v>3</v>
      </c>
      <c r="T44">
        <f t="shared" si="14"/>
        <v>41.067461146039278</v>
      </c>
    </row>
    <row r="45" spans="2:20">
      <c r="B45" s="242">
        <v>0.85</v>
      </c>
      <c r="C45" s="243">
        <f t="shared" si="15"/>
        <v>0.84210526315789458</v>
      </c>
      <c r="D45" s="244">
        <f>D$43+($B45-$B$43)*(D$48-D$43)/($B$48-$B$43)</f>
        <v>26.57832576120024</v>
      </c>
      <c r="E45" s="244">
        <f t="shared" si="24"/>
        <v>0</v>
      </c>
      <c r="F45" s="244">
        <f t="shared" si="24"/>
        <v>1.4260066840194474</v>
      </c>
      <c r="G45" s="8">
        <f t="shared" si="24"/>
        <v>0</v>
      </c>
      <c r="H45" s="245">
        <f t="shared" si="24"/>
        <v>0.13488116920938442</v>
      </c>
      <c r="I45" s="8">
        <f t="shared" si="24"/>
        <v>0</v>
      </c>
      <c r="J45" s="246">
        <f t="shared" si="24"/>
        <v>5.7638648494820949E-2</v>
      </c>
      <c r="K45" s="244">
        <f t="shared" si="24"/>
        <v>0.36000000000000004</v>
      </c>
      <c r="L45" s="247">
        <f t="shared" si="24"/>
        <v>369418.37312229548</v>
      </c>
      <c r="M45" s="247">
        <f t="shared" si="24"/>
        <v>331749721.14279878</v>
      </c>
      <c r="N45" s="247">
        <f t="shared" si="24"/>
        <v>13874736.2379249</v>
      </c>
      <c r="O45" s="247">
        <f t="shared" si="24"/>
        <v>2161457.8081394369</v>
      </c>
      <c r="P45" s="245">
        <f t="shared" si="24"/>
        <v>0.89911099822199647</v>
      </c>
      <c r="Q45" s="245">
        <f t="shared" si="24"/>
        <v>-1.9207010414020849E-2</v>
      </c>
      <c r="R45" s="261">
        <f t="shared" si="22"/>
        <v>3</v>
      </c>
      <c r="T45">
        <f t="shared" si="14"/>
        <v>33.222907201500298</v>
      </c>
    </row>
    <row r="46" spans="2:20">
      <c r="B46" s="242">
        <v>0.9</v>
      </c>
      <c r="C46" s="243">
        <f t="shared" si="15"/>
        <v>0.89473684210526305</v>
      </c>
      <c r="D46" s="244">
        <f>D$43+($B46-$B$43)*(D$48-D$43)/($B$48-$B$43)</f>
        <v>20.302682605569004</v>
      </c>
      <c r="E46" s="244">
        <f t="shared" si="24"/>
        <v>0</v>
      </c>
      <c r="F46" s="244">
        <f t="shared" si="24"/>
        <v>1.036300649339204</v>
      </c>
      <c r="G46" s="8">
        <f t="shared" si="24"/>
        <v>0</v>
      </c>
      <c r="H46" s="245">
        <f t="shared" si="24"/>
        <v>0.1422355707691722</v>
      </c>
      <c r="I46" s="8">
        <f t="shared" si="24"/>
        <v>0</v>
      </c>
      <c r="J46" s="246">
        <f t="shared" si="24"/>
        <v>6.1681578041505397E-2</v>
      </c>
      <c r="K46" s="244">
        <f t="shared" si="24"/>
        <v>0.23999999999999994</v>
      </c>
      <c r="L46" s="247">
        <f t="shared" si="24"/>
        <v>266661.03688029811</v>
      </c>
      <c r="M46" s="247">
        <f t="shared" si="24"/>
        <v>248077945.1227614</v>
      </c>
      <c r="N46" s="247">
        <f t="shared" si="24"/>
        <v>10150574.432085332</v>
      </c>
      <c r="O46" s="247">
        <f t="shared" si="24"/>
        <v>1467575.738456761</v>
      </c>
      <c r="P46" s="245">
        <f t="shared" si="24"/>
        <v>0.8151384302768605</v>
      </c>
      <c r="Q46" s="245">
        <f t="shared" si="24"/>
        <v>-1.2804673609347228E-2</v>
      </c>
      <c r="R46" s="261">
        <f>$R$23</f>
        <v>4</v>
      </c>
      <c r="T46">
        <f t="shared" si="14"/>
        <v>25.378353256961251</v>
      </c>
    </row>
    <row r="47" spans="2:20">
      <c r="B47" s="242">
        <v>0.95</v>
      </c>
      <c r="C47" s="243">
        <f t="shared" si="15"/>
        <v>0.94736842105263142</v>
      </c>
      <c r="D47" s="244">
        <f>D$43+($B47-$B$43)*(D$48-D$43)/($B$48-$B$43)</f>
        <v>14.027039449937785</v>
      </c>
      <c r="E47" s="244">
        <f t="shared" si="24"/>
        <v>0</v>
      </c>
      <c r="F47" s="244">
        <f t="shared" si="24"/>
        <v>0.6465946146589614</v>
      </c>
      <c r="G47" s="8">
        <f t="shared" si="24"/>
        <v>0</v>
      </c>
      <c r="H47" s="245">
        <f t="shared" si="24"/>
        <v>0.14958997232895999</v>
      </c>
      <c r="I47" s="8">
        <f t="shared" si="24"/>
        <v>0</v>
      </c>
      <c r="J47" s="246">
        <f t="shared" si="24"/>
        <v>6.5724507588189832E-2</v>
      </c>
      <c r="K47" s="244">
        <f t="shared" si="24"/>
        <v>0.12000000000000011</v>
      </c>
      <c r="L47" s="247">
        <f t="shared" si="24"/>
        <v>163903.70063830091</v>
      </c>
      <c r="M47" s="247">
        <f t="shared" si="24"/>
        <v>164406169.10272419</v>
      </c>
      <c r="N47" s="247">
        <f t="shared" si="24"/>
        <v>6426412.6262457725</v>
      </c>
      <c r="O47" s="247">
        <f t="shared" si="24"/>
        <v>773693.66877408698</v>
      </c>
      <c r="P47" s="245">
        <f t="shared" si="24"/>
        <v>0.73116586233172476</v>
      </c>
      <c r="Q47" s="245">
        <f t="shared" si="24"/>
        <v>-6.4023368046736209E-3</v>
      </c>
      <c r="R47" s="261">
        <f>$R$23</f>
        <v>4</v>
      </c>
      <c r="T47">
        <f t="shared" si="14"/>
        <v>17.533799312422229</v>
      </c>
    </row>
    <row r="48" spans="2:20">
      <c r="B48" s="248">
        <v>1</v>
      </c>
      <c r="C48" s="249">
        <f t="shared" si="15"/>
        <v>0.99999999999999989</v>
      </c>
      <c r="D48" s="250">
        <f>D23</f>
        <v>7.751396294306554</v>
      </c>
      <c r="E48" s="250">
        <f t="shared" ref="E48:Q48" si="25">E23</f>
        <v>0</v>
      </c>
      <c r="F48" s="250">
        <f t="shared" si="25"/>
        <v>0.25688857997871806</v>
      </c>
      <c r="G48" s="226">
        <f t="shared" si="25"/>
        <v>0</v>
      </c>
      <c r="H48" s="229">
        <f t="shared" si="25"/>
        <v>0.15694437388874777</v>
      </c>
      <c r="I48" s="226">
        <f t="shared" si="25"/>
        <v>0</v>
      </c>
      <c r="J48" s="251">
        <f t="shared" si="25"/>
        <v>6.976743713487428E-2</v>
      </c>
      <c r="K48" s="250">
        <f t="shared" si="25"/>
        <v>0</v>
      </c>
      <c r="L48" s="252">
        <f t="shared" si="25"/>
        <v>61146.36439630347</v>
      </c>
      <c r="M48" s="252">
        <f t="shared" si="25"/>
        <v>80734393.082686871</v>
      </c>
      <c r="N48" s="252">
        <f t="shared" si="25"/>
        <v>2702250.8204062055</v>
      </c>
      <c r="O48" s="252">
        <f t="shared" si="25"/>
        <v>79811.599091411103</v>
      </c>
      <c r="P48" s="229">
        <f t="shared" si="25"/>
        <v>0.64719329438658879</v>
      </c>
      <c r="Q48" s="229">
        <f t="shared" si="25"/>
        <v>0</v>
      </c>
      <c r="R48" s="262">
        <f>$R$23</f>
        <v>4</v>
      </c>
      <c r="T48">
        <f>D48*(C48-C47)/2*(D$12-D$13)</f>
        <v>4.8446226839416004</v>
      </c>
    </row>
    <row r="50" spans="20:20">
      <c r="T50">
        <f>SUM(T28:T49)</f>
        <v>1935.7760665062776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opLeftCell="H1" workbookViewId="0">
      <selection activeCell="I28" sqref="I28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311</v>
      </c>
    </row>
    <row r="2" spans="2:15">
      <c r="H2" t="s">
        <v>312</v>
      </c>
    </row>
    <row r="3" spans="2:15">
      <c r="H3" t="s">
        <v>313</v>
      </c>
    </row>
    <row r="4" spans="2:15">
      <c r="H4" t="s">
        <v>314</v>
      </c>
    </row>
    <row r="5" spans="2:15">
      <c r="B5" t="s">
        <v>95</v>
      </c>
      <c r="C5" s="154">
        <f>'Main Page'!B9</f>
        <v>60</v>
      </c>
      <c r="D5" t="s">
        <v>86</v>
      </c>
      <c r="E5" t="s">
        <v>102</v>
      </c>
      <c r="F5" s="126">
        <v>7850</v>
      </c>
      <c r="G5" t="s">
        <v>103</v>
      </c>
    </row>
    <row r="6" spans="2:15">
      <c r="B6" t="s">
        <v>96</v>
      </c>
      <c r="C6" s="154">
        <f>C5-'Main Page'!B37</f>
        <v>58.67</v>
      </c>
      <c r="D6" t="s">
        <v>86</v>
      </c>
      <c r="E6" t="s">
        <v>104</v>
      </c>
      <c r="F6" s="153">
        <v>200000000000</v>
      </c>
      <c r="G6" t="s">
        <v>105</v>
      </c>
    </row>
    <row r="7" spans="2:15">
      <c r="B7" t="s">
        <v>97</v>
      </c>
      <c r="C7" s="154">
        <f>'Main Page'!B40</f>
        <v>3.75</v>
      </c>
      <c r="D7" t="s">
        <v>86</v>
      </c>
      <c r="E7" t="s">
        <v>106</v>
      </c>
      <c r="F7" s="153">
        <f>F6/2.6</f>
        <v>76923076923.07692</v>
      </c>
      <c r="G7" t="s">
        <v>105</v>
      </c>
    </row>
    <row r="8" spans="2:15">
      <c r="B8" t="s">
        <v>99</v>
      </c>
      <c r="C8" s="154">
        <f>'Main Page'!B38</f>
        <v>2</v>
      </c>
      <c r="D8" t="s">
        <v>86</v>
      </c>
    </row>
    <row r="9" spans="2:15">
      <c r="B9" t="s">
        <v>100</v>
      </c>
      <c r="C9" s="154">
        <f>'Main Page'!B41</f>
        <v>15</v>
      </c>
      <c r="D9" t="s">
        <v>98</v>
      </c>
    </row>
    <row r="10" spans="2:15">
      <c r="B10" t="s">
        <v>101</v>
      </c>
      <c r="C10" s="154">
        <f>'Main Page'!B39</f>
        <v>9</v>
      </c>
      <c r="D10" t="s">
        <v>98</v>
      </c>
    </row>
    <row r="11" spans="2:15">
      <c r="B11" t="s">
        <v>388</v>
      </c>
      <c r="C11" s="154">
        <f>'Main Page'!B42</f>
        <v>5</v>
      </c>
      <c r="D11" t="s">
        <v>389</v>
      </c>
    </row>
    <row r="13" spans="2:15">
      <c r="B13" t="s">
        <v>107</v>
      </c>
      <c r="C13" t="s">
        <v>108</v>
      </c>
      <c r="D13" t="s">
        <v>109</v>
      </c>
      <c r="E13" t="s">
        <v>110</v>
      </c>
      <c r="F13" t="s">
        <v>93</v>
      </c>
      <c r="G13" t="s">
        <v>116</v>
      </c>
      <c r="H13" t="s">
        <v>114</v>
      </c>
      <c r="I13" t="s">
        <v>17</v>
      </c>
      <c r="J13" t="s">
        <v>307</v>
      </c>
      <c r="K13" t="s">
        <v>113</v>
      </c>
      <c r="L13" t="s">
        <v>308</v>
      </c>
      <c r="M13" t="s">
        <v>309</v>
      </c>
      <c r="N13" t="s">
        <v>310</v>
      </c>
      <c r="O13" t="s">
        <v>384</v>
      </c>
    </row>
    <row r="14" spans="2:15">
      <c r="C14" t="s">
        <v>86</v>
      </c>
      <c r="D14" t="s">
        <v>86</v>
      </c>
      <c r="E14" t="s">
        <v>98</v>
      </c>
      <c r="F14" t="s">
        <v>94</v>
      </c>
      <c r="G14" t="s">
        <v>87</v>
      </c>
      <c r="H14" t="s">
        <v>115</v>
      </c>
      <c r="I14" t="s">
        <v>112</v>
      </c>
      <c r="J14" t="s">
        <v>111</v>
      </c>
      <c r="K14" t="s">
        <v>92</v>
      </c>
      <c r="L14" t="s">
        <v>112</v>
      </c>
      <c r="M14" t="s">
        <v>111</v>
      </c>
      <c r="N14" t="s">
        <v>92</v>
      </c>
      <c r="O14" t="s">
        <v>118</v>
      </c>
    </row>
    <row r="15" spans="2:15">
      <c r="B15">
        <v>0</v>
      </c>
      <c r="C15" s="155">
        <f>C$6/B$24*B15</f>
        <v>0</v>
      </c>
      <c r="D15" s="156">
        <f>C$7-(C$7-C$8)*C15/C$6</f>
        <v>3.75</v>
      </c>
      <c r="E15" s="157">
        <f>C$9-(C$9-C$10)*C15/C$6</f>
        <v>15</v>
      </c>
      <c r="F15" s="155">
        <f>PI()*D15*E15/1000</f>
        <v>0.17671458676442586</v>
      </c>
      <c r="G15" s="157">
        <f>F15*F$5*(C$11/100+1)</f>
        <v>1456.5699814057803</v>
      </c>
      <c r="H15" s="158">
        <f t="shared" ref="H15:H24" si="0">F15*F$6</f>
        <v>35342917352.88517</v>
      </c>
      <c r="I15" s="155">
        <f t="shared" ref="I15:I24" si="1">F15*D15^2/4</f>
        <v>0.62126221909368462</v>
      </c>
      <c r="J15" s="157">
        <f t="shared" ref="J15:J24" si="2">I15*F$5</f>
        <v>4876.9084198854243</v>
      </c>
      <c r="K15" s="158">
        <f t="shared" ref="K15:K24" si="3">I15*F$7</f>
        <v>47789401468.744972</v>
      </c>
      <c r="L15" s="155">
        <f>I15/2</f>
        <v>0.31063110954684231</v>
      </c>
      <c r="M15" s="157">
        <f>J15/2</f>
        <v>2438.4542099427122</v>
      </c>
      <c r="N15" s="158">
        <f t="shared" ref="N15:N24" si="4">L15*F$6</f>
        <v>62126221909.368462</v>
      </c>
      <c r="O15" s="333">
        <f>G15*(C16-C15)/2</f>
        <v>4747.6089338376187</v>
      </c>
    </row>
    <row r="16" spans="2:15">
      <c r="B16">
        <f>B15+1</f>
        <v>1</v>
      </c>
      <c r="C16" s="155">
        <f t="shared" ref="C16:C24" si="5">C$6/B$24*B16</f>
        <v>6.5188888888888892</v>
      </c>
      <c r="D16" s="156">
        <f t="shared" ref="D16:D24" si="6">C$7-(C$7-C$8)*C16/C$6</f>
        <v>3.5555555555555554</v>
      </c>
      <c r="E16" s="157">
        <f t="shared" ref="E16:E24" si="7">C$9-(C$9-C$10)*C16/C$6</f>
        <v>14.333333333333334</v>
      </c>
      <c r="F16" s="155">
        <f t="shared" ref="F16:F24" si="8">PI()*D16*E16/1000</f>
        <v>0.16010487004961316</v>
      </c>
      <c r="G16" s="157">
        <f t="shared" ref="G16:G24" si="9">F16*F$5*(C$11/100+1)</f>
        <v>1319.6643913839366</v>
      </c>
      <c r="H16" s="158">
        <f t="shared" si="0"/>
        <v>32020974009.92263</v>
      </c>
      <c r="I16" s="155">
        <f t="shared" si="1"/>
        <v>0.5060104534901354</v>
      </c>
      <c r="J16" s="157">
        <f t="shared" si="2"/>
        <v>3972.1820598975628</v>
      </c>
      <c r="K16" s="158">
        <f t="shared" si="3"/>
        <v>38923881037.702721</v>
      </c>
      <c r="L16" s="155">
        <f t="shared" ref="L16:L24" si="10">I16/2</f>
        <v>0.2530052267450677</v>
      </c>
      <c r="M16" s="157">
        <f t="shared" ref="M16:M24" si="11">J16/2</f>
        <v>1986.0910299487814</v>
      </c>
      <c r="N16" s="158">
        <f t="shared" si="4"/>
        <v>50601045349.013542</v>
      </c>
      <c r="O16" s="333">
        <f>G16*(C17-C15)/2</f>
        <v>8602.7455380550637</v>
      </c>
    </row>
    <row r="17" spans="2:15">
      <c r="B17">
        <f t="shared" ref="B17:B24" si="12">B16+1</f>
        <v>2</v>
      </c>
      <c r="C17" s="155">
        <f t="shared" si="5"/>
        <v>13.037777777777778</v>
      </c>
      <c r="D17" s="156">
        <f t="shared" si="6"/>
        <v>3.3611111111111112</v>
      </c>
      <c r="E17" s="157">
        <f t="shared" si="7"/>
        <v>13.666666666666666</v>
      </c>
      <c r="F17" s="155">
        <f t="shared" si="8"/>
        <v>0.14430964031906446</v>
      </c>
      <c r="G17" s="157">
        <f t="shared" si="9"/>
        <v>1189.4722103298889</v>
      </c>
      <c r="H17" s="158">
        <f t="shared" si="0"/>
        <v>28861928063.812893</v>
      </c>
      <c r="I17" s="155">
        <f t="shared" si="1"/>
        <v>0.40756895137180221</v>
      </c>
      <c r="J17" s="157">
        <f t="shared" si="2"/>
        <v>3199.4162682686474</v>
      </c>
      <c r="K17" s="158">
        <f t="shared" si="3"/>
        <v>31351457797.830936</v>
      </c>
      <c r="L17" s="155">
        <f t="shared" si="10"/>
        <v>0.20378447568590111</v>
      </c>
      <c r="M17" s="157">
        <f t="shared" si="11"/>
        <v>1599.7081341343237</v>
      </c>
      <c r="N17" s="158">
        <f t="shared" si="4"/>
        <v>40756895137.180222</v>
      </c>
      <c r="O17" s="333">
        <f t="shared" ref="O17:O23" si="13">G17*(C18-C16)/2</f>
        <v>7754.0371755616216</v>
      </c>
    </row>
    <row r="18" spans="2:15">
      <c r="B18">
        <f t="shared" si="12"/>
        <v>3</v>
      </c>
      <c r="C18" s="155">
        <f t="shared" si="5"/>
        <v>19.556666666666668</v>
      </c>
      <c r="D18" s="156">
        <f t="shared" si="6"/>
        <v>3.1666666666666665</v>
      </c>
      <c r="E18" s="157">
        <f t="shared" si="7"/>
        <v>13</v>
      </c>
      <c r="F18" s="155">
        <f t="shared" si="8"/>
        <v>0.12932889757277979</v>
      </c>
      <c r="G18" s="157">
        <f t="shared" si="9"/>
        <v>1065.9934382436375</v>
      </c>
      <c r="H18" s="158">
        <f t="shared" si="0"/>
        <v>25865779514.555958</v>
      </c>
      <c r="I18" s="155">
        <f t="shared" si="1"/>
        <v>0.32422036127620485</v>
      </c>
      <c r="J18" s="157">
        <f t="shared" si="2"/>
        <v>2545.1298360182082</v>
      </c>
      <c r="K18" s="158">
        <f t="shared" si="3"/>
        <v>24940027790.477295</v>
      </c>
      <c r="L18" s="155">
        <f t="shared" si="10"/>
        <v>0.16211018063810242</v>
      </c>
      <c r="M18" s="157">
        <f t="shared" si="11"/>
        <v>1272.5649180091041</v>
      </c>
      <c r="N18" s="158">
        <f t="shared" si="4"/>
        <v>32422036127.620483</v>
      </c>
      <c r="O18" s="333">
        <f t="shared" si="13"/>
        <v>6949.0927801949128</v>
      </c>
    </row>
    <row r="19" spans="2:15">
      <c r="B19">
        <f t="shared" si="12"/>
        <v>4</v>
      </c>
      <c r="C19" s="155">
        <f t="shared" si="5"/>
        <v>26.075555555555557</v>
      </c>
      <c r="D19" s="156">
        <f t="shared" si="6"/>
        <v>2.9722222222222223</v>
      </c>
      <c r="E19" s="157">
        <f t="shared" si="7"/>
        <v>12.333333333333332</v>
      </c>
      <c r="F19" s="155">
        <f t="shared" si="8"/>
        <v>0.11516264181075916</v>
      </c>
      <c r="G19" s="157">
        <f t="shared" si="9"/>
        <v>949.2280751251825</v>
      </c>
      <c r="H19" s="158">
        <f t="shared" si="0"/>
        <v>23032528362.151833</v>
      </c>
      <c r="I19" s="155">
        <f t="shared" si="1"/>
        <v>0.25433971568120795</v>
      </c>
      <c r="J19" s="157">
        <f t="shared" si="2"/>
        <v>1996.5667680974823</v>
      </c>
      <c r="K19" s="158">
        <f t="shared" si="3"/>
        <v>19564593513.939072</v>
      </c>
      <c r="L19" s="155">
        <f t="shared" si="10"/>
        <v>0.12716985784060397</v>
      </c>
      <c r="M19" s="157">
        <f t="shared" si="11"/>
        <v>998.28338404874114</v>
      </c>
      <c r="N19" s="158">
        <f t="shared" si="4"/>
        <v>25433971568.120796</v>
      </c>
      <c r="O19" s="333">
        <f t="shared" si="13"/>
        <v>6187.9123519549412</v>
      </c>
    </row>
    <row r="20" spans="2:15">
      <c r="B20">
        <f t="shared" si="12"/>
        <v>5</v>
      </c>
      <c r="C20" s="155">
        <f t="shared" si="5"/>
        <v>32.594444444444449</v>
      </c>
      <c r="D20" s="156">
        <f t="shared" si="6"/>
        <v>2.7777777777777777</v>
      </c>
      <c r="E20" s="157">
        <f t="shared" si="7"/>
        <v>11.666666666666666</v>
      </c>
      <c r="F20" s="155">
        <f t="shared" si="8"/>
        <v>0.10181087303300254</v>
      </c>
      <c r="G20" s="157">
        <f t="shared" si="9"/>
        <v>839.17612097452354</v>
      </c>
      <c r="H20" s="158">
        <f t="shared" si="0"/>
        <v>20362174606.60051</v>
      </c>
      <c r="I20" s="155">
        <f t="shared" si="1"/>
        <v>0.19639443100502033</v>
      </c>
      <c r="J20" s="157">
        <f t="shared" si="2"/>
        <v>1541.6962833894095</v>
      </c>
      <c r="K20" s="158">
        <f t="shared" si="3"/>
        <v>15107263923.4631</v>
      </c>
      <c r="L20" s="155">
        <f t="shared" si="10"/>
        <v>9.8197215502510163E-2</v>
      </c>
      <c r="M20" s="157">
        <f t="shared" si="11"/>
        <v>770.84814169470474</v>
      </c>
      <c r="N20" s="158">
        <f t="shared" si="4"/>
        <v>19639443100.502033</v>
      </c>
      <c r="O20" s="333">
        <f t="shared" si="13"/>
        <v>5470.4958908417002</v>
      </c>
    </row>
    <row r="21" spans="2:15">
      <c r="B21">
        <f t="shared" si="12"/>
        <v>6</v>
      </c>
      <c r="C21" s="155">
        <f t="shared" si="5"/>
        <v>39.113333333333337</v>
      </c>
      <c r="D21" s="156">
        <f t="shared" si="6"/>
        <v>2.583333333333333</v>
      </c>
      <c r="E21" s="157">
        <f t="shared" si="7"/>
        <v>11</v>
      </c>
      <c r="F21" s="155">
        <f t="shared" si="8"/>
        <v>8.9273591239509953E-2</v>
      </c>
      <c r="G21" s="157">
        <f t="shared" si="9"/>
        <v>735.83757579166081</v>
      </c>
      <c r="H21" s="158">
        <f t="shared" si="0"/>
        <v>17854718247.901989</v>
      </c>
      <c r="I21" s="155">
        <f t="shared" si="1"/>
        <v>0.14894430760619626</v>
      </c>
      <c r="J21" s="157">
        <f t="shared" si="2"/>
        <v>1169.2128147086407</v>
      </c>
      <c r="K21" s="158">
        <f t="shared" si="3"/>
        <v>11457254431.245865</v>
      </c>
      <c r="L21" s="155">
        <f t="shared" si="10"/>
        <v>7.4472153803098129E-2</v>
      </c>
      <c r="M21" s="157">
        <f t="shared" si="11"/>
        <v>584.60640735432037</v>
      </c>
      <c r="N21" s="158">
        <f t="shared" si="4"/>
        <v>14894430760.619625</v>
      </c>
      <c r="O21" s="333">
        <f t="shared" si="13"/>
        <v>4796.8433968551926</v>
      </c>
    </row>
    <row r="22" spans="2:15">
      <c r="B22">
        <f t="shared" si="12"/>
        <v>7</v>
      </c>
      <c r="C22" s="155">
        <f t="shared" si="5"/>
        <v>45.632222222222225</v>
      </c>
      <c r="D22" s="156">
        <f t="shared" si="6"/>
        <v>2.3888888888888893</v>
      </c>
      <c r="E22" s="157">
        <f t="shared" si="7"/>
        <v>10.333333333333332</v>
      </c>
      <c r="F22" s="155">
        <f t="shared" si="8"/>
        <v>7.7550796430281385E-2</v>
      </c>
      <c r="G22" s="157">
        <f t="shared" si="9"/>
        <v>639.21243957659442</v>
      </c>
      <c r="H22" s="158">
        <f t="shared" si="0"/>
        <v>15510159286.056276</v>
      </c>
      <c r="I22" s="155">
        <f t="shared" si="1"/>
        <v>0.11064152978363452</v>
      </c>
      <c r="J22" s="157">
        <f t="shared" si="2"/>
        <v>868.53600880153101</v>
      </c>
      <c r="K22" s="158">
        <f t="shared" si="3"/>
        <v>8510886906.433424</v>
      </c>
      <c r="L22" s="155">
        <f t="shared" si="10"/>
        <v>5.532076489181726E-2</v>
      </c>
      <c r="M22" s="157">
        <f t="shared" si="11"/>
        <v>434.26800440076551</v>
      </c>
      <c r="N22" s="158">
        <f t="shared" si="4"/>
        <v>11064152978.363453</v>
      </c>
      <c r="O22" s="333">
        <f t="shared" si="13"/>
        <v>4166.9548699954212</v>
      </c>
    </row>
    <row r="23" spans="2:15">
      <c r="B23">
        <f t="shared" si="12"/>
        <v>8</v>
      </c>
      <c r="C23" s="155">
        <f t="shared" si="5"/>
        <v>52.151111111111113</v>
      </c>
      <c r="D23" s="156">
        <f t="shared" si="6"/>
        <v>2.1944444444444446</v>
      </c>
      <c r="E23" s="157">
        <f t="shared" si="7"/>
        <v>9.6666666666666661</v>
      </c>
      <c r="F23" s="155">
        <f t="shared" si="8"/>
        <v>6.664248860531681E-2</v>
      </c>
      <c r="G23" s="157">
        <f t="shared" si="9"/>
        <v>549.3007123293238</v>
      </c>
      <c r="H23" s="158">
        <f t="shared" si="0"/>
        <v>13328497721.063362</v>
      </c>
      <c r="I23" s="155">
        <f t="shared" si="1"/>
        <v>8.0230665776578364E-2</v>
      </c>
      <c r="J23" s="157">
        <f t="shared" si="2"/>
        <v>629.8107263461402</v>
      </c>
      <c r="K23" s="158">
        <f t="shared" si="3"/>
        <v>6171589675.1214123</v>
      </c>
      <c r="L23" s="155">
        <f t="shared" si="10"/>
        <v>4.0115332888289182E-2</v>
      </c>
      <c r="M23" s="157">
        <f t="shared" si="11"/>
        <v>314.9053631730701</v>
      </c>
      <c r="N23" s="158">
        <f t="shared" si="4"/>
        <v>8023066577.657836</v>
      </c>
      <c r="O23" s="333">
        <f t="shared" si="13"/>
        <v>3580.8303102623804</v>
      </c>
    </row>
    <row r="24" spans="2:15">
      <c r="B24">
        <f t="shared" si="12"/>
        <v>9</v>
      </c>
      <c r="C24" s="155">
        <f t="shared" si="5"/>
        <v>58.67</v>
      </c>
      <c r="D24" s="156">
        <f t="shared" si="6"/>
        <v>2</v>
      </c>
      <c r="E24" s="157">
        <f t="shared" si="7"/>
        <v>9</v>
      </c>
      <c r="F24" s="155">
        <f t="shared" si="8"/>
        <v>5.6548667764616277E-2</v>
      </c>
      <c r="G24" s="157">
        <f t="shared" si="9"/>
        <v>466.10239404984969</v>
      </c>
      <c r="H24" s="158">
        <f t="shared" si="0"/>
        <v>11309733552.923256</v>
      </c>
      <c r="I24" s="155">
        <f t="shared" si="1"/>
        <v>5.6548667764616277E-2</v>
      </c>
      <c r="J24" s="157">
        <f t="shared" si="2"/>
        <v>443.90704195223776</v>
      </c>
      <c r="K24" s="158">
        <f t="shared" si="3"/>
        <v>4349897520.3550978</v>
      </c>
      <c r="L24" s="155">
        <f t="shared" si="10"/>
        <v>2.8274333882308138E-2</v>
      </c>
      <c r="M24" s="157">
        <f t="shared" si="11"/>
        <v>221.95352097611888</v>
      </c>
      <c r="N24" s="158">
        <f t="shared" si="4"/>
        <v>5654866776.461628</v>
      </c>
      <c r="O24" s="333">
        <f>G24*(C24-C23)/2</f>
        <v>1519.2348588280377</v>
      </c>
    </row>
    <row r="25" spans="2:15">
      <c r="O25" s="333"/>
    </row>
    <row r="26" spans="2:15">
      <c r="O26" s="333">
        <f>SUM(O15:O25)</f>
        <v>53775.756106386892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A4" zoomScale="75" workbookViewId="0">
      <selection activeCell="C1" sqref="C1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3"/>
      <c r="B1" s="113" t="s">
        <v>171</v>
      </c>
      <c r="C1" s="128">
        <f>'Main Page'!B13</f>
        <v>50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</row>
    <row r="2" spans="1:25" ht="12.75">
      <c r="A2" s="113"/>
      <c r="B2" s="114" t="s">
        <v>172</v>
      </c>
      <c r="C2" s="128">
        <f>'Main Page'!B79*'Main Page'!B80</f>
        <v>1800</v>
      </c>
      <c r="D2" s="115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</row>
    <row r="3" spans="1:25" ht="12.7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</row>
    <row r="4" spans="1:25" ht="38.25">
      <c r="A4" s="116"/>
      <c r="B4" s="164" t="s">
        <v>173</v>
      </c>
      <c r="C4" s="116" t="s">
        <v>174</v>
      </c>
      <c r="D4" s="116" t="s">
        <v>175</v>
      </c>
      <c r="E4" s="116" t="s">
        <v>176</v>
      </c>
      <c r="F4" s="116" t="s">
        <v>216</v>
      </c>
      <c r="G4" s="116"/>
      <c r="H4" s="116" t="s">
        <v>177</v>
      </c>
      <c r="I4" s="116" t="s">
        <v>178</v>
      </c>
      <c r="J4" s="116" t="s">
        <v>179</v>
      </c>
      <c r="K4" s="116" t="s">
        <v>180</v>
      </c>
      <c r="L4" s="116" t="s">
        <v>181</v>
      </c>
      <c r="M4" s="116" t="s">
        <v>182</v>
      </c>
      <c r="N4" s="116" t="s">
        <v>183</v>
      </c>
      <c r="O4" s="116" t="s">
        <v>184</v>
      </c>
      <c r="P4" s="116" t="s">
        <v>213</v>
      </c>
      <c r="Q4" s="116" t="s">
        <v>214</v>
      </c>
      <c r="R4" s="116" t="s">
        <v>215</v>
      </c>
      <c r="S4" s="116"/>
      <c r="T4" s="116"/>
      <c r="U4" s="117"/>
      <c r="V4" s="117"/>
      <c r="W4" s="116"/>
      <c r="X4" s="116"/>
      <c r="Y4" s="117"/>
    </row>
    <row r="5" spans="1:25" ht="12.75">
      <c r="A5" s="113"/>
      <c r="B5" s="165" t="s">
        <v>12</v>
      </c>
      <c r="C5" s="132"/>
      <c r="D5" s="132"/>
      <c r="E5" s="133">
        <f>'Main Page'!B47</f>
        <v>2.5</v>
      </c>
      <c r="F5" s="133">
        <f>'Main Page'!B50</f>
        <v>3.3000000000000002E-2</v>
      </c>
      <c r="G5" s="132"/>
      <c r="H5" s="136">
        <f>'Main Page'!B51</f>
        <v>7850</v>
      </c>
      <c r="I5" s="137">
        <f>H5*F5*PI()*E5^2</f>
        <v>5086.4348557027251</v>
      </c>
      <c r="J5" s="133">
        <f>'Main Page'!B52</f>
        <v>-2.33</v>
      </c>
      <c r="K5" s="133">
        <f>'Main Page'!B53</f>
        <v>0</v>
      </c>
      <c r="L5" s="133">
        <f>'Main Page'!B54</f>
        <v>0</v>
      </c>
      <c r="M5" s="161">
        <f>0.4*I5*((E5/2)^5-(E5/2-F5)^5)/((E5/2)^3-(E5/2-F5)^3)</f>
        <v>5160.9544585651756</v>
      </c>
      <c r="N5" s="161">
        <f>M5</f>
        <v>5160.9544585651756</v>
      </c>
      <c r="O5" s="161">
        <f>M5</f>
        <v>5160.9544585651756</v>
      </c>
      <c r="P5" s="161">
        <f>$I5*((K5-K$14)^2+(L5-L$14)^2)</f>
        <v>0</v>
      </c>
      <c r="Q5" s="161">
        <f>$I5*((L5-L$14)^2+(J5-J$14)^2)</f>
        <v>0</v>
      </c>
      <c r="R5" s="161">
        <f>$I5*((J5-J$14)^2+(K5-K$14)^2)</f>
        <v>0</v>
      </c>
      <c r="S5" s="113" t="s">
        <v>12</v>
      </c>
      <c r="T5" s="114"/>
      <c r="U5" s="113"/>
      <c r="V5" s="113"/>
      <c r="W5" s="113"/>
      <c r="X5" s="113"/>
      <c r="Y5" s="113"/>
    </row>
    <row r="6" spans="1:25" ht="12.75">
      <c r="A6" s="113"/>
      <c r="B6" s="165" t="s">
        <v>185</v>
      </c>
      <c r="C6" s="132"/>
      <c r="D6" s="132"/>
      <c r="E6" s="132"/>
      <c r="F6" s="132"/>
      <c r="G6" s="137"/>
      <c r="H6" s="135"/>
      <c r="I6" s="137">
        <f>0.0119*'Main Page'!B13^3</f>
        <v>1487.5</v>
      </c>
      <c r="J6" s="133">
        <f>'Main Page'!B52</f>
        <v>-2.33</v>
      </c>
      <c r="K6" s="133">
        <f>'Main Page'!B53</f>
        <v>0</v>
      </c>
      <c r="L6" s="133">
        <f>'Main Page'!B54</f>
        <v>0</v>
      </c>
      <c r="M6" s="161">
        <f>I6*E5^2/4</f>
        <v>2324.21875</v>
      </c>
      <c r="N6" s="161">
        <f>M6</f>
        <v>2324.21875</v>
      </c>
      <c r="O6" s="161">
        <f>N6</f>
        <v>2324.21875</v>
      </c>
      <c r="P6" s="161">
        <f>$I6*((K6-K$14)^2+(L6-L$14)^2)</f>
        <v>0</v>
      </c>
      <c r="Q6" s="161">
        <f>$I6*((L6-L$14)^2+(J6-J$14)^2)</f>
        <v>0</v>
      </c>
      <c r="R6" s="161">
        <f>$I6*((J6-J$14)^2+(K6-K$14)^2)</f>
        <v>0</v>
      </c>
      <c r="S6" s="113" t="s">
        <v>12</v>
      </c>
      <c r="T6" s="114"/>
      <c r="U6" s="118"/>
      <c r="V6" s="118"/>
      <c r="W6" s="113"/>
      <c r="X6" s="113"/>
      <c r="Y6" s="113"/>
    </row>
    <row r="7" spans="1:25" ht="12.75">
      <c r="A7" s="113"/>
      <c r="B7" s="165" t="s">
        <v>138</v>
      </c>
      <c r="C7" s="133">
        <f>'Main Page'!B57</f>
        <v>1.3979999999999999</v>
      </c>
      <c r="D7" s="133">
        <f>'Main Page'!B59</f>
        <v>0.2</v>
      </c>
      <c r="E7" s="133">
        <f>'Main Page'!B58</f>
        <v>0.4</v>
      </c>
      <c r="F7" s="132"/>
      <c r="G7" s="137"/>
      <c r="H7" s="136">
        <f>'Main Page'!B60</f>
        <v>7850</v>
      </c>
      <c r="I7" s="137">
        <f>0.25*PI()*(E7^2-D7^2)*H7*C7</f>
        <v>1034.3034077487141</v>
      </c>
      <c r="J7" s="133">
        <f>0.5*('Main Page'!B65+'Main Page'!B68)</f>
        <v>-1.0485</v>
      </c>
      <c r="K7" s="133">
        <f>'Main Page'!B61</f>
        <v>0</v>
      </c>
      <c r="L7" s="133">
        <f>'Main Page'!B62</f>
        <v>0</v>
      </c>
      <c r="M7" s="161">
        <f>I7*(E7^2+D7^2)/8</f>
        <v>25.857585193717856</v>
      </c>
      <c r="N7" s="161">
        <f>I7*(E7^2+D7^2+4*C7^2/3)/16</f>
        <v>181.38268570666875</v>
      </c>
      <c r="O7" s="161">
        <f>I7*(E7^2+D7^2+4*C7^2/3)/16</f>
        <v>181.38268570666875</v>
      </c>
      <c r="P7" s="161">
        <f>$I7*((K7-K$15)^2+(L7-L$15)^2)</f>
        <v>0</v>
      </c>
      <c r="Q7" s="161">
        <f>$I7*((L7-L$15)^2+(J7-J$15)^2)</f>
        <v>352.90278010392893</v>
      </c>
      <c r="R7" s="161">
        <f>$I7*((J7-J$15)^2+(K7-K$15)^2)</f>
        <v>352.90278010392893</v>
      </c>
      <c r="S7" s="113" t="s">
        <v>210</v>
      </c>
      <c r="T7" s="113"/>
      <c r="U7" s="113"/>
      <c r="V7" s="113"/>
      <c r="W7" s="113"/>
      <c r="X7" s="113"/>
      <c r="Y7" s="113"/>
    </row>
    <row r="8" spans="1:25" ht="12.75">
      <c r="A8" s="113"/>
      <c r="B8" s="165" t="s">
        <v>186</v>
      </c>
      <c r="C8" s="132"/>
      <c r="D8" s="160">
        <f>E7</f>
        <v>0.4</v>
      </c>
      <c r="F8" s="132"/>
      <c r="G8" s="132"/>
      <c r="H8" s="139"/>
      <c r="I8" s="137">
        <f>0.00002613*(1000*E7)^2.77</f>
        <v>421.54659502316184</v>
      </c>
      <c r="J8" s="133">
        <f>'Main Page'!B65</f>
        <v>-1.631</v>
      </c>
      <c r="K8" s="133">
        <f>'Main Page'!B66</f>
        <v>0</v>
      </c>
      <c r="L8" s="133">
        <f>'Main Page'!B67</f>
        <v>0</v>
      </c>
      <c r="M8" s="161">
        <f>I8*D8^2/4</f>
        <v>16.861863800926479</v>
      </c>
      <c r="N8" s="161">
        <f>M8/2</f>
        <v>8.4309319004632393</v>
      </c>
      <c r="O8" s="161">
        <f>M8/2</f>
        <v>8.4309319004632393</v>
      </c>
      <c r="P8" s="161">
        <f>$I8*((K8-K$15)^2+(L8-L$15)^2)</f>
        <v>0</v>
      </c>
      <c r="Q8" s="161">
        <f>$I8*((L8-L$15)^2+(J8-J$15)^2)</f>
        <v>573.7278186835573</v>
      </c>
      <c r="R8" s="161">
        <f>$I8*((J8-J$15)^2+(K8-K$15)^2)</f>
        <v>573.7278186835573</v>
      </c>
      <c r="S8" s="113" t="s">
        <v>210</v>
      </c>
      <c r="T8" s="114"/>
      <c r="U8" s="118"/>
      <c r="V8" s="118"/>
      <c r="W8" s="113"/>
      <c r="X8" s="113"/>
      <c r="Y8" s="119"/>
    </row>
    <row r="9" spans="1:25" ht="12.75">
      <c r="A9" s="113"/>
      <c r="B9" s="165" t="s">
        <v>187</v>
      </c>
      <c r="C9" s="132"/>
      <c r="D9" s="160">
        <f>E7</f>
        <v>0.4</v>
      </c>
      <c r="F9" s="132"/>
      <c r="G9" s="132"/>
      <c r="H9" s="139"/>
      <c r="I9" s="137">
        <f>0.00002613*(1000*E7)^2.77</f>
        <v>421.54659502316184</v>
      </c>
      <c r="J9" s="133">
        <f>'Main Page'!B68</f>
        <v>-0.46600000000000003</v>
      </c>
      <c r="K9" s="133">
        <f>'Main Page'!B69</f>
        <v>0</v>
      </c>
      <c r="L9" s="133">
        <f>'Main Page'!B70</f>
        <v>0</v>
      </c>
      <c r="M9" s="161">
        <f>I9*D9^2/4</f>
        <v>16.861863800926479</v>
      </c>
      <c r="N9" s="161">
        <f>M9/2</f>
        <v>8.4309319004632393</v>
      </c>
      <c r="O9" s="161">
        <f>M9/2</f>
        <v>8.4309319004632393</v>
      </c>
      <c r="P9" s="161">
        <f>$I9*((K9-K$15)^2+(L9-L$15)^2)</f>
        <v>0</v>
      </c>
      <c r="Q9" s="161">
        <f>$I9*((L9-L$15)^2+(J9-J$15)^2)</f>
        <v>1.1090374508368286E-3</v>
      </c>
      <c r="R9" s="161">
        <f>$I9*((J9-J$15)^2+(K9-K$15)^2)</f>
        <v>1.1090374508368286E-3</v>
      </c>
      <c r="S9" s="113" t="s">
        <v>210</v>
      </c>
      <c r="T9" s="114"/>
      <c r="U9" s="120"/>
      <c r="V9" s="120"/>
      <c r="W9" s="113"/>
      <c r="X9" s="113"/>
      <c r="Y9" s="113"/>
    </row>
    <row r="10" spans="1:25" ht="12.75">
      <c r="A10" s="113"/>
      <c r="B10" s="165" t="s">
        <v>188</v>
      </c>
      <c r="C10" s="132">
        <f>C24</f>
        <v>0.6</v>
      </c>
      <c r="D10" s="132"/>
      <c r="E10" s="132">
        <f>D24</f>
        <v>0.5625</v>
      </c>
      <c r="F10" s="129"/>
      <c r="G10" s="129"/>
      <c r="H10" s="138"/>
      <c r="I10" s="137">
        <f>'Main Page'!B73/2</f>
        <v>2361.5</v>
      </c>
      <c r="J10" s="133">
        <f>'Main Page'!B74</f>
        <v>0</v>
      </c>
      <c r="K10" s="133">
        <f>'Main Page'!B75</f>
        <v>0</v>
      </c>
      <c r="L10" s="133">
        <f>'Main Page'!B76</f>
        <v>0</v>
      </c>
      <c r="M10" s="161">
        <f>I10*E10^2/8</f>
        <v>93.399169921875</v>
      </c>
      <c r="N10" s="161">
        <f>I10*(3*E10^2/4+C10^2)/12</f>
        <v>117.54458496093748</v>
      </c>
      <c r="O10" s="161">
        <f>I10*(3*E10^2/4+C10^2)/12</f>
        <v>117.54458496093748</v>
      </c>
      <c r="P10" s="161">
        <f>$I10*((K10-K$15)^2+(L10-L$15)^2)</f>
        <v>0</v>
      </c>
      <c r="Q10" s="161">
        <f>$I10*((L10-L$15)^2+(J10-J$15)^2)</f>
        <v>509.2502222331392</v>
      </c>
      <c r="R10" s="161">
        <f>$I10*((J10-J$15)^2+(K10-K$15)^2)</f>
        <v>509.2502222331392</v>
      </c>
      <c r="S10" s="113" t="s">
        <v>210</v>
      </c>
      <c r="T10" s="114"/>
      <c r="U10" s="113"/>
      <c r="V10" s="113"/>
      <c r="W10" s="113"/>
      <c r="X10" s="113"/>
      <c r="Y10" s="113"/>
    </row>
    <row r="11" spans="1:25" ht="13.15" customHeight="1">
      <c r="A11" s="113"/>
      <c r="B11" s="165" t="s">
        <v>189</v>
      </c>
      <c r="C11" s="132">
        <f>1.6*0.015*C1</f>
        <v>1.2</v>
      </c>
      <c r="D11" s="129"/>
      <c r="E11" s="129"/>
      <c r="F11" s="129"/>
      <c r="G11" s="129"/>
      <c r="H11" s="138"/>
      <c r="I11" s="140">
        <f>(3.3*'Main Page'!B83+471)/3</f>
        <v>982</v>
      </c>
      <c r="J11" s="133">
        <f>'Main Page'!B84</f>
        <v>0.58250000000000002</v>
      </c>
      <c r="K11" s="133">
        <f>'Main Page'!B85</f>
        <v>0</v>
      </c>
      <c r="L11" s="133">
        <f>'Main Page'!B86</f>
        <v>0</v>
      </c>
      <c r="M11" s="161">
        <f>0.0000486*C1^5.333</f>
        <v>55878.315104796013</v>
      </c>
      <c r="N11" s="161">
        <f>M11/2/('Main Page'!B79^2)+I11*C11^2/12</f>
        <v>124.91707128294681</v>
      </c>
      <c r="O11" s="161">
        <f>N11</f>
        <v>124.91707128294681</v>
      </c>
      <c r="P11" s="161">
        <f>$I11*((K11-K$16)^2+(L11-L$16)^2)</f>
        <v>0</v>
      </c>
      <c r="Q11" s="161">
        <f>$I11*((L11-L$16)^2+(J11-J$16)^2)</f>
        <v>1.4492378163894524</v>
      </c>
      <c r="R11" s="161">
        <f>$I11*((J11-J$16)^2+(K11-K$16)^2)</f>
        <v>1.4492378163894524</v>
      </c>
      <c r="S11" s="113" t="s">
        <v>211</v>
      </c>
      <c r="T11" s="114"/>
      <c r="V11" s="120"/>
      <c r="W11" s="116"/>
      <c r="X11" s="113"/>
      <c r="Y11" s="119"/>
    </row>
    <row r="12" spans="1:25" ht="12.75">
      <c r="A12" s="113"/>
      <c r="B12" s="165" t="s">
        <v>256</v>
      </c>
      <c r="C12" s="132">
        <v>2.5000000000000001E-2</v>
      </c>
      <c r="D12" s="132"/>
      <c r="E12" s="132">
        <f>1.5*E7</f>
        <v>0.60000000000000009</v>
      </c>
      <c r="F12" s="132"/>
      <c r="G12" s="132"/>
      <c r="H12" s="170">
        <v>7850</v>
      </c>
      <c r="I12" s="140">
        <f>1.5*0.025*1000*'Main Page'!B83/0.10472/C2</f>
        <v>149.20741023682203</v>
      </c>
      <c r="J12" s="133">
        <f>0.5*(J10+J11)</f>
        <v>0.29125000000000001</v>
      </c>
      <c r="K12" s="133">
        <f>0.5*(K10+K11)</f>
        <v>0</v>
      </c>
      <c r="L12" s="133">
        <f>0.5*(L10+L11)</f>
        <v>0</v>
      </c>
      <c r="M12" s="161">
        <f>0.25*C12*PI()*H12*E12^2*'Main Page'!B79^2*E12^2/8</f>
        <v>9857.6705135843258</v>
      </c>
      <c r="N12" s="161">
        <f>I12*(3*E12^2/4+C12^2)/12</f>
        <v>3.3649379496116638</v>
      </c>
      <c r="O12" s="161">
        <f>I12*(3*E12^2/4+C12^2)/12</f>
        <v>3.3649379496116638</v>
      </c>
      <c r="P12" s="161">
        <f>$I12*((K12-K$16)^2+(L12-L$16)^2)</f>
        <v>0</v>
      </c>
      <c r="Q12" s="161">
        <f>$I12*((L12-L$16)^2+(J12-J$16)^2)</f>
        <v>9.5380754443470401</v>
      </c>
      <c r="R12" s="161">
        <f>$I12*((J12-J$16)^2+(K12-K$16)^2)</f>
        <v>9.5380754443470401</v>
      </c>
      <c r="S12" s="113" t="s">
        <v>211</v>
      </c>
      <c r="T12" s="114"/>
      <c r="V12" s="120"/>
      <c r="W12" s="113"/>
      <c r="X12" s="113"/>
      <c r="Y12" s="119"/>
    </row>
    <row r="13" spans="1:25" ht="12.75">
      <c r="A13" s="113"/>
      <c r="B13" s="165"/>
      <c r="C13" s="132"/>
      <c r="D13" s="132"/>
      <c r="E13" s="132"/>
      <c r="F13" s="132"/>
      <c r="G13" s="132"/>
      <c r="H13" s="139"/>
      <c r="I13" s="140"/>
      <c r="J13" s="133"/>
      <c r="K13" s="133"/>
      <c r="L13" s="133"/>
      <c r="M13" s="159" t="s">
        <v>208</v>
      </c>
      <c r="N13" s="159" t="s">
        <v>209</v>
      </c>
      <c r="O13" s="159" t="s">
        <v>212</v>
      </c>
      <c r="P13" s="159"/>
      <c r="Q13" s="159"/>
      <c r="R13" s="159"/>
      <c r="S13" s="113"/>
      <c r="T13" s="114"/>
      <c r="V13" s="120"/>
      <c r="W13" s="113"/>
      <c r="X13" s="113"/>
      <c r="Y13" s="119"/>
    </row>
    <row r="14" spans="1:25" ht="12.75">
      <c r="A14" s="113"/>
      <c r="B14" s="165"/>
      <c r="C14" s="132"/>
      <c r="D14" s="132"/>
      <c r="E14" s="132"/>
      <c r="F14" s="132"/>
      <c r="G14" s="132"/>
      <c r="H14" s="142" t="s">
        <v>205</v>
      </c>
      <c r="I14" s="137">
        <f>I5+I6</f>
        <v>6573.9348557027251</v>
      </c>
      <c r="J14" s="133">
        <f>SUMPRODUCT($I5:$I6,J5:J6)/SUM($I5:$I6)</f>
        <v>-2.33</v>
      </c>
      <c r="K14" s="133">
        <f>SUMPRODUCT($I5:$I6,K5:K6)/SUM($I5:$I6)</f>
        <v>0</v>
      </c>
      <c r="L14" s="133">
        <f>SUMPRODUCT($I5:$I6,L5:L6)/SUM($I5:$I6)</f>
        <v>0</v>
      </c>
      <c r="M14" s="162">
        <f>M5+M6+P5+P6</f>
        <v>7485.1732085651756</v>
      </c>
      <c r="N14" s="162">
        <f>N5+N6+Q5+Q6</f>
        <v>7485.1732085651756</v>
      </c>
      <c r="O14" s="162">
        <f>O5+O6+R5+R6</f>
        <v>7485.1732085651756</v>
      </c>
      <c r="P14" s="113"/>
      <c r="Q14" s="113"/>
      <c r="R14" s="113"/>
      <c r="S14" s="113"/>
      <c r="T14" s="114"/>
      <c r="V14" s="120"/>
      <c r="W14" s="113"/>
      <c r="X14" s="113"/>
      <c r="Y14" s="119"/>
    </row>
    <row r="15" spans="1:25" ht="12.75">
      <c r="A15" s="113"/>
      <c r="B15" s="165"/>
      <c r="C15" s="132"/>
      <c r="D15" s="132"/>
      <c r="E15" s="132"/>
      <c r="F15" s="132"/>
      <c r="G15" s="132"/>
      <c r="H15" s="114" t="s">
        <v>203</v>
      </c>
      <c r="I15" s="143">
        <f>SUM(I7:I10)</f>
        <v>4238.8965977950375</v>
      </c>
      <c r="J15" s="133">
        <f>SUMPRODUCT($I7:$I10,J7:J10)/SUM($I7:$I10)</f>
        <v>-0.46437800200458612</v>
      </c>
      <c r="K15" s="133">
        <f>SUMPRODUCT($I7:$I10,K7:K10)/SUM($I7:$I10)</f>
        <v>0</v>
      </c>
      <c r="L15" s="133">
        <f>SUMPRODUCT($I7:$I10,L7:L10)/SUM($I7:$I10)</f>
        <v>0</v>
      </c>
      <c r="M15" s="161">
        <f>SUM(M7:M10,P7:P10)</f>
        <v>152.98048271744582</v>
      </c>
      <c r="N15" s="161">
        <f>SUM(N7:N10,Q7:Q10)</f>
        <v>1751.6710645266089</v>
      </c>
      <c r="O15" s="161">
        <f>SUM(O7:O10,R7:R10)</f>
        <v>1751.6710645266089</v>
      </c>
      <c r="P15" s="113"/>
      <c r="Q15" s="113"/>
      <c r="R15" s="113"/>
      <c r="S15" s="113"/>
      <c r="T15" s="114"/>
      <c r="V15" s="120"/>
      <c r="W15" s="113"/>
      <c r="X15" s="113"/>
      <c r="Y15" s="119"/>
    </row>
    <row r="16" spans="1:25" ht="12.75">
      <c r="A16" s="113"/>
      <c r="B16" s="166"/>
      <c r="C16" s="113"/>
      <c r="D16" s="113"/>
      <c r="E16" s="113"/>
      <c r="F16" s="113"/>
      <c r="G16" s="121"/>
      <c r="H16" s="114" t="s">
        <v>204</v>
      </c>
      <c r="I16" s="137">
        <f>SUM(I11:I12)</f>
        <v>1131.2074102368219</v>
      </c>
      <c r="J16" s="133">
        <f>SUMPRODUCT($I11:$I12,J11:J12)/SUM($I11:$I12)</f>
        <v>0.54408382818374879</v>
      </c>
      <c r="K16" s="133">
        <f>SUMPRODUCT($I11:$I12,K11:K12)/SUM($I11:$I12)</f>
        <v>0</v>
      </c>
      <c r="L16" s="133">
        <f>SUMPRODUCT($I11:$I12,L11:L12)/SUM($I11:$I12)</f>
        <v>0</v>
      </c>
      <c r="M16" s="161">
        <f>SUM(M11:M12,P11:P12)</f>
        <v>65735.985618380335</v>
      </c>
      <c r="N16" s="161">
        <f>SUM(N11:N12,Q11:Q12)</f>
        <v>139.26932249329496</v>
      </c>
      <c r="O16" s="161">
        <f>SUM(O11:O12,R11:R12)</f>
        <v>139.26932249329496</v>
      </c>
      <c r="P16" s="113"/>
      <c r="Q16" s="113"/>
      <c r="R16" s="113"/>
      <c r="S16" s="113"/>
      <c r="T16" s="114"/>
      <c r="U16" s="120"/>
      <c r="V16" s="120"/>
      <c r="W16" s="113"/>
      <c r="X16" s="113"/>
      <c r="Y16" s="113"/>
    </row>
    <row r="17" spans="1:25" ht="12.75">
      <c r="A17" s="113"/>
      <c r="B17" s="166"/>
      <c r="C17" s="113"/>
      <c r="D17" s="113"/>
      <c r="E17" s="113"/>
      <c r="F17" s="113"/>
      <c r="G17" s="121"/>
      <c r="H17" s="114" t="s">
        <v>202</v>
      </c>
      <c r="I17" s="137">
        <f>SUM(I14:I16)</f>
        <v>11944.038863734584</v>
      </c>
      <c r="J17" s="133">
        <f>SUMPRODUCT($I14:$I16,J14:J16)/SUM($I14:$I16)</f>
        <v>-1.395695968384653</v>
      </c>
      <c r="K17" s="133">
        <f>SUMPRODUCT($I14:$I16,K14:K16)/SUM($I14:$I16)</f>
        <v>0</v>
      </c>
      <c r="L17" s="133">
        <f>SUMPRODUCT($I14:$I16,L14:L16)/SUM($I14:$I16)</f>
        <v>0</v>
      </c>
      <c r="M17" s="113"/>
      <c r="N17" s="113"/>
      <c r="O17" s="113"/>
      <c r="P17" s="113"/>
      <c r="Q17" s="113"/>
      <c r="R17" s="113"/>
      <c r="S17" s="113"/>
      <c r="T17" s="114"/>
      <c r="U17" s="120"/>
      <c r="V17" s="120"/>
      <c r="W17" s="113"/>
      <c r="X17" s="113"/>
      <c r="Y17" s="113"/>
    </row>
    <row r="18" spans="1:25" ht="12.75">
      <c r="A18" s="113"/>
      <c r="B18" s="166"/>
      <c r="C18" s="113"/>
      <c r="D18" s="113"/>
      <c r="E18" s="113"/>
      <c r="F18" s="113"/>
      <c r="G18" s="121"/>
      <c r="H18" s="114"/>
      <c r="I18" s="137"/>
      <c r="J18" s="133"/>
      <c r="K18" s="133"/>
      <c r="L18" s="133"/>
      <c r="M18" s="113"/>
      <c r="N18" s="113"/>
      <c r="O18" s="113"/>
      <c r="P18" s="113"/>
      <c r="Q18" s="113"/>
      <c r="R18" s="113"/>
      <c r="S18" s="113"/>
      <c r="T18" s="114"/>
      <c r="U18" s="120"/>
      <c r="V18" s="120"/>
      <c r="W18" s="113"/>
      <c r="X18" s="113"/>
      <c r="Y18" s="113"/>
    </row>
    <row r="19" spans="1:25" ht="12.75">
      <c r="A19" s="113"/>
      <c r="B19" s="166"/>
      <c r="C19" s="113"/>
      <c r="D19" s="373" t="s">
        <v>240</v>
      </c>
      <c r="E19" s="373"/>
      <c r="F19" s="373"/>
      <c r="G19" s="373"/>
      <c r="H19" s="113"/>
      <c r="I19" s="113"/>
      <c r="J19" s="122"/>
      <c r="K19" s="122"/>
      <c r="L19" s="122"/>
      <c r="M19" s="113"/>
      <c r="N19" s="113"/>
      <c r="O19" s="113"/>
      <c r="P19" s="113"/>
      <c r="Q19" s="113"/>
      <c r="R19" s="113"/>
      <c r="S19" s="113"/>
      <c r="T19" s="114"/>
      <c r="U19" s="113"/>
      <c r="V19" s="113"/>
      <c r="W19" s="113"/>
      <c r="X19" s="113"/>
      <c r="Y19" s="113"/>
    </row>
    <row r="20" spans="1:25" ht="38.25">
      <c r="A20" s="116"/>
      <c r="B20" s="164" t="s">
        <v>190</v>
      </c>
      <c r="C20" s="116" t="s">
        <v>174</v>
      </c>
      <c r="D20" s="116" t="s">
        <v>191</v>
      </c>
      <c r="E20" s="116" t="s">
        <v>192</v>
      </c>
      <c r="F20" s="116" t="s">
        <v>194</v>
      </c>
      <c r="G20" s="116" t="s">
        <v>193</v>
      </c>
      <c r="H20" s="116"/>
      <c r="I20" s="116"/>
      <c r="J20" s="123"/>
      <c r="K20" s="123"/>
      <c r="L20" s="123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</row>
    <row r="21" spans="1:25" ht="12.75">
      <c r="A21" s="113"/>
      <c r="B21" s="165" t="s">
        <v>163</v>
      </c>
      <c r="C21" s="133">
        <f>'Main Page'!B89</f>
        <v>1.631</v>
      </c>
      <c r="D21" s="133">
        <f>'Main Page'!B90</f>
        <v>1.7475000000000001</v>
      </c>
      <c r="E21" s="133">
        <f>'Main Page'!B91</f>
        <v>0.74560000000000004</v>
      </c>
      <c r="F21" s="133">
        <f>'Main Page'!B92</f>
        <v>0.13</v>
      </c>
      <c r="G21" s="133">
        <f>'Main Page'!B93</f>
        <v>0.13</v>
      </c>
      <c r="H21" s="137">
        <f>'Main Page'!B94</f>
        <v>7850</v>
      </c>
      <c r="I21" s="140">
        <f>1.5*H21*(0.00000042875*C1^3-(0.00030625*F21+0.00003675*D21+0.0000735*E21)*C1^2+(0.035*F21*D21+0.07*E21*F21)*C1)</f>
        <v>4631.2392328125006</v>
      </c>
      <c r="J21" s="133">
        <f>'Main Page'!B95</f>
        <v>0</v>
      </c>
      <c r="K21" s="133">
        <f>'Main Page'!B96</f>
        <v>0</v>
      </c>
      <c r="L21" s="133">
        <f>'Main Page'!B97</f>
        <v>-0.56850000000000001</v>
      </c>
      <c r="M21" s="161">
        <f>I21*(E21^2+D21^2)/8</f>
        <v>2089.6589128447995</v>
      </c>
      <c r="N21" s="161">
        <f>I21*(E21^2+D21^2+4*C21^2/3)/16</f>
        <v>2071.4829554888775</v>
      </c>
      <c r="O21" s="161">
        <f>I21*(E21^2+D21^2+4*C21^2/3)/16</f>
        <v>2071.4829554888775</v>
      </c>
      <c r="P21" s="161">
        <f>$I21*((K21-K$30)^2+(L21-L$30)^2)</f>
        <v>739.19068810733586</v>
      </c>
      <c r="Q21" s="161">
        <f>$I21*((L21-L$30)^2+(J21-J$30)^2)</f>
        <v>739.37024440071957</v>
      </c>
      <c r="R21" s="161">
        <f>$I21*((J21-J$30)^2+(K21-K$30)^2)</f>
        <v>0.17955629338370821</v>
      </c>
      <c r="S21" s="113"/>
      <c r="T21" s="114"/>
      <c r="V21" s="118"/>
      <c r="W21" s="113"/>
      <c r="X21" s="113"/>
      <c r="Y21" s="113"/>
    </row>
    <row r="22" spans="1:25" ht="12.75">
      <c r="A22" s="113"/>
      <c r="B22" s="165" t="s">
        <v>195</v>
      </c>
      <c r="C22" s="133"/>
      <c r="E22" s="134">
        <f>1.5*D8</f>
        <v>0.60000000000000009</v>
      </c>
      <c r="F22" s="134"/>
      <c r="G22" s="137"/>
      <c r="H22" s="134"/>
      <c r="I22" s="141">
        <f>0.00006744*(1000*E7)^2.64</f>
        <v>499.29353040602069</v>
      </c>
      <c r="J22" s="133">
        <f t="shared" ref="J22:L25" si="0">J8</f>
        <v>-1.631</v>
      </c>
      <c r="K22" s="133">
        <f t="shared" si="0"/>
        <v>0</v>
      </c>
      <c r="L22" s="133">
        <f t="shared" si="0"/>
        <v>0</v>
      </c>
      <c r="M22" s="161">
        <f>I22*E22^2/4</f>
        <v>44.936417736541877</v>
      </c>
      <c r="N22" s="161">
        <f>M22/2</f>
        <v>22.468208868270938</v>
      </c>
      <c r="O22" s="161">
        <f>M22/2</f>
        <v>22.468208868270938</v>
      </c>
      <c r="P22" s="161">
        <f t="shared" ref="P22:P28" si="1">$I22*((K22-K$30)^2+(L22-L$30)^2)</f>
        <v>14.25832738556937</v>
      </c>
      <c r="Q22" s="161">
        <f t="shared" ref="Q22:Q28" si="2">$I22*((L22-L$30)^2+(J22-J$30)^2)</f>
        <v>1352.6201151454645</v>
      </c>
      <c r="R22" s="161">
        <f t="shared" ref="R22:R28" si="3">$I22*((J22-J$30)^2+(K22-K$30)^2)</f>
        <v>1338.3617877598952</v>
      </c>
      <c r="S22" s="113"/>
      <c r="T22" s="114"/>
      <c r="V22" s="118"/>
      <c r="W22" s="113"/>
      <c r="X22" s="113"/>
      <c r="Y22" s="119"/>
    </row>
    <row r="23" spans="1:25" ht="12.75">
      <c r="A23" s="113"/>
      <c r="B23" s="165" t="s">
        <v>196</v>
      </c>
      <c r="C23" s="133"/>
      <c r="E23" s="134">
        <f>1.5*D9</f>
        <v>0.60000000000000009</v>
      </c>
      <c r="F23" s="134"/>
      <c r="G23" s="137"/>
      <c r="H23" s="134"/>
      <c r="I23" s="141">
        <f>0.00006744*(1000*E7)^2.64</f>
        <v>499.29353040602069</v>
      </c>
      <c r="J23" s="133">
        <f t="shared" si="0"/>
        <v>-0.46600000000000003</v>
      </c>
      <c r="K23" s="133">
        <f t="shared" si="0"/>
        <v>0</v>
      </c>
      <c r="L23" s="133">
        <f t="shared" si="0"/>
        <v>0</v>
      </c>
      <c r="M23" s="161">
        <f>I23*E23^2/4</f>
        <v>44.936417736541877</v>
      </c>
      <c r="N23" s="161">
        <f>M23/2</f>
        <v>22.468208868270938</v>
      </c>
      <c r="O23" s="161">
        <f>M23/2</f>
        <v>22.468208868270938</v>
      </c>
      <c r="P23" s="161">
        <f t="shared" si="1"/>
        <v>14.25832738556937</v>
      </c>
      <c r="Q23" s="161">
        <f t="shared" si="2"/>
        <v>125.59977198741109</v>
      </c>
      <c r="R23" s="161">
        <f t="shared" si="3"/>
        <v>111.34144460184173</v>
      </c>
      <c r="S23" s="113"/>
      <c r="T23" s="113"/>
      <c r="U23" s="113"/>
      <c r="V23" s="113"/>
      <c r="W23" s="113"/>
      <c r="X23" s="113"/>
      <c r="Y23" s="113"/>
    </row>
    <row r="24" spans="1:25" ht="12.75">
      <c r="A24" s="113"/>
      <c r="B24" s="165" t="s">
        <v>197</v>
      </c>
      <c r="C24" s="133">
        <f>0.012*C1</f>
        <v>0.6</v>
      </c>
      <c r="D24" s="133">
        <f>0.75*E24</f>
        <v>0.5625</v>
      </c>
      <c r="E24" s="133">
        <f>0.015*C1</f>
        <v>0.75</v>
      </c>
      <c r="F24" s="130"/>
      <c r="G24" s="131"/>
      <c r="H24" s="130"/>
      <c r="I24" s="141">
        <f>'Main Page'!B73/2</f>
        <v>2361.5</v>
      </c>
      <c r="J24" s="133">
        <f t="shared" si="0"/>
        <v>0</v>
      </c>
      <c r="K24" s="133">
        <f t="shared" si="0"/>
        <v>0</v>
      </c>
      <c r="L24" s="133">
        <f t="shared" si="0"/>
        <v>0</v>
      </c>
      <c r="M24" s="161">
        <f>I24*(D24^2+E24^2)/8</f>
        <v>259.442138671875</v>
      </c>
      <c r="N24" s="161">
        <f>I24*(D24^2+E24^2+4*C24^2/3)/16</f>
        <v>200.5660693359375</v>
      </c>
      <c r="O24" s="161">
        <f>I24*(E24^2+D24^2+4*C24^2/3)/16</f>
        <v>200.5660693359375</v>
      </c>
      <c r="P24" s="161">
        <f t="shared" si="1"/>
        <v>67.437365137980265</v>
      </c>
      <c r="Q24" s="161">
        <f t="shared" si="2"/>
        <v>67.528922098333638</v>
      </c>
      <c r="R24" s="161">
        <f t="shared" si="3"/>
        <v>9.1556960353378875E-2</v>
      </c>
      <c r="S24" s="113"/>
      <c r="T24" s="113"/>
      <c r="U24" s="113"/>
      <c r="V24" s="113"/>
      <c r="W24" s="113"/>
      <c r="X24" s="113"/>
      <c r="Y24" s="113"/>
    </row>
    <row r="25" spans="1:25" ht="12.75">
      <c r="A25" s="113"/>
      <c r="B25" s="165" t="s">
        <v>198</v>
      </c>
      <c r="C25" s="133">
        <f>C11</f>
        <v>1.2</v>
      </c>
      <c r="D25" s="133">
        <f>0.5*E25</f>
        <v>0.375</v>
      </c>
      <c r="E25" s="133">
        <f>0.015*C1</f>
        <v>0.75</v>
      </c>
      <c r="F25" s="130"/>
      <c r="G25" s="131"/>
      <c r="H25" s="130"/>
      <c r="I25" s="140">
        <f>2*(3.3*'Main Page'!B83+471)/3</f>
        <v>1964</v>
      </c>
      <c r="J25" s="133">
        <f t="shared" si="0"/>
        <v>0.58250000000000002</v>
      </c>
      <c r="K25" s="133">
        <f t="shared" si="0"/>
        <v>0</v>
      </c>
      <c r="L25" s="133">
        <f t="shared" si="0"/>
        <v>0</v>
      </c>
      <c r="M25" s="161">
        <f>I25*(D25^2+E25^2)/8</f>
        <v>172.6171875</v>
      </c>
      <c r="N25" s="161">
        <f>I25*(D25^2+E25^2+4*C25^2/3)/16</f>
        <v>321.98859375000001</v>
      </c>
      <c r="O25" s="161">
        <f>I25*(E25^2+D25^2+4*C25^2/3)/16</f>
        <v>321.98859375000001</v>
      </c>
      <c r="P25" s="161">
        <f t="shared" si="1"/>
        <v>56.08595601566514</v>
      </c>
      <c r="Q25" s="161">
        <f t="shared" si="2"/>
        <v>708.31271793756434</v>
      </c>
      <c r="R25" s="161">
        <f t="shared" si="3"/>
        <v>652.2267619218992</v>
      </c>
      <c r="S25" s="113"/>
      <c r="T25" s="113"/>
      <c r="U25" s="113"/>
      <c r="V25" s="113"/>
      <c r="W25" s="113"/>
      <c r="X25" s="113"/>
      <c r="Y25" s="113"/>
    </row>
    <row r="26" spans="1:25" ht="12.75">
      <c r="A26" s="113"/>
      <c r="B26" s="165" t="s">
        <v>199</v>
      </c>
      <c r="C26" s="133">
        <f>2*C21</f>
        <v>3.262</v>
      </c>
      <c r="D26" s="133">
        <f>E21</f>
        <v>0.74560000000000004</v>
      </c>
      <c r="E26" s="133">
        <f>D21</f>
        <v>1.7475000000000001</v>
      </c>
      <c r="F26" s="134"/>
      <c r="G26" s="137"/>
      <c r="H26" s="134"/>
      <c r="I26" s="141">
        <f>84.1*2*C26^2</f>
        <v>1789.7563207999999</v>
      </c>
      <c r="J26" s="133">
        <f>J21</f>
        <v>0</v>
      </c>
      <c r="K26" s="133">
        <f>K21</f>
        <v>0</v>
      </c>
      <c r="L26" s="133">
        <v>0</v>
      </c>
      <c r="M26" s="161">
        <f>I26*(E26^2+D26^2)/8</f>
        <v>807.55496737938688</v>
      </c>
      <c r="N26" s="161">
        <f>I26*(E26^2+D26^2+4*C26^2/3)/16</f>
        <v>1990.7908050549097</v>
      </c>
      <c r="O26" s="161">
        <f>I26*(E26^2+D26^2+4*C26^2/3)/16</f>
        <v>1990.7908050549097</v>
      </c>
      <c r="P26" s="161">
        <f t="shared" si="1"/>
        <v>51.110078557610727</v>
      </c>
      <c r="Q26" s="161">
        <f t="shared" si="2"/>
        <v>51.179468626848795</v>
      </c>
      <c r="R26" s="161">
        <f t="shared" si="3"/>
        <v>6.9390069238066843E-2</v>
      </c>
      <c r="S26" s="113"/>
      <c r="T26" s="114"/>
      <c r="V26" s="118"/>
      <c r="W26" s="113"/>
      <c r="X26" s="113"/>
      <c r="Y26" s="113"/>
    </row>
    <row r="27" spans="1:25" ht="12.75">
      <c r="A27" s="113"/>
      <c r="B27" s="165" t="s">
        <v>200</v>
      </c>
      <c r="C27" s="130"/>
      <c r="D27" s="130"/>
      <c r="E27" s="130"/>
      <c r="F27" s="130"/>
      <c r="G27" s="130"/>
      <c r="H27" s="130"/>
      <c r="I27" s="140">
        <f>2.6*'Main Page'!B83+0.002168*C1^3.4</f>
        <v>3245.8576372154985</v>
      </c>
      <c r="J27" s="133">
        <v>0</v>
      </c>
      <c r="K27" s="133">
        <v>0</v>
      </c>
      <c r="L27" s="133">
        <v>0</v>
      </c>
      <c r="M27" s="161">
        <v>0</v>
      </c>
      <c r="N27" s="161">
        <v>0</v>
      </c>
      <c r="O27" s="161">
        <v>0</v>
      </c>
      <c r="P27" s="161">
        <f t="shared" si="1"/>
        <v>92.691969793268441</v>
      </c>
      <c r="Q27" s="161">
        <f t="shared" si="2"/>
        <v>92.817813900405127</v>
      </c>
      <c r="R27" s="161">
        <f t="shared" si="3"/>
        <v>0.12584410713667221</v>
      </c>
      <c r="S27" s="113"/>
      <c r="T27" s="114"/>
      <c r="V27" s="118"/>
      <c r="W27" s="113"/>
      <c r="X27" s="113"/>
      <c r="Y27" s="113"/>
    </row>
    <row r="28" spans="1:25" ht="12.75">
      <c r="A28" s="113"/>
      <c r="B28" s="165" t="s">
        <v>201</v>
      </c>
      <c r="C28" s="130"/>
      <c r="D28" s="130"/>
      <c r="E28" s="130"/>
      <c r="F28" s="130"/>
      <c r="G28" s="130"/>
      <c r="H28" s="130"/>
      <c r="I28" s="140">
        <f>0.2*(I11+I25)</f>
        <v>589.20000000000005</v>
      </c>
      <c r="J28" s="133">
        <v>0</v>
      </c>
      <c r="K28" s="133">
        <v>0</v>
      </c>
      <c r="L28" s="133">
        <v>0</v>
      </c>
      <c r="M28" s="161">
        <v>0</v>
      </c>
      <c r="N28" s="161">
        <v>0</v>
      </c>
      <c r="O28" s="161">
        <v>0</v>
      </c>
      <c r="P28" s="161">
        <f t="shared" si="1"/>
        <v>16.825786804699543</v>
      </c>
      <c r="Q28" s="161">
        <f t="shared" si="2"/>
        <v>16.84863048923912</v>
      </c>
      <c r="R28" s="161">
        <f t="shared" si="3"/>
        <v>2.2843684539576893E-2</v>
      </c>
      <c r="S28" s="113"/>
      <c r="T28" s="114"/>
      <c r="V28" s="118"/>
      <c r="W28" s="113"/>
      <c r="X28" s="113"/>
      <c r="Y28" s="113"/>
    </row>
    <row r="29" spans="1:25" ht="12.75">
      <c r="A29" s="113"/>
      <c r="B29" s="166"/>
      <c r="C29" s="113"/>
      <c r="D29" s="113"/>
      <c r="E29" s="113"/>
      <c r="F29" s="113"/>
      <c r="G29" s="113"/>
      <c r="H29" s="113"/>
      <c r="I29" s="113"/>
      <c r="J29" s="122"/>
      <c r="K29" s="122"/>
      <c r="L29" s="122"/>
      <c r="M29" s="159" t="s">
        <v>208</v>
      </c>
      <c r="N29" s="159" t="s">
        <v>209</v>
      </c>
      <c r="O29" s="159" t="s">
        <v>212</v>
      </c>
      <c r="P29" s="113"/>
      <c r="Q29" s="113"/>
      <c r="R29" s="113"/>
      <c r="S29" s="113"/>
      <c r="T29" s="113"/>
      <c r="U29" s="113"/>
      <c r="V29" s="113"/>
      <c r="W29" s="113"/>
      <c r="X29" s="113"/>
      <c r="Y29" s="113"/>
    </row>
    <row r="30" spans="1:25" ht="12.75">
      <c r="A30" s="113"/>
      <c r="B30" s="165"/>
      <c r="C30" s="113"/>
      <c r="D30" s="113"/>
      <c r="E30" s="113"/>
      <c r="F30" s="113"/>
      <c r="G30" s="113"/>
      <c r="H30" s="114" t="s">
        <v>206</v>
      </c>
      <c r="I30" s="137">
        <f>SUM(I21:I28)</f>
        <v>15580.140251640041</v>
      </c>
      <c r="J30" s="133">
        <f>SUMPRODUCT($I21:$I28,J21:J28)/SUM($I21:$I28)</f>
        <v>6.2266106191414261E-3</v>
      </c>
      <c r="K30" s="133">
        <f>SUMPRODUCT($I21:$I28,K21:K28)/SUM($I21:$I28)</f>
        <v>0</v>
      </c>
      <c r="L30" s="133">
        <f>SUMPRODUCT($I21:$I28,L21:L28)/SUM($I21:$I28)</f>
        <v>-0.16898817734177707</v>
      </c>
      <c r="M30" s="161">
        <f>SUM(M21:M28,P21:P28)</f>
        <v>4471.0045410568418</v>
      </c>
      <c r="N30" s="161">
        <f>SUM(N21:N28,Q21:Q28)</f>
        <v>7784.0425259522517</v>
      </c>
      <c r="O30" s="161">
        <f>SUM(O21:O28,R21:R28)</f>
        <v>6732.184026764553</v>
      </c>
      <c r="P30" s="113"/>
      <c r="Q30" s="113"/>
      <c r="R30" s="113"/>
      <c r="S30" s="113"/>
      <c r="T30" s="113"/>
      <c r="U30" s="113"/>
      <c r="V30" s="113"/>
      <c r="W30" s="113"/>
      <c r="X30" s="113"/>
      <c r="Y30" s="113"/>
    </row>
    <row r="31" spans="1:25" ht="12.75">
      <c r="A31" s="113"/>
      <c r="B31" s="165"/>
      <c r="C31" s="113"/>
      <c r="D31" s="113"/>
      <c r="E31" s="113"/>
      <c r="F31" s="113"/>
      <c r="G31" s="113"/>
      <c r="H31" s="114" t="s">
        <v>306</v>
      </c>
      <c r="I31" s="137">
        <f>SUM(I17,I30)</f>
        <v>27524.179115374624</v>
      </c>
      <c r="J31" s="133">
        <f>($I17*J17+$I30*J30)/($I17+$I30)</f>
        <v>-0.60213368588158256</v>
      </c>
      <c r="K31" s="133">
        <f>($I17*K17+$I30*K30)/($I17+$I30)</f>
        <v>0</v>
      </c>
      <c r="L31" s="133">
        <f>($I17*L17+$I30*L30)/($I17+$I30)</f>
        <v>-9.5656240748092938E-2</v>
      </c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</row>
    <row r="32" spans="1:25" ht="12.75">
      <c r="A32" s="113"/>
      <c r="B32" s="165"/>
      <c r="C32" s="113"/>
      <c r="D32" s="113"/>
      <c r="E32" s="113"/>
      <c r="F32" s="113"/>
      <c r="G32" s="113"/>
      <c r="H32" s="114"/>
      <c r="I32" s="137"/>
      <c r="J32" s="133"/>
      <c r="K32" s="133"/>
      <c r="L32" s="13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</row>
    <row r="33" spans="1:25" ht="12.75">
      <c r="A33" s="113"/>
      <c r="B33" s="165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</row>
    <row r="34" spans="1:25" s="113" customFormat="1" ht="12.75">
      <c r="B34" s="166"/>
    </row>
    <row r="35" spans="1:25" s="113" customFormat="1" ht="12.75">
      <c r="B35" s="165" t="s">
        <v>217</v>
      </c>
    </row>
    <row r="36" spans="1:25" s="113" customFormat="1" ht="12.75">
      <c r="B36" s="165" t="s">
        <v>218</v>
      </c>
      <c r="C36" s="152" t="s">
        <v>219</v>
      </c>
    </row>
    <row r="37" spans="1:25" s="113" customFormat="1" ht="12.75">
      <c r="B37" s="165" t="s">
        <v>220</v>
      </c>
      <c r="C37" s="113" t="s">
        <v>221</v>
      </c>
    </row>
    <row r="38" spans="1:25" s="113" customFormat="1" ht="12.75">
      <c r="B38" s="166"/>
    </row>
    <row r="39" spans="1:25" s="113" customFormat="1" ht="12.75">
      <c r="B39" s="165" t="s">
        <v>227</v>
      </c>
      <c r="C39" s="113" t="s">
        <v>228</v>
      </c>
    </row>
    <row r="40" spans="1:25" s="113" customFormat="1" ht="12.75">
      <c r="B40" s="165" t="s">
        <v>224</v>
      </c>
      <c r="C40" s="113" t="s">
        <v>225</v>
      </c>
    </row>
    <row r="41" spans="1:25" s="113" customFormat="1" ht="12.75">
      <c r="B41" s="165" t="s">
        <v>226</v>
      </c>
      <c r="C41" s="113" t="s">
        <v>229</v>
      </c>
    </row>
    <row r="42" spans="1:25" s="113" customFormat="1" ht="12.75">
      <c r="B42" s="167"/>
    </row>
    <row r="43" spans="1:25" s="113" customFormat="1" ht="12.75">
      <c r="B43" s="165" t="s">
        <v>230</v>
      </c>
      <c r="C43" s="113" t="s">
        <v>231</v>
      </c>
    </row>
    <row r="44" spans="1:25" s="113" customFormat="1" ht="12.75">
      <c r="B44" s="165" t="s">
        <v>232</v>
      </c>
      <c r="C44" s="113" t="s">
        <v>233</v>
      </c>
    </row>
    <row r="45" spans="1:25" s="113" customFormat="1" ht="12.75">
      <c r="B45" s="165" t="s">
        <v>276</v>
      </c>
      <c r="C45" s="113" t="s">
        <v>277</v>
      </c>
    </row>
    <row r="46" spans="1:25" s="113" customFormat="1" ht="12.75">
      <c r="B46" s="167"/>
    </row>
    <row r="47" spans="1:25" s="113" customFormat="1" ht="12.75">
      <c r="B47" s="165" t="s">
        <v>235</v>
      </c>
      <c r="C47" s="115" t="s">
        <v>236</v>
      </c>
    </row>
    <row r="48" spans="1:25" s="113" customFormat="1" ht="12.75">
      <c r="B48" s="165" t="s">
        <v>234</v>
      </c>
      <c r="C48" s="113" t="s">
        <v>237</v>
      </c>
    </row>
    <row r="49" spans="2:3" s="113" customFormat="1" ht="12.75">
      <c r="B49" s="165" t="s">
        <v>278</v>
      </c>
      <c r="C49" s="113" t="s">
        <v>279</v>
      </c>
    </row>
    <row r="50" spans="2:3" s="113" customFormat="1" ht="12.75">
      <c r="B50" s="165"/>
    </row>
    <row r="51" spans="2:3" s="113" customFormat="1" ht="12.75">
      <c r="B51" s="165"/>
    </row>
    <row r="52" spans="2:3" s="113" customFormat="1" ht="12.75">
      <c r="B52" s="165" t="s">
        <v>238</v>
      </c>
      <c r="C52" s="113" t="s">
        <v>242</v>
      </c>
    </row>
    <row r="53" spans="2:3" s="113" customFormat="1" ht="12.75">
      <c r="B53" s="165" t="s">
        <v>239</v>
      </c>
      <c r="C53" s="113" t="s">
        <v>243</v>
      </c>
    </row>
    <row r="54" spans="2:3" s="113" customFormat="1" ht="12.75">
      <c r="B54" s="165" t="s">
        <v>244</v>
      </c>
      <c r="C54" s="113" t="s">
        <v>245</v>
      </c>
    </row>
    <row r="55" spans="2:3" s="113" customFormat="1" ht="12.75">
      <c r="B55" s="165" t="s">
        <v>246</v>
      </c>
      <c r="C55" s="113" t="s">
        <v>247</v>
      </c>
    </row>
    <row r="56" spans="2:3" s="113" customFormat="1" ht="12.75">
      <c r="B56" s="165"/>
    </row>
    <row r="57" spans="2:3" s="113" customFormat="1" ht="12.75">
      <c r="B57" s="165" t="s">
        <v>253</v>
      </c>
      <c r="C57" s="113" t="s">
        <v>254</v>
      </c>
    </row>
    <row r="58" spans="2:3" s="113" customFormat="1" ht="12.75">
      <c r="B58" s="165" t="s">
        <v>248</v>
      </c>
      <c r="C58" s="113" t="s">
        <v>249</v>
      </c>
    </row>
    <row r="59" spans="2:3" s="113" customFormat="1" ht="12.75">
      <c r="B59" s="165" t="s">
        <v>250</v>
      </c>
      <c r="C59" s="113" t="s">
        <v>252</v>
      </c>
    </row>
    <row r="60" spans="2:3" s="113" customFormat="1" ht="12.75">
      <c r="B60" s="165" t="s">
        <v>251</v>
      </c>
      <c r="C60" s="113" t="s">
        <v>255</v>
      </c>
    </row>
    <row r="61" spans="2:3" s="113" customFormat="1" ht="12.75">
      <c r="B61" s="165"/>
    </row>
    <row r="62" spans="2:3" s="113" customFormat="1" ht="12.75">
      <c r="B62" s="165" t="s">
        <v>257</v>
      </c>
      <c r="C62" s="113" t="s">
        <v>262</v>
      </c>
    </row>
    <row r="63" spans="2:3" s="113" customFormat="1" ht="12.75">
      <c r="B63" s="165" t="s">
        <v>258</v>
      </c>
      <c r="C63" s="113" t="s">
        <v>263</v>
      </c>
    </row>
    <row r="64" spans="2:3" s="113" customFormat="1" ht="12.75">
      <c r="B64" s="165" t="s">
        <v>259</v>
      </c>
      <c r="C64" s="113" t="s">
        <v>264</v>
      </c>
    </row>
    <row r="65" spans="2:3" s="113" customFormat="1" ht="12.75">
      <c r="B65" s="165" t="s">
        <v>260</v>
      </c>
      <c r="C65" s="113" t="s">
        <v>265</v>
      </c>
    </row>
    <row r="66" spans="2:3" s="113" customFormat="1" ht="12.75">
      <c r="B66" s="165" t="s">
        <v>261</v>
      </c>
      <c r="C66" s="113" t="s">
        <v>266</v>
      </c>
    </row>
    <row r="67" spans="2:3" s="113" customFormat="1" ht="12.75">
      <c r="B67" s="165"/>
    </row>
    <row r="68" spans="2:3" s="113" customFormat="1" ht="12.75">
      <c r="B68" s="165" t="s">
        <v>267</v>
      </c>
      <c r="C68" s="113" t="s">
        <v>268</v>
      </c>
    </row>
    <row r="69" spans="2:3" s="113" customFormat="1" ht="12.75">
      <c r="B69" s="165" t="s">
        <v>269</v>
      </c>
      <c r="C69" s="113" t="s">
        <v>270</v>
      </c>
    </row>
    <row r="70" spans="2:3" s="113" customFormat="1" ht="12.75">
      <c r="B70" s="165"/>
    </row>
    <row r="71" spans="2:3" s="113" customFormat="1" ht="12.75">
      <c r="B71" s="165" t="s">
        <v>273</v>
      </c>
      <c r="C71" s="113" t="s">
        <v>274</v>
      </c>
    </row>
    <row r="72" spans="2:3" s="113" customFormat="1" ht="12.75">
      <c r="B72" s="165" t="s">
        <v>271</v>
      </c>
      <c r="C72" s="113" t="s">
        <v>272</v>
      </c>
    </row>
    <row r="73" spans="2:3" s="113" customFormat="1" ht="12.75">
      <c r="B73" s="165" t="s">
        <v>275</v>
      </c>
      <c r="C73" s="113" t="s">
        <v>280</v>
      </c>
    </row>
    <row r="74" spans="2:3" s="113" customFormat="1" ht="12.75">
      <c r="B74" s="165"/>
    </row>
    <row r="75" spans="2:3" s="113" customFormat="1" ht="12.75">
      <c r="B75" s="165" t="s">
        <v>282</v>
      </c>
      <c r="C75" s="113" t="s">
        <v>242</v>
      </c>
    </row>
    <row r="76" spans="2:3" s="113" customFormat="1" ht="12.75">
      <c r="B76" s="165" t="s">
        <v>281</v>
      </c>
      <c r="C76" s="113" t="s">
        <v>241</v>
      </c>
    </row>
    <row r="77" spans="2:3" s="113" customFormat="1" ht="12.75">
      <c r="B77" s="165" t="s">
        <v>283</v>
      </c>
      <c r="C77" s="113" t="s">
        <v>284</v>
      </c>
    </row>
    <row r="78" spans="2:3" s="113" customFormat="1" ht="12.75">
      <c r="B78" s="165" t="s">
        <v>285</v>
      </c>
      <c r="C78" s="113" t="s">
        <v>245</v>
      </c>
    </row>
    <row r="79" spans="2:3" s="113" customFormat="1" ht="12.75">
      <c r="B79" s="165" t="s">
        <v>286</v>
      </c>
      <c r="C79" s="113" t="s">
        <v>287</v>
      </c>
    </row>
    <row r="80" spans="2:3" s="113" customFormat="1" ht="12.75">
      <c r="B80" s="165"/>
    </row>
    <row r="81" spans="2:3" s="113" customFormat="1" ht="12.75">
      <c r="B81" s="165" t="s">
        <v>288</v>
      </c>
      <c r="C81" s="113" t="s">
        <v>254</v>
      </c>
    </row>
    <row r="82" spans="2:3" s="113" customFormat="1" ht="12.75">
      <c r="B82" s="165" t="s">
        <v>289</v>
      </c>
      <c r="C82" s="113" t="s">
        <v>241</v>
      </c>
    </row>
    <row r="83" spans="2:3" s="113" customFormat="1" ht="12.75">
      <c r="B83" s="165" t="s">
        <v>290</v>
      </c>
      <c r="C83" s="113" t="s">
        <v>293</v>
      </c>
    </row>
    <row r="84" spans="2:3" s="113" customFormat="1" ht="12.75">
      <c r="B84" s="165" t="s">
        <v>291</v>
      </c>
      <c r="C84" s="113" t="s">
        <v>294</v>
      </c>
    </row>
    <row r="85" spans="2:3" s="113" customFormat="1" ht="12.75">
      <c r="B85" s="165" t="s">
        <v>292</v>
      </c>
      <c r="C85" s="113" t="s">
        <v>287</v>
      </c>
    </row>
    <row r="86" spans="2:3" s="113" customFormat="1" ht="12.75">
      <c r="B86" s="165"/>
    </row>
    <row r="87" spans="2:3" s="113" customFormat="1" ht="12.75">
      <c r="B87" s="165" t="s">
        <v>295</v>
      </c>
      <c r="C87" s="113" t="s">
        <v>296</v>
      </c>
    </row>
    <row r="88" spans="2:3" s="113" customFormat="1" ht="12.75">
      <c r="B88" s="165" t="s">
        <v>297</v>
      </c>
      <c r="C88" s="113" t="s">
        <v>299</v>
      </c>
    </row>
    <row r="89" spans="2:3" s="113" customFormat="1" ht="12.75">
      <c r="B89" s="165" t="s">
        <v>298</v>
      </c>
      <c r="C89" s="113" t="s">
        <v>300</v>
      </c>
    </row>
    <row r="90" spans="2:3" s="113" customFormat="1" ht="12.75">
      <c r="B90" s="165" t="s">
        <v>301</v>
      </c>
      <c r="C90" s="113" t="s">
        <v>302</v>
      </c>
    </row>
    <row r="91" spans="2:3" s="113" customFormat="1" ht="12.75">
      <c r="B91" s="165" t="s">
        <v>303</v>
      </c>
      <c r="C91" s="113" t="s">
        <v>287</v>
      </c>
    </row>
    <row r="92" spans="2:3" s="113" customFormat="1" ht="12.75"/>
    <row r="93" spans="2:3" s="113" customFormat="1" ht="12.75">
      <c r="B93" s="165" t="s">
        <v>200</v>
      </c>
      <c r="C93" s="113" t="s">
        <v>305</v>
      </c>
    </row>
    <row r="94" spans="2:3" s="113" customFormat="1" ht="12.75">
      <c r="B94" s="165" t="s">
        <v>201</v>
      </c>
      <c r="C94" s="113" t="s">
        <v>304</v>
      </c>
    </row>
    <row r="95" spans="2:3" s="113" customFormat="1" ht="12.75">
      <c r="B95" s="166"/>
    </row>
    <row r="96" spans="2:3" ht="12.75">
      <c r="B96" s="165" t="s">
        <v>222</v>
      </c>
      <c r="C96" s="113" t="s">
        <v>223</v>
      </c>
    </row>
    <row r="97" spans="2:2">
      <c r="B97" s="169"/>
    </row>
    <row r="98" spans="2:2">
      <c r="B98" s="169"/>
    </row>
    <row r="99" spans="2:2">
      <c r="B99" s="169"/>
    </row>
    <row r="100" spans="2:2">
      <c r="B100" s="169"/>
    </row>
    <row r="101" spans="2:2">
      <c r="B101" s="169"/>
    </row>
    <row r="102" spans="2:2">
      <c r="B102" s="169"/>
    </row>
    <row r="103" spans="2:2">
      <c r="B103" s="169"/>
    </row>
    <row r="104" spans="2:2">
      <c r="B104" s="169"/>
    </row>
    <row r="105" spans="2:2">
      <c r="B105" s="169"/>
    </row>
    <row r="106" spans="2:2">
      <c r="B106" s="169"/>
    </row>
    <row r="107" spans="2:2">
      <c r="B107" s="169"/>
    </row>
    <row r="108" spans="2:2">
      <c r="B108" s="169"/>
    </row>
    <row r="109" spans="2:2">
      <c r="B109" s="168"/>
    </row>
    <row r="110" spans="2:2">
      <c r="B110" s="168"/>
    </row>
    <row r="111" spans="2:2">
      <c r="B111" s="163"/>
    </row>
    <row r="112" spans="2:2">
      <c r="B112" s="163"/>
    </row>
    <row r="113" spans="2:2">
      <c r="B113" s="163"/>
    </row>
    <row r="114" spans="2:2">
      <c r="B114" s="163"/>
    </row>
    <row r="115" spans="2:2">
      <c r="B115" s="163"/>
    </row>
    <row r="116" spans="2:2">
      <c r="B116" s="163"/>
    </row>
    <row r="117" spans="2:2">
      <c r="B117" s="163"/>
    </row>
    <row r="118" spans="2:2">
      <c r="B118" s="163"/>
    </row>
    <row r="119" spans="2:2">
      <c r="B119" s="163"/>
    </row>
    <row r="120" spans="2:2">
      <c r="B120" s="163"/>
    </row>
    <row r="121" spans="2:2">
      <c r="B121" s="163"/>
    </row>
    <row r="122" spans="2:2">
      <c r="B122" s="163"/>
    </row>
    <row r="123" spans="2:2">
      <c r="B123" s="163"/>
    </row>
    <row r="124" spans="2:2">
      <c r="B124" s="163"/>
    </row>
    <row r="125" spans="2:2">
      <c r="B125" s="163"/>
    </row>
    <row r="126" spans="2:2">
      <c r="B126" s="163"/>
    </row>
    <row r="127" spans="2:2">
      <c r="B127" s="163"/>
    </row>
    <row r="128" spans="2:2">
      <c r="B128" s="163"/>
    </row>
    <row r="129" spans="2:2">
      <c r="B129" s="163"/>
    </row>
    <row r="130" spans="2:2">
      <c r="B130" s="163"/>
    </row>
    <row r="131" spans="2:2">
      <c r="B131" s="163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Main Page</vt:lpstr>
      <vt:lpstr>Rotor_JR</vt:lpstr>
      <vt:lpstr>Nacelle_JR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2015-10-10T21:46:06Z</dcterms:modified>
</cp:coreProperties>
</file>