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 activeTab="3"/>
  </bookViews>
  <sheets>
    <sheet name="Main Page" sheetId="5" r:id="rId1"/>
    <sheet name="AD_JR" sheetId="13" r:id="rId2"/>
    <sheet name="Blades_JR" sheetId="9" r:id="rId3"/>
    <sheet name="Control_JR" sheetId="12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2" l="1"/>
  <c r="C17" i="12"/>
  <c r="C16" i="12"/>
  <c r="C8" i="12"/>
  <c r="C16" i="10" l="1"/>
  <c r="C6" i="11" l="1"/>
  <c r="C7" i="11"/>
  <c r="C8" i="11"/>
  <c r="C9" i="11"/>
  <c r="C10" i="11"/>
  <c r="C11" i="11"/>
  <c r="C12" i="11"/>
  <c r="C13" i="11"/>
  <c r="C14" i="11"/>
  <c r="C5" i="11"/>
  <c r="F38" i="13" l="1"/>
  <c r="F39" i="13"/>
  <c r="F40" i="13"/>
  <c r="F41" i="13"/>
  <c r="F42" i="13"/>
  <c r="F37" i="13"/>
  <c r="G38" i="13"/>
  <c r="G39" i="13"/>
  <c r="G40" i="13"/>
  <c r="G41" i="13"/>
  <c r="G42" i="13"/>
  <c r="G37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8" i="13"/>
  <c r="C38" i="13"/>
  <c r="C9" i="13" s="1"/>
  <c r="C39" i="13"/>
  <c r="C10" i="13" s="1"/>
  <c r="C40" i="13"/>
  <c r="C11" i="13" s="1"/>
  <c r="C41" i="13"/>
  <c r="C12" i="13" s="1"/>
  <c r="C42" i="13"/>
  <c r="C13" i="13" s="1"/>
  <c r="C43" i="13"/>
  <c r="C14" i="13" s="1"/>
  <c r="C44" i="13"/>
  <c r="C15" i="13" s="1"/>
  <c r="C45" i="13"/>
  <c r="C16" i="13" s="1"/>
  <c r="C46" i="13"/>
  <c r="C17" i="13" s="1"/>
  <c r="C47" i="13"/>
  <c r="C18" i="13" s="1"/>
  <c r="C48" i="13"/>
  <c r="C19" i="13" s="1"/>
  <c r="C49" i="13"/>
  <c r="C20" i="13" s="1"/>
  <c r="C50" i="13"/>
  <c r="C21" i="13" s="1"/>
  <c r="C51" i="13"/>
  <c r="C22" i="13" s="1"/>
  <c r="C37" i="13"/>
  <c r="C8" i="13" s="1"/>
  <c r="C5" i="13"/>
  <c r="D5" i="13"/>
  <c r="E5" i="13"/>
  <c r="F5" i="13"/>
  <c r="C3" i="13"/>
  <c r="Q28" i="6"/>
  <c r="A15" i="7"/>
  <c r="B16" i="7"/>
  <c r="A16" i="7" s="1"/>
  <c r="C20" i="10"/>
  <c r="C8" i="10"/>
  <c r="C15" i="12"/>
  <c r="C11" i="12"/>
  <c r="C13" i="12"/>
  <c r="C12" i="12"/>
  <c r="C10" i="12"/>
  <c r="C9" i="12"/>
  <c r="C4" i="12"/>
  <c r="C9" i="10"/>
  <c r="C10" i="10"/>
  <c r="C7" i="10"/>
  <c r="C14" i="12" l="1"/>
  <c r="C4" i="9" l="1"/>
  <c r="C3" i="9"/>
  <c r="F3" i="11" l="1"/>
  <c r="E3" i="11"/>
  <c r="D3" i="11"/>
  <c r="C3" i="11"/>
  <c r="C3" i="10"/>
  <c r="E5" i="9"/>
  <c r="D5" i="9"/>
  <c r="C5" i="9"/>
  <c r="B31" i="5" l="1"/>
  <c r="B89" i="5"/>
  <c r="B88" i="5" s="1"/>
  <c r="B43" i="5" l="1"/>
  <c r="C6" i="12" s="1"/>
  <c r="C5" i="12"/>
  <c r="C17" i="10"/>
  <c r="A141" i="5"/>
  <c r="A140" i="5"/>
  <c r="A139" i="5"/>
  <c r="A138" i="5"/>
  <c r="A137" i="5"/>
  <c r="A136" i="5"/>
  <c r="B5" i="6" l="1"/>
  <c r="D37" i="13" s="1"/>
  <c r="C5" i="6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E18" i="6" s="1"/>
  <c r="E28" i="6" s="1"/>
  <c r="D10" i="3" s="1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G8" i="9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C7" i="6"/>
  <c r="E39" i="13" s="1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N7" i="6"/>
  <c r="E20" i="6" s="1"/>
  <c r="E33" i="6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L8" i="6"/>
  <c r="M21" i="6" s="1"/>
  <c r="M38" i="6" s="1"/>
  <c r="J17" i="9" s="1"/>
  <c r="M8" i="6"/>
  <c r="L21" i="6" s="1"/>
  <c r="L38" i="6" s="1"/>
  <c r="I17" i="9" s="1"/>
  <c r="N8" i="6"/>
  <c r="E21" i="6" s="1"/>
  <c r="F21" i="6" s="1"/>
  <c r="F38" i="6" s="1"/>
  <c r="E20" i="3" s="1"/>
  <c r="B9" i="6"/>
  <c r="C9" i="6"/>
  <c r="E41" i="1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I22" i="9" s="1"/>
  <c r="N9" i="6"/>
  <c r="E22" i="6" s="1"/>
  <c r="B10" i="6"/>
  <c r="C10" i="6"/>
  <c r="E42" i="13" s="1"/>
  <c r="D10" i="6"/>
  <c r="E10" i="6"/>
  <c r="F10" i="6"/>
  <c r="G10" i="6"/>
  <c r="H10" i="6"/>
  <c r="I10" i="6"/>
  <c r="D23" i="6" s="1"/>
  <c r="D48" i="6" s="1"/>
  <c r="J10" i="6"/>
  <c r="O23" i="6" s="1"/>
  <c r="O48" i="6" s="1"/>
  <c r="G27" i="9" s="1"/>
  <c r="K10" i="6"/>
  <c r="N23" i="6" s="1"/>
  <c r="N48" i="6" s="1"/>
  <c r="L10" i="6"/>
  <c r="M23" i="6" s="1"/>
  <c r="M48" i="6" s="1"/>
  <c r="M10" i="6"/>
  <c r="L23" i="6" s="1"/>
  <c r="L48" i="6" s="1"/>
  <c r="I27" i="9" s="1"/>
  <c r="N10" i="6"/>
  <c r="E23" i="6" s="1"/>
  <c r="E48" i="6" s="1"/>
  <c r="D12" i="6"/>
  <c r="D13" i="6"/>
  <c r="B3" i="3" s="1"/>
  <c r="B18" i="6"/>
  <c r="K18" i="6"/>
  <c r="K28" i="6" s="1"/>
  <c r="R18" i="6"/>
  <c r="R28" i="6" s="1"/>
  <c r="Q10" i="3" s="1"/>
  <c r="K19" i="6"/>
  <c r="K29" i="6" s="1"/>
  <c r="E8" i="9" s="1"/>
  <c r="R19" i="6"/>
  <c r="K20" i="6"/>
  <c r="K33" i="6" s="1"/>
  <c r="E12" i="9" s="1"/>
  <c r="R20" i="6"/>
  <c r="K21" i="6"/>
  <c r="K38" i="6" s="1"/>
  <c r="E43" i="6"/>
  <c r="D25" i="3" s="1"/>
  <c r="K22" i="6"/>
  <c r="K43" i="6" s="1"/>
  <c r="E22" i="9" s="1"/>
  <c r="R22" i="6"/>
  <c r="R44" i="6" s="1"/>
  <c r="Q26" i="3" s="1"/>
  <c r="K23" i="6"/>
  <c r="K48" i="6" s="1"/>
  <c r="R23" i="6"/>
  <c r="G28" i="6"/>
  <c r="F10" i="3"/>
  <c r="I28" i="6"/>
  <c r="H10" i="3"/>
  <c r="P10" i="3"/>
  <c r="G29" i="6"/>
  <c r="F11" i="3"/>
  <c r="I29" i="6"/>
  <c r="Q29" i="6"/>
  <c r="G33" i="6"/>
  <c r="F15" i="3" s="1"/>
  <c r="I33" i="6"/>
  <c r="G34" i="6"/>
  <c r="F16" i="3" s="1"/>
  <c r="G38" i="6"/>
  <c r="G36" i="6" s="1"/>
  <c r="F18" i="3" s="1"/>
  <c r="F20" i="3"/>
  <c r="I38" i="6"/>
  <c r="I42" i="6" s="1"/>
  <c r="H24" i="3" s="1"/>
  <c r="G43" i="6"/>
  <c r="I43" i="6"/>
  <c r="H25" i="3"/>
  <c r="G48" i="6"/>
  <c r="I48" i="6"/>
  <c r="I45" i="6" s="1"/>
  <c r="H27" i="3" s="1"/>
  <c r="C1" i="8"/>
  <c r="E5" i="8"/>
  <c r="F5" i="8"/>
  <c r="H5" i="8"/>
  <c r="J5" i="8"/>
  <c r="K5" i="8"/>
  <c r="L5" i="8"/>
  <c r="I6" i="8"/>
  <c r="J6" i="8"/>
  <c r="K6" i="8"/>
  <c r="L6" i="8"/>
  <c r="C7" i="8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7" i="7"/>
  <c r="F7" i="7"/>
  <c r="C8" i="7"/>
  <c r="C9" i="7"/>
  <c r="C10" i="7"/>
  <c r="C11" i="7"/>
  <c r="B17" i="7"/>
  <c r="B26" i="5"/>
  <c r="C2" i="8"/>
  <c r="I12" i="8" s="1"/>
  <c r="B29" i="5"/>
  <c r="G47" i="6"/>
  <c r="F29" i="3" s="1"/>
  <c r="H11" i="3"/>
  <c r="F30" i="3"/>
  <c r="G44" i="6"/>
  <c r="F26" i="3" s="1"/>
  <c r="I44" i="6"/>
  <c r="H26" i="3"/>
  <c r="I47" i="6"/>
  <c r="H29" i="3" s="1"/>
  <c r="P11" i="3"/>
  <c r="H30" i="3"/>
  <c r="F25" i="3"/>
  <c r="G42" i="6"/>
  <c r="F24" i="3"/>
  <c r="G46" i="6"/>
  <c r="F28" i="3" s="1"/>
  <c r="G41" i="6"/>
  <c r="F23" i="3"/>
  <c r="G45" i="6"/>
  <c r="F27" i="3" s="1"/>
  <c r="G39" i="6"/>
  <c r="F21" i="3" s="1"/>
  <c r="G40" i="6"/>
  <c r="F22" i="3" s="1"/>
  <c r="H20" i="3"/>
  <c r="I34" i="6"/>
  <c r="H16" i="3"/>
  <c r="I36" i="6"/>
  <c r="H18" i="3"/>
  <c r="I40" i="6"/>
  <c r="H22" i="3"/>
  <c r="I39" i="6"/>
  <c r="H21" i="3" s="1"/>
  <c r="G37" i="6"/>
  <c r="F19" i="3"/>
  <c r="H15" i="3"/>
  <c r="I35" i="6"/>
  <c r="H17" i="3"/>
  <c r="G35" i="6"/>
  <c r="F17" i="3" s="1"/>
  <c r="B18" i="7" l="1"/>
  <c r="A17" i="7"/>
  <c r="I46" i="6"/>
  <c r="H28" i="3" s="1"/>
  <c r="I41" i="6"/>
  <c r="H23" i="3" s="1"/>
  <c r="J10" i="3"/>
  <c r="E7" i="9"/>
  <c r="B23" i="6"/>
  <c r="D42" i="13"/>
  <c r="F19" i="13" s="1"/>
  <c r="K15" i="3"/>
  <c r="I12" i="9"/>
  <c r="B19" i="6"/>
  <c r="B29" i="6" s="1"/>
  <c r="D38" i="13"/>
  <c r="M10" i="3"/>
  <c r="H7" i="9"/>
  <c r="P18" i="6"/>
  <c r="P28" i="6" s="1"/>
  <c r="E37" i="13"/>
  <c r="B30" i="5"/>
  <c r="B14" i="5"/>
  <c r="C18" i="10" s="1"/>
  <c r="I37" i="6"/>
  <c r="H19" i="3" s="1"/>
  <c r="C30" i="3"/>
  <c r="F27" i="9"/>
  <c r="N25" i="3"/>
  <c r="G22" i="9"/>
  <c r="B22" i="6"/>
  <c r="D41" i="13"/>
  <c r="M20" i="3"/>
  <c r="H17" i="9"/>
  <c r="P21" i="6"/>
  <c r="P38" i="6" s="1"/>
  <c r="O20" i="3" s="1"/>
  <c r="E40" i="13"/>
  <c r="K11" i="3"/>
  <c r="I8" i="9"/>
  <c r="C11" i="3"/>
  <c r="F8" i="9"/>
  <c r="N10" i="3"/>
  <c r="G7" i="9"/>
  <c r="J30" i="3"/>
  <c r="E27" i="9"/>
  <c r="J20" i="3"/>
  <c r="E17" i="9"/>
  <c r="L30" i="3"/>
  <c r="J27" i="9"/>
  <c r="C25" i="3"/>
  <c r="F22" i="9"/>
  <c r="B21" i="6"/>
  <c r="D40" i="13"/>
  <c r="M15" i="3"/>
  <c r="H12" i="9"/>
  <c r="L11" i="3"/>
  <c r="J8" i="9"/>
  <c r="K10" i="3"/>
  <c r="I7" i="9"/>
  <c r="M30" i="3"/>
  <c r="H27" i="9"/>
  <c r="B20" i="6"/>
  <c r="C20" i="6" s="1"/>
  <c r="D39" i="13"/>
  <c r="M11" i="3"/>
  <c r="H8" i="9"/>
  <c r="P19" i="6"/>
  <c r="P29" i="6" s="1"/>
  <c r="O11" i="3" s="1"/>
  <c r="E38" i="13"/>
  <c r="L10" i="3"/>
  <c r="J7" i="9"/>
  <c r="C37" i="6"/>
  <c r="C11" i="8"/>
  <c r="C25" i="8" s="1"/>
  <c r="M11" i="8"/>
  <c r="B2" i="3"/>
  <c r="L41" i="6"/>
  <c r="M6" i="8"/>
  <c r="N6" i="8" s="1"/>
  <c r="O6" i="8" s="1"/>
  <c r="H22" i="6"/>
  <c r="H43" i="6" s="1"/>
  <c r="G25" i="3" s="1"/>
  <c r="I28" i="8"/>
  <c r="P22" i="6"/>
  <c r="P43" i="6" s="1"/>
  <c r="O25" i="3" s="1"/>
  <c r="R43" i="6"/>
  <c r="Q25" i="3" s="1"/>
  <c r="I7" i="8"/>
  <c r="O7" i="8" s="1"/>
  <c r="H18" i="6"/>
  <c r="H28" i="6" s="1"/>
  <c r="G10" i="3" s="1"/>
  <c r="K12" i="8"/>
  <c r="K16" i="8" s="1"/>
  <c r="C6" i="5" s="1"/>
  <c r="C36" i="6"/>
  <c r="J21" i="6"/>
  <c r="J38" i="6" s="1"/>
  <c r="I20" i="3" s="1"/>
  <c r="F22" i="6"/>
  <c r="F43" i="6" s="1"/>
  <c r="E25" i="3" s="1"/>
  <c r="K30" i="3"/>
  <c r="L47" i="6"/>
  <c r="G30" i="6"/>
  <c r="F12" i="3" s="1"/>
  <c r="G31" i="6"/>
  <c r="F13" i="3" s="1"/>
  <c r="I30" i="6"/>
  <c r="H12" i="3" s="1"/>
  <c r="N31" i="6"/>
  <c r="J18" i="6"/>
  <c r="J28" i="6" s="1"/>
  <c r="I10" i="3" s="1"/>
  <c r="C42" i="6"/>
  <c r="H23" i="6"/>
  <c r="H48" i="6" s="1"/>
  <c r="G30" i="3" s="1"/>
  <c r="C31" i="6"/>
  <c r="C45" i="6"/>
  <c r="C33" i="6"/>
  <c r="Q22" i="6"/>
  <c r="Q43" i="6" s="1"/>
  <c r="M45" i="6"/>
  <c r="L25" i="3"/>
  <c r="M44" i="6"/>
  <c r="M40" i="6"/>
  <c r="L20" i="3"/>
  <c r="D35" i="6"/>
  <c r="F14" i="9" s="1"/>
  <c r="D34" i="6"/>
  <c r="D36" i="6"/>
  <c r="O31" i="6"/>
  <c r="O34" i="6"/>
  <c r="O37" i="6"/>
  <c r="O36" i="6"/>
  <c r="C10" i="3"/>
  <c r="E47" i="6"/>
  <c r="D29" i="3" s="1"/>
  <c r="E45" i="6"/>
  <c r="D27" i="3" s="1"/>
  <c r="E46" i="6"/>
  <c r="D28" i="3" s="1"/>
  <c r="E44" i="6"/>
  <c r="D26" i="3" s="1"/>
  <c r="D30" i="3"/>
  <c r="M37" i="6"/>
  <c r="M32" i="6"/>
  <c r="L15" i="3"/>
  <c r="J12" i="8"/>
  <c r="J16" i="8" s="1"/>
  <c r="B6" i="5" s="1"/>
  <c r="C44" i="6"/>
  <c r="C22" i="6"/>
  <c r="C34" i="6"/>
  <c r="C28" i="6"/>
  <c r="M30" i="6"/>
  <c r="B24" i="5"/>
  <c r="I5" i="8"/>
  <c r="L14" i="8" s="1"/>
  <c r="D47" i="6"/>
  <c r="Q23" i="6"/>
  <c r="Q48" i="6" s="1"/>
  <c r="Q21" i="6"/>
  <c r="Q38" i="6" s="1"/>
  <c r="H21" i="6"/>
  <c r="H38" i="6" s="1"/>
  <c r="G20" i="3" s="1"/>
  <c r="L12" i="8"/>
  <c r="L16" i="8" s="1"/>
  <c r="C41" i="6"/>
  <c r="C38" i="6"/>
  <c r="C29" i="6"/>
  <c r="O32" i="6"/>
  <c r="M26" i="8"/>
  <c r="P23" i="6"/>
  <c r="P48" i="6" s="1"/>
  <c r="F18" i="6"/>
  <c r="F28" i="6" s="1"/>
  <c r="E10" i="3" s="1"/>
  <c r="O41" i="6"/>
  <c r="L42" i="6"/>
  <c r="L39" i="6"/>
  <c r="L34" i="6"/>
  <c r="K20" i="3"/>
  <c r="L35" i="6"/>
  <c r="L37" i="6"/>
  <c r="L40" i="6"/>
  <c r="L36" i="6"/>
  <c r="R37" i="6"/>
  <c r="Q19" i="3" s="1"/>
  <c r="R33" i="6"/>
  <c r="Q15" i="3" s="1"/>
  <c r="R35" i="6"/>
  <c r="Q17" i="3" s="1"/>
  <c r="N45" i="6"/>
  <c r="N47" i="6"/>
  <c r="N44" i="6"/>
  <c r="N46" i="6"/>
  <c r="J22" i="6"/>
  <c r="J43" i="6" s="1"/>
  <c r="N40" i="6"/>
  <c r="N41" i="6"/>
  <c r="N39" i="6"/>
  <c r="N42" i="6"/>
  <c r="M25" i="3"/>
  <c r="M31" i="6"/>
  <c r="L30" i="6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F16" i="9" s="1"/>
  <c r="N11" i="3"/>
  <c r="O30" i="6"/>
  <c r="N37" i="6"/>
  <c r="N35" i="6"/>
  <c r="N36" i="6"/>
  <c r="N34" i="6"/>
  <c r="Q20" i="6"/>
  <c r="Q33" i="6" s="1"/>
  <c r="P20" i="6"/>
  <c r="P33" i="6" s="1"/>
  <c r="J20" i="6"/>
  <c r="J33" i="6" s="1"/>
  <c r="H20" i="6"/>
  <c r="H33" i="6" s="1"/>
  <c r="M35" i="6"/>
  <c r="M34" i="6"/>
  <c r="M36" i="6"/>
  <c r="I31" i="6"/>
  <c r="H13" i="3" s="1"/>
  <c r="L32" i="6"/>
  <c r="I32" i="6"/>
  <c r="H14" i="3" s="1"/>
  <c r="N32" i="6"/>
  <c r="D42" i="6"/>
  <c r="F21" i="9" s="1"/>
  <c r="D40" i="6"/>
  <c r="F19" i="9" s="1"/>
  <c r="D39" i="6"/>
  <c r="F18" i="9" s="1"/>
  <c r="D41" i="6"/>
  <c r="F20" i="9" s="1"/>
  <c r="D32" i="6"/>
  <c r="F11" i="9" s="1"/>
  <c r="D30" i="6"/>
  <c r="F9" i="9" s="1"/>
  <c r="D31" i="6"/>
  <c r="F10" i="9" s="1"/>
  <c r="L44" i="6"/>
  <c r="L45" i="6"/>
  <c r="D46" i="6"/>
  <c r="F25" i="9" s="1"/>
  <c r="D45" i="6"/>
  <c r="F24" i="9" s="1"/>
  <c r="O40" i="6"/>
  <c r="O39" i="6"/>
  <c r="N20" i="3"/>
  <c r="D15" i="3"/>
  <c r="O42" i="6"/>
  <c r="C20" i="3"/>
  <c r="N30" i="6"/>
  <c r="D44" i="6"/>
  <c r="F23" i="9" s="1"/>
  <c r="L46" i="6"/>
  <c r="K25" i="3"/>
  <c r="L31" i="6"/>
  <c r="G32" i="6"/>
  <c r="F14" i="3" s="1"/>
  <c r="I16" i="8"/>
  <c r="E6" i="5" s="1"/>
  <c r="L24" i="8"/>
  <c r="O26" i="8"/>
  <c r="N26" i="8"/>
  <c r="N30" i="3"/>
  <c r="O46" i="6"/>
  <c r="O44" i="6"/>
  <c r="O45" i="6"/>
  <c r="E38" i="6"/>
  <c r="E36" i="6" s="1"/>
  <c r="D18" i="3" s="1"/>
  <c r="R34" i="6"/>
  <c r="Q16" i="3" s="1"/>
  <c r="M46" i="6"/>
  <c r="M42" i="6"/>
  <c r="M39" i="6"/>
  <c r="M47" i="6"/>
  <c r="C35" i="6"/>
  <c r="C14" i="9" s="1"/>
  <c r="C39" i="6"/>
  <c r="C43" i="6"/>
  <c r="C40" i="6"/>
  <c r="C32" i="6"/>
  <c r="C11" i="9" s="1"/>
  <c r="C48" i="6"/>
  <c r="C27" i="9" s="1"/>
  <c r="C30" i="6"/>
  <c r="C23" i="6"/>
  <c r="C46" i="6"/>
  <c r="C19" i="6"/>
  <c r="C47" i="6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5" i="3"/>
  <c r="R46" i="6"/>
  <c r="Q28" i="3" s="1"/>
  <c r="R47" i="6"/>
  <c r="Q29" i="3" s="1"/>
  <c r="R48" i="6"/>
  <c r="Q30" i="3" s="1"/>
  <c r="O47" i="6"/>
  <c r="M41" i="6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K36" i="6"/>
  <c r="K37" i="6"/>
  <c r="K34" i="6"/>
  <c r="J15" i="3"/>
  <c r="K30" i="6"/>
  <c r="J11" i="3"/>
  <c r="K31" i="6"/>
  <c r="K32" i="6"/>
  <c r="K44" i="6"/>
  <c r="K46" i="6"/>
  <c r="K45" i="6"/>
  <c r="K39" i="6"/>
  <c r="K40" i="6"/>
  <c r="J25" i="3"/>
  <c r="K47" i="6"/>
  <c r="K42" i="6"/>
  <c r="K41" i="6"/>
  <c r="R36" i="6"/>
  <c r="Q18" i="3" s="1"/>
  <c r="R32" i="6"/>
  <c r="Q14" i="3" s="1"/>
  <c r="R31" i="6"/>
  <c r="Q13" i="3" s="1"/>
  <c r="R38" i="6"/>
  <c r="Q20" i="3" s="1"/>
  <c r="F21" i="13" l="1"/>
  <c r="F8" i="13"/>
  <c r="F20" i="13"/>
  <c r="F22" i="13"/>
  <c r="J22" i="3"/>
  <c r="E19" i="9"/>
  <c r="B28" i="3"/>
  <c r="C25" i="9"/>
  <c r="N23" i="3"/>
  <c r="G20" i="9"/>
  <c r="N16" i="3"/>
  <c r="G13" i="9"/>
  <c r="N17" i="3"/>
  <c r="G14" i="9"/>
  <c r="B22" i="3"/>
  <c r="C19" i="9"/>
  <c r="N28" i="3"/>
  <c r="G25" i="9"/>
  <c r="N21" i="3"/>
  <c r="G18" i="9"/>
  <c r="K27" i="3"/>
  <c r="I24" i="9"/>
  <c r="M21" i="3"/>
  <c r="H18" i="9"/>
  <c r="K16" i="3"/>
  <c r="I13" i="9"/>
  <c r="J29" i="3"/>
  <c r="E26" i="9"/>
  <c r="J27" i="3"/>
  <c r="E24" i="9"/>
  <c r="J16" i="3"/>
  <c r="E13" i="9"/>
  <c r="J28" i="3"/>
  <c r="E25" i="9"/>
  <c r="J19" i="3"/>
  <c r="E16" i="9"/>
  <c r="B21" i="3"/>
  <c r="C18" i="9"/>
  <c r="L24" i="3"/>
  <c r="J21" i="9"/>
  <c r="N27" i="3"/>
  <c r="G24" i="9"/>
  <c r="L16" i="3"/>
  <c r="J13" i="9"/>
  <c r="M17" i="3"/>
  <c r="H14" i="9"/>
  <c r="M22" i="3"/>
  <c r="H19" i="9"/>
  <c r="M29" i="3"/>
  <c r="H26" i="9"/>
  <c r="K17" i="3"/>
  <c r="I14" i="9"/>
  <c r="K24" i="3"/>
  <c r="I21" i="9"/>
  <c r="B23" i="3"/>
  <c r="C20" i="9"/>
  <c r="P30" i="3"/>
  <c r="D27" i="9"/>
  <c r="V48" i="6"/>
  <c r="L12" i="3"/>
  <c r="J9" i="9"/>
  <c r="B26" i="3"/>
  <c r="C23" i="9"/>
  <c r="L19" i="3"/>
  <c r="J16" i="9"/>
  <c r="N19" i="3"/>
  <c r="G16" i="9"/>
  <c r="C16" i="3"/>
  <c r="F13" i="9"/>
  <c r="L26" i="3"/>
  <c r="J23" i="9"/>
  <c r="B15" i="3"/>
  <c r="C12" i="9"/>
  <c r="B24" i="3"/>
  <c r="C21" i="9"/>
  <c r="F9" i="13"/>
  <c r="D11" i="13"/>
  <c r="D12" i="13"/>
  <c r="G12" i="13"/>
  <c r="G14" i="13"/>
  <c r="G13" i="13"/>
  <c r="D13" i="13"/>
  <c r="G11" i="13"/>
  <c r="D14" i="13"/>
  <c r="F14" i="13"/>
  <c r="F12" i="13"/>
  <c r="F13" i="13"/>
  <c r="F11" i="13"/>
  <c r="G15" i="13"/>
  <c r="D15" i="13"/>
  <c r="D16" i="13"/>
  <c r="G16" i="13"/>
  <c r="D18" i="13"/>
  <c r="D17" i="13"/>
  <c r="G18" i="13"/>
  <c r="G17" i="13"/>
  <c r="F17" i="13"/>
  <c r="J26" i="3"/>
  <c r="E23" i="9"/>
  <c r="N26" i="3"/>
  <c r="G23" i="9"/>
  <c r="Q30" i="6"/>
  <c r="D12" i="9"/>
  <c r="V33" i="6"/>
  <c r="C14" i="10"/>
  <c r="C19" i="10" s="1"/>
  <c r="F10" i="13"/>
  <c r="F16" i="13"/>
  <c r="J12" i="3"/>
  <c r="E9" i="9"/>
  <c r="K13" i="3"/>
  <c r="I10" i="9"/>
  <c r="L17" i="3"/>
  <c r="J14" i="9"/>
  <c r="M24" i="3"/>
  <c r="H21" i="9"/>
  <c r="B16" i="3"/>
  <c r="C13" i="9"/>
  <c r="N13" i="3"/>
  <c r="G10" i="9"/>
  <c r="L27" i="3"/>
  <c r="J24" i="9"/>
  <c r="B13" i="3"/>
  <c r="C10" i="9"/>
  <c r="M13" i="3"/>
  <c r="H10" i="9"/>
  <c r="K29" i="3"/>
  <c r="I26" i="9"/>
  <c r="F15" i="13"/>
  <c r="G19" i="13"/>
  <c r="D21" i="13"/>
  <c r="D22" i="13"/>
  <c r="G22" i="13"/>
  <c r="D19" i="13"/>
  <c r="D20" i="13"/>
  <c r="G20" i="13"/>
  <c r="G21" i="13"/>
  <c r="V29" i="6"/>
  <c r="J23" i="3"/>
  <c r="E20" i="9"/>
  <c r="J18" i="3"/>
  <c r="E15" i="9"/>
  <c r="L28" i="3"/>
  <c r="J25" i="9"/>
  <c r="M12" i="3"/>
  <c r="H9" i="9"/>
  <c r="K14" i="3"/>
  <c r="I11" i="9"/>
  <c r="M19" i="3"/>
  <c r="H16" i="9"/>
  <c r="M27" i="3"/>
  <c r="H24" i="9"/>
  <c r="K18" i="3"/>
  <c r="I15" i="9"/>
  <c r="N14" i="3"/>
  <c r="G11" i="9"/>
  <c r="C29" i="3"/>
  <c r="F26" i="9"/>
  <c r="B10" i="3"/>
  <c r="C7" i="9"/>
  <c r="B27" i="3"/>
  <c r="C24" i="9"/>
  <c r="J24" i="3"/>
  <c r="E21" i="9"/>
  <c r="J21" i="3"/>
  <c r="E18" i="9"/>
  <c r="J14" i="3"/>
  <c r="E11" i="9"/>
  <c r="J17" i="3"/>
  <c r="E14" i="9"/>
  <c r="L23" i="3"/>
  <c r="J20" i="9"/>
  <c r="L29" i="3"/>
  <c r="J26" i="9"/>
  <c r="M16" i="3"/>
  <c r="H13" i="9"/>
  <c r="N12" i="3"/>
  <c r="G9" i="9"/>
  <c r="K12" i="3"/>
  <c r="I9" i="9"/>
  <c r="M28" i="3"/>
  <c r="H25" i="9"/>
  <c r="K22" i="3"/>
  <c r="I19" i="9"/>
  <c r="B11" i="3"/>
  <c r="R10" i="3" s="1"/>
  <c r="C8" i="9"/>
  <c r="J13" i="3"/>
  <c r="E10" i="9"/>
  <c r="N29" i="3"/>
  <c r="G26" i="9"/>
  <c r="B29" i="3"/>
  <c r="C26" i="9"/>
  <c r="B12" i="3"/>
  <c r="R11" i="3" s="1"/>
  <c r="C9" i="9"/>
  <c r="B25" i="3"/>
  <c r="C22" i="9"/>
  <c r="L21" i="3"/>
  <c r="J18" i="9"/>
  <c r="K28" i="3"/>
  <c r="I25" i="9"/>
  <c r="N24" i="3"/>
  <c r="G21" i="9"/>
  <c r="N22" i="3"/>
  <c r="G19" i="9"/>
  <c r="K26" i="3"/>
  <c r="I23" i="9"/>
  <c r="M14" i="3"/>
  <c r="H11" i="9"/>
  <c r="L18" i="3"/>
  <c r="J15" i="9"/>
  <c r="M18" i="3"/>
  <c r="H15" i="9"/>
  <c r="L13" i="3"/>
  <c r="J10" i="9"/>
  <c r="M23" i="3"/>
  <c r="H20" i="9"/>
  <c r="M26" i="3"/>
  <c r="H23" i="9"/>
  <c r="K19" i="3"/>
  <c r="I16" i="9"/>
  <c r="K21" i="3"/>
  <c r="I18" i="9"/>
  <c r="B20" i="3"/>
  <c r="C17" i="9"/>
  <c r="P20" i="3"/>
  <c r="D17" i="9"/>
  <c r="V38" i="6"/>
  <c r="L14" i="3"/>
  <c r="J11" i="9"/>
  <c r="N18" i="3"/>
  <c r="G15" i="9"/>
  <c r="C18" i="3"/>
  <c r="F15" i="9"/>
  <c r="L22" i="3"/>
  <c r="J19" i="9"/>
  <c r="P25" i="3"/>
  <c r="V43" i="6"/>
  <c r="D22" i="9"/>
  <c r="B18" i="3"/>
  <c r="C15" i="9"/>
  <c r="K23" i="3"/>
  <c r="I20" i="9"/>
  <c r="B19" i="3"/>
  <c r="C16" i="9"/>
  <c r="G8" i="13"/>
  <c r="G9" i="13"/>
  <c r="D10" i="13"/>
  <c r="D8" i="13"/>
  <c r="G10" i="13"/>
  <c r="D9" i="13"/>
  <c r="O10" i="3"/>
  <c r="V28" i="6"/>
  <c r="D7" i="9"/>
  <c r="F18" i="13"/>
  <c r="D8" i="9"/>
  <c r="B19" i="7"/>
  <c r="A18" i="7"/>
  <c r="P41" i="6"/>
  <c r="O23" i="3" s="1"/>
  <c r="I15" i="8"/>
  <c r="F41" i="6"/>
  <c r="E23" i="3" s="1"/>
  <c r="P39" i="6"/>
  <c r="O21" i="3" s="1"/>
  <c r="Q44" i="6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Q40" i="6"/>
  <c r="T35" i="6"/>
  <c r="N7" i="8"/>
  <c r="C17" i="3"/>
  <c r="Q45" i="6"/>
  <c r="R11" i="8"/>
  <c r="L15" i="8"/>
  <c r="D7" i="5" s="1"/>
  <c r="O12" i="8"/>
  <c r="J15" i="8"/>
  <c r="B7" i="5" s="1"/>
  <c r="J39" i="6"/>
  <c r="I21" i="3" s="1"/>
  <c r="Q42" i="6"/>
  <c r="R12" i="8"/>
  <c r="P45" i="6"/>
  <c r="O27" i="3" s="1"/>
  <c r="H42" i="6"/>
  <c r="G24" i="3" s="1"/>
  <c r="Q39" i="6"/>
  <c r="D8" i="5"/>
  <c r="H40" i="6"/>
  <c r="G22" i="3" s="1"/>
  <c r="T43" i="6"/>
  <c r="T29" i="6"/>
  <c r="H39" i="6"/>
  <c r="G21" i="3" s="1"/>
  <c r="Q46" i="6"/>
  <c r="Q47" i="6"/>
  <c r="P47" i="6"/>
  <c r="O29" i="3" s="1"/>
  <c r="O30" i="3"/>
  <c r="P46" i="6"/>
  <c r="O28" i="3" s="1"/>
  <c r="T28" i="6"/>
  <c r="M5" i="8"/>
  <c r="C15" i="10" s="1"/>
  <c r="I14" i="8"/>
  <c r="E8" i="5" s="1"/>
  <c r="C12" i="10" s="1"/>
  <c r="J14" i="8"/>
  <c r="K14" i="8"/>
  <c r="P5" i="8" s="1"/>
  <c r="J40" i="6"/>
  <c r="I22" i="3" s="1"/>
  <c r="H41" i="6"/>
  <c r="G23" i="3" s="1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4" i="3"/>
  <c r="T33" i="6"/>
  <c r="B17" i="3"/>
  <c r="T34" i="6"/>
  <c r="T36" i="6"/>
  <c r="E7" i="5"/>
  <c r="T46" i="6"/>
  <c r="C28" i="3"/>
  <c r="C12" i="3"/>
  <c r="T30" i="6"/>
  <c r="C23" i="3"/>
  <c r="R23" i="3" s="1"/>
  <c r="T41" i="6"/>
  <c r="T47" i="6"/>
  <c r="P15" i="3"/>
  <c r="Q32" i="6"/>
  <c r="Q35" i="6"/>
  <c r="Q31" i="6"/>
  <c r="Q36" i="6"/>
  <c r="Q37" i="6"/>
  <c r="Q34" i="6"/>
  <c r="M8" i="8"/>
  <c r="M22" i="8"/>
  <c r="P31" i="6"/>
  <c r="O13" i="3" s="1"/>
  <c r="F45" i="6"/>
  <c r="E27" i="3" s="1"/>
  <c r="J32" i="6"/>
  <c r="I14" i="3" s="1"/>
  <c r="I11" i="3"/>
  <c r="J30" i="6"/>
  <c r="I12" i="3" s="1"/>
  <c r="J31" i="6"/>
  <c r="I13" i="3" s="1"/>
  <c r="C14" i="3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H32" i="6"/>
  <c r="G14" i="3" s="1"/>
  <c r="G11" i="3"/>
  <c r="H30" i="6"/>
  <c r="G12" i="3" s="1"/>
  <c r="H31" i="6"/>
  <c r="G13" i="3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14" i="3" l="1"/>
  <c r="R28" i="3"/>
  <c r="R20" i="3"/>
  <c r="R15" i="3"/>
  <c r="C11" i="10"/>
  <c r="P16" i="3"/>
  <c r="D13" i="9"/>
  <c r="V34" i="6"/>
  <c r="P17" i="3"/>
  <c r="V35" i="6"/>
  <c r="D14" i="9"/>
  <c r="P21" i="3"/>
  <c r="V39" i="6"/>
  <c r="D18" i="9"/>
  <c r="P23" i="3"/>
  <c r="D20" i="9"/>
  <c r="V41" i="6"/>
  <c r="P14" i="3"/>
  <c r="D11" i="9"/>
  <c r="V32" i="6"/>
  <c r="P29" i="3"/>
  <c r="V47" i="6"/>
  <c r="D26" i="9"/>
  <c r="P18" i="3"/>
  <c r="D15" i="9"/>
  <c r="V36" i="6"/>
  <c r="P27" i="3"/>
  <c r="D24" i="9"/>
  <c r="V45" i="6"/>
  <c r="P19" i="3"/>
  <c r="D16" i="9"/>
  <c r="V37" i="6"/>
  <c r="B20" i="7"/>
  <c r="A19" i="7"/>
  <c r="R26" i="3"/>
  <c r="P28" i="3"/>
  <c r="D25" i="9"/>
  <c r="V46" i="6"/>
  <c r="P13" i="3"/>
  <c r="V31" i="6"/>
  <c r="D10" i="9"/>
  <c r="R12" i="3"/>
  <c r="P24" i="3"/>
  <c r="D21" i="9"/>
  <c r="V42" i="6"/>
  <c r="R17" i="3"/>
  <c r="P22" i="3"/>
  <c r="D19" i="9"/>
  <c r="V40" i="6"/>
  <c r="P26" i="3"/>
  <c r="D23" i="9"/>
  <c r="V44" i="6"/>
  <c r="P12" i="3"/>
  <c r="D9" i="9"/>
  <c r="V30" i="6"/>
  <c r="R10" i="8"/>
  <c r="R9" i="8"/>
  <c r="R7" i="8"/>
  <c r="R8" i="8"/>
  <c r="Q7" i="8"/>
  <c r="P9" i="8"/>
  <c r="P10" i="8"/>
  <c r="Q10" i="8"/>
  <c r="Q8" i="8"/>
  <c r="Q27" i="8"/>
  <c r="R13" i="3"/>
  <c r="Q9" i="8"/>
  <c r="P7" i="8"/>
  <c r="P8" i="8"/>
  <c r="Q23" i="8"/>
  <c r="R21" i="8"/>
  <c r="R27" i="8"/>
  <c r="L17" i="8"/>
  <c r="R23" i="8"/>
  <c r="B110" i="5"/>
  <c r="B8" i="5"/>
  <c r="B53" i="5" s="1"/>
  <c r="R6" i="8"/>
  <c r="M16" i="8"/>
  <c r="F6" i="5" s="1"/>
  <c r="R22" i="8"/>
  <c r="K17" i="8"/>
  <c r="C8" i="5"/>
  <c r="P6" i="8"/>
  <c r="M14" i="8" s="1"/>
  <c r="F8" i="5" s="1"/>
  <c r="R5" i="8"/>
  <c r="Q6" i="8"/>
  <c r="T50" i="6"/>
  <c r="J17" i="8"/>
  <c r="I17" i="8"/>
  <c r="Q5" i="8"/>
  <c r="N5" i="8"/>
  <c r="O5" i="8"/>
  <c r="N8" i="8"/>
  <c r="O8" i="8"/>
  <c r="D5" i="5"/>
  <c r="C6" i="10" s="1"/>
  <c r="Q26" i="8"/>
  <c r="Q28" i="8"/>
  <c r="Q25" i="8"/>
  <c r="Q24" i="8"/>
  <c r="F32" i="6"/>
  <c r="E14" i="3" s="1"/>
  <c r="F30" i="6"/>
  <c r="E12" i="3" s="1"/>
  <c r="F31" i="6"/>
  <c r="E13" i="3" s="1"/>
  <c r="E11" i="3"/>
  <c r="P22" i="8"/>
  <c r="P28" i="8"/>
  <c r="P25" i="8"/>
  <c r="P24" i="8"/>
  <c r="C5" i="5"/>
  <c r="C5" i="10" s="1"/>
  <c r="P26" i="8"/>
  <c r="B5" i="5"/>
  <c r="C4" i="10" s="1"/>
  <c r="R28" i="8"/>
  <c r="R24" i="8"/>
  <c r="R26" i="8"/>
  <c r="R25" i="8"/>
  <c r="M24" i="8"/>
  <c r="N24" i="8"/>
  <c r="E10" i="8"/>
  <c r="N22" i="8"/>
  <c r="O22" i="8"/>
  <c r="O9" i="8"/>
  <c r="N9" i="8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R18" i="3"/>
  <c r="R16" i="3"/>
  <c r="P23" i="8"/>
  <c r="Q21" i="8"/>
  <c r="B21" i="7" l="1"/>
  <c r="A20" i="7"/>
  <c r="K31" i="8"/>
  <c r="L31" i="8"/>
  <c r="N30" i="8"/>
  <c r="G5" i="5" s="1"/>
  <c r="I31" i="8"/>
  <c r="O14" i="8"/>
  <c r="H8" i="5" s="1"/>
  <c r="R32" i="3"/>
  <c r="B109" i="5" s="1"/>
  <c r="B111" i="5" s="1"/>
  <c r="J31" i="8"/>
  <c r="O30" i="8"/>
  <c r="H5" i="5" s="1"/>
  <c r="M30" i="8"/>
  <c r="F5" i="5" s="1"/>
  <c r="N14" i="8"/>
  <c r="G8" i="5" s="1"/>
  <c r="M10" i="8"/>
  <c r="M15" i="8" s="1"/>
  <c r="F7" i="5" s="1"/>
  <c r="N10" i="8"/>
  <c r="N15" i="8" s="1"/>
  <c r="G7" i="5" s="1"/>
  <c r="O10" i="8"/>
  <c r="O15" i="8" s="1"/>
  <c r="H7" i="5" s="1"/>
  <c r="B22" i="7" l="1"/>
  <c r="A21" i="7"/>
  <c r="C13" i="10"/>
  <c r="B23" i="7" l="1"/>
  <c r="A22" i="7"/>
  <c r="B24" i="7" l="1"/>
  <c r="A23" i="7"/>
  <c r="A24" i="7" l="1"/>
  <c r="C24" i="7"/>
  <c r="C18" i="7"/>
  <c r="C22" i="7"/>
  <c r="C21" i="7"/>
  <c r="C23" i="7"/>
  <c r="C17" i="7"/>
  <c r="C15" i="7"/>
  <c r="C19" i="7"/>
  <c r="C16" i="7"/>
  <c r="C20" i="7"/>
  <c r="D22" i="7" l="1"/>
  <c r="B15" i="4"/>
  <c r="E22" i="7"/>
  <c r="F22" i="7" s="1"/>
  <c r="E23" i="7"/>
  <c r="B16" i="4"/>
  <c r="D23" i="7"/>
  <c r="B8" i="4"/>
  <c r="E15" i="7"/>
  <c r="F15" i="7" s="1"/>
  <c r="D15" i="7"/>
  <c r="B13" i="4"/>
  <c r="D20" i="7"/>
  <c r="E20" i="7"/>
  <c r="B10" i="4"/>
  <c r="E17" i="7"/>
  <c r="D17" i="7"/>
  <c r="B11" i="4"/>
  <c r="D18" i="7"/>
  <c r="E18" i="7"/>
  <c r="E16" i="7"/>
  <c r="D16" i="7"/>
  <c r="F16" i="7" s="1"/>
  <c r="B9" i="4"/>
  <c r="B17" i="4"/>
  <c r="D24" i="7"/>
  <c r="E24" i="7"/>
  <c r="B12" i="4"/>
  <c r="E19" i="7"/>
  <c r="D19" i="7"/>
  <c r="E21" i="7"/>
  <c r="D21" i="7"/>
  <c r="B14" i="4"/>
  <c r="F19" i="7" l="1"/>
  <c r="G16" i="7"/>
  <c r="I16" i="7"/>
  <c r="H16" i="7"/>
  <c r="G15" i="7"/>
  <c r="H15" i="7"/>
  <c r="I15" i="7"/>
  <c r="F24" i="7"/>
  <c r="F17" i="7"/>
  <c r="F20" i="7"/>
  <c r="H22" i="7"/>
  <c r="I22" i="7"/>
  <c r="G22" i="7"/>
  <c r="F23" i="7"/>
  <c r="I19" i="7"/>
  <c r="G19" i="7"/>
  <c r="H19" i="7"/>
  <c r="F21" i="7"/>
  <c r="F18" i="7"/>
  <c r="I12" i="4" l="1"/>
  <c r="H9" i="11"/>
  <c r="D12" i="11"/>
  <c r="C15" i="4"/>
  <c r="O22" i="7"/>
  <c r="I17" i="7"/>
  <c r="G17" i="7"/>
  <c r="H17" i="7"/>
  <c r="O15" i="7"/>
  <c r="D5" i="11"/>
  <c r="C8" i="4"/>
  <c r="L22" i="7"/>
  <c r="N22" i="7" s="1"/>
  <c r="K22" i="7"/>
  <c r="J22" i="7"/>
  <c r="I9" i="4"/>
  <c r="H6" i="11"/>
  <c r="J19" i="7"/>
  <c r="K19" i="7"/>
  <c r="L19" i="7"/>
  <c r="N19" i="7" s="1"/>
  <c r="I15" i="4"/>
  <c r="H12" i="11"/>
  <c r="J15" i="7"/>
  <c r="L15" i="7"/>
  <c r="N15" i="7" s="1"/>
  <c r="K15" i="7"/>
  <c r="L16" i="7"/>
  <c r="N16" i="7" s="1"/>
  <c r="K16" i="7"/>
  <c r="J16" i="7"/>
  <c r="D9" i="11"/>
  <c r="O19" i="7"/>
  <c r="C12" i="4"/>
  <c r="I24" i="7"/>
  <c r="H24" i="7"/>
  <c r="G24" i="7"/>
  <c r="I18" i="7"/>
  <c r="H18" i="7"/>
  <c r="G18" i="7"/>
  <c r="H21" i="7"/>
  <c r="G21" i="7"/>
  <c r="I21" i="7"/>
  <c r="G23" i="7"/>
  <c r="H23" i="7"/>
  <c r="I23" i="7"/>
  <c r="I20" i="7"/>
  <c r="G20" i="7"/>
  <c r="H20" i="7"/>
  <c r="I8" i="4"/>
  <c r="H5" i="11"/>
  <c r="D6" i="11"/>
  <c r="C9" i="4"/>
  <c r="O16" i="7"/>
  <c r="D10" i="11" l="1"/>
  <c r="O20" i="7"/>
  <c r="C13" i="4"/>
  <c r="D8" i="11"/>
  <c r="C11" i="4"/>
  <c r="O18" i="7"/>
  <c r="I10" i="4"/>
  <c r="H7" i="11"/>
  <c r="J21" i="7"/>
  <c r="L21" i="7"/>
  <c r="N21" i="7" s="1"/>
  <c r="K21" i="7"/>
  <c r="K24" i="7"/>
  <c r="L24" i="7"/>
  <c r="N24" i="7" s="1"/>
  <c r="J24" i="7"/>
  <c r="K8" i="4"/>
  <c r="E5" i="11"/>
  <c r="F5" i="11"/>
  <c r="J8" i="4"/>
  <c r="J23" i="7"/>
  <c r="L23" i="7"/>
  <c r="N23" i="7" s="1"/>
  <c r="K23" i="7"/>
  <c r="K18" i="7"/>
  <c r="J18" i="7"/>
  <c r="L18" i="7"/>
  <c r="N18" i="7" s="1"/>
  <c r="H9" i="4"/>
  <c r="G6" i="11"/>
  <c r="H12" i="4"/>
  <c r="G9" i="11"/>
  <c r="J17" i="7"/>
  <c r="L17" i="7"/>
  <c r="N17" i="7" s="1"/>
  <c r="K17" i="7"/>
  <c r="D13" i="11"/>
  <c r="O23" i="7"/>
  <c r="C16" i="4"/>
  <c r="I17" i="4"/>
  <c r="H14" i="11"/>
  <c r="H8" i="4"/>
  <c r="G5" i="11"/>
  <c r="E12" i="11"/>
  <c r="F12" i="11"/>
  <c r="K15" i="4"/>
  <c r="J15" i="4"/>
  <c r="K20" i="7"/>
  <c r="J20" i="7"/>
  <c r="L20" i="7"/>
  <c r="N20" i="7" s="1"/>
  <c r="I11" i="4"/>
  <c r="H8" i="11"/>
  <c r="D9" i="4"/>
  <c r="M16" i="7"/>
  <c r="E9" i="4" s="1"/>
  <c r="F9" i="11"/>
  <c r="E9" i="11"/>
  <c r="K12" i="4"/>
  <c r="J12" i="4"/>
  <c r="C10" i="4"/>
  <c r="D7" i="11"/>
  <c r="O17" i="7"/>
  <c r="O21" i="7"/>
  <c r="D11" i="11"/>
  <c r="C14" i="4"/>
  <c r="M15" i="7"/>
  <c r="E8" i="4" s="1"/>
  <c r="D8" i="4"/>
  <c r="M22" i="7"/>
  <c r="E15" i="4" s="1"/>
  <c r="D15" i="4"/>
  <c r="I13" i="4"/>
  <c r="H10" i="11"/>
  <c r="I16" i="4"/>
  <c r="H13" i="11"/>
  <c r="I14" i="4"/>
  <c r="H11" i="11"/>
  <c r="D14" i="11"/>
  <c r="C17" i="4"/>
  <c r="O24" i="7"/>
  <c r="F6" i="11"/>
  <c r="E6" i="11"/>
  <c r="J9" i="4"/>
  <c r="K9" i="4"/>
  <c r="M19" i="7"/>
  <c r="E12" i="4" s="1"/>
  <c r="D12" i="4"/>
  <c r="H15" i="4"/>
  <c r="G12" i="11"/>
  <c r="O26" i="7" l="1"/>
  <c r="B112" i="5" s="1"/>
  <c r="D13" i="4"/>
  <c r="M20" i="7"/>
  <c r="E13" i="4" s="1"/>
  <c r="E8" i="11"/>
  <c r="F8" i="11"/>
  <c r="J11" i="4"/>
  <c r="K11" i="4"/>
  <c r="J16" i="4"/>
  <c r="F13" i="11"/>
  <c r="E13" i="11"/>
  <c r="K16" i="4"/>
  <c r="H17" i="4"/>
  <c r="G14" i="11"/>
  <c r="H13" i="4"/>
  <c r="G10" i="11"/>
  <c r="H10" i="4"/>
  <c r="G7" i="11"/>
  <c r="D11" i="4"/>
  <c r="M18" i="7"/>
  <c r="E11" i="4" s="1"/>
  <c r="M23" i="7"/>
  <c r="E16" i="4" s="1"/>
  <c r="D16" i="4"/>
  <c r="H14" i="4"/>
  <c r="G11" i="11"/>
  <c r="J10" i="4"/>
  <c r="E7" i="11"/>
  <c r="F7" i="11"/>
  <c r="K10" i="4"/>
  <c r="H11" i="4"/>
  <c r="G8" i="11"/>
  <c r="M24" i="7"/>
  <c r="E17" i="4" s="1"/>
  <c r="D17" i="4"/>
  <c r="K14" i="4"/>
  <c r="E11" i="11"/>
  <c r="F11" i="11"/>
  <c r="J14" i="4"/>
  <c r="F10" i="11"/>
  <c r="E10" i="11"/>
  <c r="K13" i="4"/>
  <c r="J13" i="4"/>
  <c r="M17" i="7"/>
  <c r="E10" i="4" s="1"/>
  <c r="D10" i="4"/>
  <c r="H16" i="4"/>
  <c r="G13" i="11"/>
  <c r="F14" i="11"/>
  <c r="E14" i="11"/>
  <c r="J17" i="4"/>
  <c r="K17" i="4"/>
  <c r="M21" i="7"/>
  <c r="E14" i="4" s="1"/>
  <c r="D14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<sst xmlns="http://schemas.openxmlformats.org/spreadsheetml/2006/main" count="763" uniqueCount="515">
  <si>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</si>
  <si>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</si>
  <si>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</si>
  <si>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</si>
  <si>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</si>
  <si>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</si>
  <si>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</si>
  <si>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</si>
  <si>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</si>
  <si>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</si>
  <si>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</si>
  <si>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</si>
  <si>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</si>
  <si>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</si>
  <si>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</si>
  <si>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</si>
  <si>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</si>
  <si>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</si>
  <si>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</si>
  <si>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</si>
  <si>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</si>
  <si>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</si>
  <si>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</si>
  <si>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</si>
  <si>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</si>
  <si>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</si>
  <si>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</si>
  <si>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</si>
  <si>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</si>
  <si>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</si>
  <si>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</si>
  <si>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</si>
  <si>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</si>
  <si>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</si>
  <si>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</si>
  <si>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</si>
  <si>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</si>
  <si>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</si>
  <si>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</si>
  <si>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</si>
  <si>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</si>
  <si>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</si>
  <si>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</si>
  <si>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</si>
  <si>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</si>
  <si>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</si>
  <si>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</si>
  <si>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</si>
  <si>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</si>
  <si>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</si>
  <si>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</si>
  <si>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</si>
  <si>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</si>
  <si>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</si>
  <si>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</si>
  <si>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</si>
  <si>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</si>
  <si>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</si>
  <si>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</si>
  <si>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</si>
  <si>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</si>
  <si>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</si>
  <si>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</si>
  <si>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</si>
  <si>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</si>
  <si>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</si>
  <si>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</si>
  <si>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</si>
  <si>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</si>
  <si>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</si>
  <si>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</si>
  <si>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</si>
  <si>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</si>
  <si>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</si>
  <si>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</si>
  <si>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</si>
  <si>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</si>
  <si>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</si>
  <si>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</si>
  <si>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</si>
  <si>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</si>
  <si>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</si>
  <si>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</si>
  <si>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</si>
  <si>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</si>
  <si>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</si>
  <si>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</si>
  <si>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</si>
  <si>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</si>
  <si>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</si>
  <si>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</si>
  <si>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</si>
  <si>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</si>
  <si>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</si>
  <si>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</si>
  <si>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</si>
  <si>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</si>
  <si>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</si>
  <si>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</si>
  <si>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</si>
  <si>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</si>
  <si>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</si>
  <si>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</si>
  <si>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</si>
  <si>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</si>
  <si>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</si>
  <si>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</si>
  <si>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</si>
  <si>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</si>
  <si>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</si>
  <si>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</si>
  <si>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</si>
  <si>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</si>
  <si>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</si>
  <si>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</si>
  <si>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</si>
  <si>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</si>
  <si>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</si>
  <si>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</si>
  <si>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</si>
  <si>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</si>
  <si>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</si>
  <si>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</si>
  <si>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</si>
  <si>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</si>
  <si>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</si>
  <si>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</si>
  <si>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</si>
  <si>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</si>
  <si>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</si>
  <si>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</si>
  <si>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</si>
  <si>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</si>
  <si>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</si>
  <si>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</si>
  <si>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</si>
  <si>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</si>
  <si>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</si>
  <si>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</si>
  <si>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</si>
  <si>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</si>
  <si>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</si>
  <si>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</si>
  <si>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</si>
  <si>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</si>
  <si>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</si>
  <si>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</si>
  <si>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</si>
  <si>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</si>
  <si>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</si>
  <si>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</si>
  <si>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</si>
  <si>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</si>
  <si>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</si>
  <si>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</si>
  <si>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</si>
  <si>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</si>
  <si>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</si>
  <si>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</si>
  <si>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</si>
  <si>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</si>
  <si>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</si>
  <si>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</si>
  <si>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</si>
  <si>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</si>
  <si>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</si>
  <si>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</si>
  <si>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</si>
  <si>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</si>
  <si>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</si>
  <si>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</si>
  <si>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</si>
  <si>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</si>
  <si>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</si>
  <si>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</si>
  <si>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</si>
  <si>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</si>
  <si>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</si>
  <si>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</si>
  <si>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</si>
  <si>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</si>
  <si>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</si>
  <si>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</si>
  <si>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</si>
  <si>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</si>
  <si>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</si>
  <si>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</si>
  <si>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</si>
  <si>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</si>
  <si>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</si>
  <si>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</si>
  <si>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</si>
  <si>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</si>
  <si>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</si>
  <si>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</si>
  <si>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</si>
  <si>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</si>
  <si>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</si>
  <si>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</si>
  <si>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</si>
  <si>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</si>
  <si>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</si>
  <si>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</si>
  <si>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</si>
  <si>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</si>
  <si>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</si>
  <si>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</si>
  <si>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</si>
  <si>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</si>
  <si>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</si>
  <si>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</si>
  <si>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</si>
  <si>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</si>
  <si>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</si>
  <si>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</si>
  <si>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</si>
  <si>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</si>
  <si>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</si>
  <si>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</si>
  <si>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</si>
  <si>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</si>
  <si>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</si>
  <si>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</si>
  <si>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</si>
  <si>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</si>
  <si>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</si>
  <si>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</si>
  <si>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</si>
  <si>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</si>
  <si>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</si>
  <si>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</si>
  <si>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</si>
  <si>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</si>
  <si>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</si>
  <si>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</si>
  <si>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</si>
  <si>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</si>
  <si>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</si>
  <si>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</si>
  <si>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</si>
  <si>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</si>
  <si>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</si>
  <si>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</si>
  <si>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</si>
  <si>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</si>
  <si>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</si>
  <si>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</si>
  <si>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</si>
  <si>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</si>
  <si>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</si>
  <si>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</si>
  <si>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</si>
  <si>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</si>
  <si>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</si>
  <si>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</si>
  <si>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</si>
  <si>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</si>
  <si>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</si>
  <si>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</si>
  <si>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</si>
  <si>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</si>
  <si>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</si>
  <si>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</si>
  <si>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</si>
  <si>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</si>
  <si>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</si>
  <si>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</si>
  <si>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</si>
  <si>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</si>
  <si>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</si>
  <si>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</si>
  <si>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</si>
  <si>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</si>
  <si>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</si>
  <si>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</si>
  <si>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</si>
  <si>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</si>
  <si>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</si>
  <si>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</si>
  <si>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</si>
  <si>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</si>
  <si>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</si>
  <si>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</si>
  <si>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</si>
  <si>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</si>
  <si>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</si>
  <si>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</si>
  <si>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</si>
  <si>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</si>
  <si>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</si>
  <si>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</si>
  <si>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</si>
  <si>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</si>
  <si>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</si>
  <si>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</si>
  <si>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</si>
  <si>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</si>
  <si>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</si>
  <si>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</si>
  <si>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</si>
  <si>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</si>
  <si>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</si>
  <si>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</si>
  <si>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</si>
  <si>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</si>
  <si>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</si>
  <si>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</si>
  <si>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</si>
  <si>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</si>
  <si>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</si>
  <si>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</si>
  <si>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</si>
  <si>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</si>
  <si>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</si>
  <si>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</si>
  <si>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</si>
  <si>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</si>
  <si>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</si>
  <si>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</si>
  <si>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</si>
  <si>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</si>
  <si>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</si>
  <si>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</si>
  <si>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</si>
  <si>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</si>
  <si>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</si>
  <si>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</si>
  <si>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</si>
  <si>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</si>
  <si>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</si>
  <si>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</si>
  <si>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</si>
  <si>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</si>
  <si>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</si>
  <si>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</si>
  <si>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</si>
  <si>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</si>
  <si>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</si>
  <si>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</si>
  <si>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</si>
  <si>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</si>
  <si>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</si>
  <si>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</si>
  <si>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</si>
  <si>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</si>
  <si>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</si>
  <si>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</si>
  <si>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</si>
  <si>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</si>
  <si>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</si>
  <si>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</si>
  <si>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</si>
  <si>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</si>
  <si>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</si>
  <si>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</si>
  <si>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</si>
  <si>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</si>
  <si>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</si>
  <si>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</si>
  <si>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</si>
  <si>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</si>
  <si>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</si>
  <si>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</si>
  <si>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</si>
  <si>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</si>
  <si>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</si>
  <si>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</si>
  <si>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</si>
  <si>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</si>
  <si>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</si>
  <si>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</si>
  <si>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</si>
  <si>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</si>
  <si>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</si>
  <si>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</si>
  <si>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</si>
  <si>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</si>
  <si>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</si>
  <si>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</si>
  <si>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</si>
  <si>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</si>
  <si>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</si>
  <si>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</si>
  <si>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</si>
  <si>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</si>
  <si>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</si>
  <si>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</si>
  <si>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</si>
  <si>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</si>
  <si>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</si>
  <si>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</si>
  <si>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</si>
  <si>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</si>
  <si>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</si>
  <si>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</si>
  <si>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</si>
  <si>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</si>
  <si>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</si>
  <si>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</si>
  <si>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</si>
  <si>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</si>
  <si>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</si>
  <si>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</si>
  <si>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</si>
  <si>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</si>
  <si>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</si>
  <si>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</si>
  <si>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</si>
  <si>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</si>
  <si>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</si>
  <si>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</si>
  <si>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</si>
  <si>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</si>
  <si>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</si>
  <si>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</si>
  <si>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</si>
  <si>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</si>
  <si>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</si>
  <si>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</si>
  <si>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&lt;-- changed GenEff defn (JR)</t>
  </si>
  <si>
    <t>Gain scheduling exponent</t>
  </si>
  <si>
    <t>Gain scheduling start pitch angle (deg)</t>
  </si>
  <si>
    <t>Gain scheduling end pitch angle (deg)</t>
  </si>
  <si>
    <t>Time step (sec)</t>
  </si>
  <si>
    <t>simple quadratic (not optimal)</t>
  </si>
  <si>
    <t>Generator torque constant (HSS N-m/rpm^2)</t>
  </si>
  <si>
    <t>from CertTest 1.5 WindPACT</t>
  </si>
  <si>
    <t>AirDens</t>
  </si>
  <si>
    <t>Units</t>
  </si>
  <si>
    <t>Key</t>
  </si>
  <si>
    <t>Values</t>
  </si>
  <si>
    <t>-</t>
  </si>
  <si>
    <t>kg-m^2</t>
  </si>
  <si>
    <t>TipRad</t>
  </si>
  <si>
    <t>HubRad</t>
  </si>
  <si>
    <t>FoilNm</t>
  </si>
  <si>
    <t>BldDmp</t>
  </si>
  <si>
    <t>BlFract</t>
  </si>
  <si>
    <t>GenAxisLoc</t>
  </si>
  <si>
    <t>UnitWeight</t>
  </si>
  <si>
    <t xml:space="preserve">      AirfoilID</t>
  </si>
  <si>
    <t>TowerHt</t>
  </si>
  <si>
    <t>Twr2Shft</t>
  </si>
  <si>
    <t>OverHang</t>
  </si>
  <si>
    <t>deg</t>
  </si>
  <si>
    <t>PreCone</t>
  </si>
  <si>
    <t>ShftTilt</t>
  </si>
  <si>
    <t>HubMass</t>
  </si>
  <si>
    <t>NacYIner</t>
  </si>
  <si>
    <t>HubIner</t>
  </si>
  <si>
    <t>VS_RtGnSp</t>
  </si>
  <si>
    <t>VS_RtTq</t>
  </si>
  <si>
    <t>VS_Rgn2K</t>
  </si>
  <si>
    <t>N-m/HSSrpm^2</t>
  </si>
  <si>
    <t>CNST(2)</t>
  </si>
  <si>
    <t>CNST(4)</t>
  </si>
  <si>
    <t>CNST(5)</t>
  </si>
  <si>
    <t>CNST(6)</t>
  </si>
  <si>
    <t>CNST(7)</t>
  </si>
  <si>
    <t>CNST(8)</t>
  </si>
  <si>
    <t>CNST(9)</t>
  </si>
  <si>
    <t>CNST(10)</t>
  </si>
  <si>
    <t>s</t>
  </si>
  <si>
    <t>rad</t>
  </si>
  <si>
    <t>rotor speed set point</t>
  </si>
  <si>
    <t>min pitch angle</t>
  </si>
  <si>
    <t>max pitch angle</t>
  </si>
  <si>
    <t>pitch time step</t>
  </si>
  <si>
    <t>gain scheduling start angle</t>
  </si>
  <si>
    <t>gain scheduling end angle</t>
  </si>
  <si>
    <t>gain scheduling coefficient</t>
  </si>
  <si>
    <t>gain scheduling exponent</t>
  </si>
  <si>
    <t>NacCMxn</t>
  </si>
  <si>
    <t>NacCMzn</t>
  </si>
  <si>
    <t>NacCMyn</t>
  </si>
  <si>
    <t>NacMass</t>
  </si>
  <si>
    <t>GenIner</t>
  </si>
  <si>
    <t>GenEff</t>
  </si>
  <si>
    <t>GBRatio</t>
  </si>
  <si>
    <t>DTTorSpr</t>
  </si>
  <si>
    <t>N-m/rad</t>
  </si>
  <si>
    <t>N-m/(rad/s)</t>
  </si>
  <si>
    <t>DTTorDmp</t>
  </si>
  <si>
    <t>W</t>
  </si>
  <si>
    <t>RatedPwr</t>
  </si>
  <si>
    <t>TwrDmp</t>
  </si>
  <si>
    <t>TwrSchedFields</t>
  </si>
  <si>
    <t>TMassDen</t>
  </si>
  <si>
    <t>TwFAStif</t>
  </si>
  <si>
    <t>TwSSStif</t>
  </si>
  <si>
    <t>TwGJStif</t>
  </si>
  <si>
    <t>TwEAStif</t>
  </si>
  <si>
    <t>HtFract</t>
  </si>
  <si>
    <t>DistBldProps</t>
  </si>
  <si>
    <t>AeroCent</t>
  </si>
  <si>
    <t>StrcTwst</t>
  </si>
  <si>
    <t>BMassDen</t>
  </si>
  <si>
    <t>FlpStff</t>
  </si>
  <si>
    <t>EdgStff</t>
  </si>
  <si>
    <t>GJStff</t>
  </si>
  <si>
    <t>EAStff</t>
  </si>
  <si>
    <t>RNodes</t>
  </si>
  <si>
    <t>DTAero</t>
  </si>
  <si>
    <t>ADSchedFields</t>
  </si>
  <si>
    <t>AeroTwst</t>
  </si>
  <si>
    <t>DRNodes</t>
  </si>
  <si>
    <t>NFoil</t>
  </si>
  <si>
    <t>BldNodes</t>
  </si>
  <si>
    <t>ADSched Calculations</t>
  </si>
  <si>
    <t>BlPitchF</t>
  </si>
  <si>
    <t>N-m</t>
  </si>
  <si>
    <t>P2P_Num</t>
  </si>
  <si>
    <t>P2P_Den</t>
  </si>
  <si>
    <t>numerator blade pitch actuator TF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</si>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</sst>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  <numFmt numFmtId="174" formatCode="0.00000E+00"/>
    <numFmt numFmtId="175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0" borderId="0" xfId="0" applyNumberFormat="1" applyFill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0" fontId="0" fillId="0" borderId="0" xfId="0" applyNumberFormat="1"/>
    <xf numFmtId="0" fontId="21" fillId="6" borderId="39" xfId="0" applyFont="1" applyFill="1" applyBorder="1" applyAlignment="1">
      <alignment horizontal="center"/>
    </xf>
    <xf numFmtId="0" fontId="3" fillId="6" borderId="39" xfId="0" applyFont="1" applyFill="1" applyBorder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/>
    <xf numFmtId="171" fontId="0" fillId="0" borderId="0" xfId="0" applyNumberFormat="1" applyAlignment="1">
      <alignment horizontal="right"/>
    </xf>
    <xf numFmtId="174" fontId="0" fillId="0" borderId="0" xfId="0" applyNumberFormat="1" applyBorder="1"/>
    <xf numFmtId="174" fontId="0" fillId="0" borderId="0" xfId="0" applyNumberFormat="1" applyAlignment="1">
      <alignment horizontal="right"/>
    </xf>
    <xf numFmtId="0" fontId="3" fillId="6" borderId="40" xfId="0" applyFont="1" applyFill="1" applyBorder="1"/>
    <xf numFmtId="165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75808"/>
        <c:axId val="95177728"/>
      </c:scatterChart>
      <c:valAx>
        <c:axId val="95175808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77728"/>
        <c:crossesAt val="-10"/>
        <c:crossBetween val="midCat"/>
      </c:valAx>
      <c:valAx>
        <c:axId val="9517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175808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95249</xdr:rowOff>
    </xdr:from>
    <xdr:to>
      <xdr:col>15</xdr:col>
      <xdr:colOff>514350</xdr:colOff>
      <xdr:row>72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8, 2015    Changed "GenAxisLoc","UnitWeight","AirfoilID" names to have no spaces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8"/>
  <sheetViews>
    <sheetView topLeftCell="A20" zoomScale="115" zoomScaleNormal="115" workbookViewId="0">
      <selection activeCell="A37" sqref="A37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6" t="s">
        <v>404</v>
      </c>
      <c r="C1" s="405" t="s">
        <v>398</v>
      </c>
      <c r="D1" s="406"/>
      <c r="E1" s="406"/>
      <c r="F1" s="406"/>
      <c r="G1" s="406"/>
      <c r="H1" s="40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9" t="s">
        <v>119</v>
      </c>
      <c r="C3" s="400"/>
      <c r="D3" s="401"/>
      <c r="E3" s="35"/>
      <c r="F3" s="402" t="s">
        <v>18</v>
      </c>
      <c r="G3" s="403"/>
      <c r="H3" s="40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PI()*(B67^4-B68^4)/32/(GECdrivetrain!C7)*GECtwrdata!F7</f>
        <v>129646444.93189973</v>
      </c>
      <c r="D14" s="352" t="s">
        <v>416</v>
      </c>
      <c r="E14" s="353"/>
    </row>
    <row r="15" spans="1:8">
      <c r="A15" s="61" t="s">
        <v>418</v>
      </c>
      <c r="B15" s="378">
        <v>5</v>
      </c>
      <c r="D15" s="352" t="s">
        <v>402</v>
      </c>
      <c r="E15" s="353"/>
    </row>
    <row r="16" spans="1:8">
      <c r="A16" s="61" t="s">
        <v>417</v>
      </c>
      <c r="B16" s="378">
        <v>665139</v>
      </c>
      <c r="D16" s="352" t="s">
        <v>402</v>
      </c>
      <c r="E16" s="353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408" t="s">
        <v>373</v>
      </c>
      <c r="E19" s="407"/>
      <c r="F19" s="407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408" t="s">
        <v>372</v>
      </c>
      <c r="E20" s="407"/>
      <c r="F20" s="407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B89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B92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28.647889756541161</v>
      </c>
    </row>
    <row r="30" spans="1:21" ht="9.75" customHeight="1">
      <c r="A30" s="100" t="s">
        <v>375</v>
      </c>
      <c r="B30" s="267">
        <f>B92*1000/(B29*PI()/30)/(B19-C19-B20-C20)</f>
        <v>270270.2702702703</v>
      </c>
    </row>
    <row r="31" spans="1:21" ht="9.75" customHeight="1">
      <c r="A31" s="355" t="s">
        <v>403</v>
      </c>
      <c r="B31" s="267">
        <f>B92*1000/(B87*PI()/30)/(B19)</f>
        <v>4188.2879761025097</v>
      </c>
      <c r="D31" s="352" t="s">
        <v>419</v>
      </c>
      <c r="E31" s="353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79" t="s">
        <v>421</v>
      </c>
      <c r="B37" s="273">
        <v>2.6</v>
      </c>
      <c r="D37" s="352" t="s">
        <v>426</v>
      </c>
      <c r="E37" s="353"/>
    </row>
    <row r="38" spans="1:5" ht="12" customHeight="1">
      <c r="A38" s="379" t="s">
        <v>422</v>
      </c>
      <c r="B38" s="273">
        <v>30</v>
      </c>
      <c r="D38" s="352" t="s">
        <v>426</v>
      </c>
      <c r="E38" s="353"/>
    </row>
    <row r="39" spans="1:5" ht="12" customHeight="1">
      <c r="A39" s="379" t="s">
        <v>420</v>
      </c>
      <c r="B39" s="273">
        <v>-0.5</v>
      </c>
      <c r="D39" s="352" t="s">
        <v>426</v>
      </c>
      <c r="E39" s="353"/>
    </row>
    <row r="40" spans="1:5" ht="12" customHeight="1">
      <c r="A40" s="379" t="s">
        <v>423</v>
      </c>
      <c r="B40" s="273">
        <v>2.5000000000000001E-2</v>
      </c>
      <c r="D40" s="352" t="s">
        <v>426</v>
      </c>
      <c r="E40" s="353"/>
    </row>
    <row r="41" spans="1:5" ht="12" customHeight="1">
      <c r="A41" s="354"/>
      <c r="B41" s="357"/>
    </row>
    <row r="42" spans="1:5" ht="12" customHeight="1">
      <c r="A42" s="109" t="s">
        <v>405</v>
      </c>
      <c r="B42" s="29"/>
      <c r="D42" s="359"/>
      <c r="E42" s="5"/>
    </row>
    <row r="43" spans="1:5" ht="12" customHeight="1">
      <c r="A43" s="379" t="s">
        <v>425</v>
      </c>
      <c r="B43" s="273">
        <f>B31/B87^2</f>
        <v>1.2926814741057128E-3</v>
      </c>
      <c r="D43" s="352" t="s">
        <v>424</v>
      </c>
      <c r="E43" s="353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379" t="s">
        <v>206</v>
      </c>
      <c r="B46" s="274">
        <v>1.33</v>
      </c>
    </row>
    <row r="47" spans="1:5">
      <c r="A47" s="379" t="s">
        <v>123</v>
      </c>
      <c r="B47" s="275">
        <v>2</v>
      </c>
    </row>
    <row r="48" spans="1:5" ht="15" customHeight="1">
      <c r="A48" s="379" t="s">
        <v>124</v>
      </c>
      <c r="B48" s="275">
        <v>9</v>
      </c>
    </row>
    <row r="49" spans="1:4" ht="11.25" customHeight="1">
      <c r="A49" s="379" t="s">
        <v>125</v>
      </c>
      <c r="B49" s="275">
        <v>3.75</v>
      </c>
    </row>
    <row r="50" spans="1:4" ht="13.5" customHeight="1">
      <c r="A50" s="379" t="s">
        <v>126</v>
      </c>
      <c r="B50" s="275">
        <v>15</v>
      </c>
    </row>
    <row r="51" spans="1:4" ht="13.5" customHeight="1">
      <c r="A51" s="379" t="s">
        <v>384</v>
      </c>
      <c r="B51" s="330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3.1469175392670157</v>
      </c>
    </row>
    <row r="55" spans="1:4">
      <c r="A55" s="2" t="s">
        <v>12</v>
      </c>
      <c r="C55" s="5"/>
    </row>
    <row r="56" spans="1:4">
      <c r="A56" s="110" t="s">
        <v>127</v>
      </c>
      <c r="B56" s="276">
        <v>2.5</v>
      </c>
      <c r="C56" t="s">
        <v>85</v>
      </c>
      <c r="D56" t="s">
        <v>128</v>
      </c>
    </row>
    <row r="57" spans="1:4">
      <c r="A57" s="110" t="s">
        <v>129</v>
      </c>
      <c r="B57" s="276">
        <v>1.35</v>
      </c>
      <c r="C57" t="s">
        <v>85</v>
      </c>
      <c r="D57" s="270" t="s">
        <v>380</v>
      </c>
    </row>
    <row r="58" spans="1:4" ht="10.9" customHeight="1">
      <c r="A58" s="110" t="s">
        <v>130</v>
      </c>
      <c r="B58" s="276">
        <v>1.2</v>
      </c>
      <c r="C58" t="s">
        <v>85</v>
      </c>
      <c r="D58" t="s">
        <v>397</v>
      </c>
    </row>
    <row r="59" spans="1:4">
      <c r="A59" s="110" t="s">
        <v>131</v>
      </c>
      <c r="B59" s="276">
        <v>3.3000000000000002E-2</v>
      </c>
      <c r="C59" t="s">
        <v>85</v>
      </c>
      <c r="D59" s="270" t="s">
        <v>376</v>
      </c>
    </row>
    <row r="60" spans="1:4">
      <c r="A60" s="18" t="s">
        <v>132</v>
      </c>
      <c r="B60" s="277">
        <v>7850</v>
      </c>
      <c r="C60" t="s">
        <v>102</v>
      </c>
    </row>
    <row r="61" spans="1:4">
      <c r="A61" s="18" t="s">
        <v>133</v>
      </c>
      <c r="B61" s="276">
        <v>-2.33</v>
      </c>
      <c r="C61" t="s">
        <v>85</v>
      </c>
      <c r="D61" t="s">
        <v>134</v>
      </c>
    </row>
    <row r="62" spans="1:4">
      <c r="A62" s="18" t="s">
        <v>135</v>
      </c>
      <c r="B62" s="276">
        <v>0</v>
      </c>
      <c r="C62" t="s">
        <v>85</v>
      </c>
    </row>
    <row r="63" spans="1:4">
      <c r="A63" s="18" t="s">
        <v>136</v>
      </c>
      <c r="B63" s="276">
        <v>0</v>
      </c>
      <c r="C63" t="s">
        <v>85</v>
      </c>
    </row>
    <row r="64" spans="1:4">
      <c r="A64" s="18"/>
      <c r="B64" s="124"/>
    </row>
    <row r="65" spans="1:4">
      <c r="A65" s="111" t="s">
        <v>137</v>
      </c>
      <c r="B65" s="125"/>
    </row>
    <row r="66" spans="1:4">
      <c r="A66" s="18" t="s">
        <v>138</v>
      </c>
      <c r="B66" s="276">
        <v>1.3979999999999999</v>
      </c>
      <c r="C66" t="s">
        <v>85</v>
      </c>
      <c r="D66" t="s">
        <v>379</v>
      </c>
    </row>
    <row r="67" spans="1:4">
      <c r="A67" s="18" t="s">
        <v>139</v>
      </c>
      <c r="B67" s="276">
        <v>0.4</v>
      </c>
      <c r="C67" t="s">
        <v>85</v>
      </c>
    </row>
    <row r="68" spans="1:4">
      <c r="A68" s="18" t="s">
        <v>140</v>
      </c>
      <c r="B68" s="276">
        <v>0.2</v>
      </c>
      <c r="C68" t="s">
        <v>85</v>
      </c>
      <c r="D68" t="s">
        <v>141</v>
      </c>
    </row>
    <row r="69" spans="1:4">
      <c r="A69" s="18" t="s">
        <v>132</v>
      </c>
      <c r="B69" s="277">
        <v>7850</v>
      </c>
      <c r="C69" t="s">
        <v>102</v>
      </c>
    </row>
    <row r="70" spans="1:4">
      <c r="A70" s="18" t="s">
        <v>135</v>
      </c>
      <c r="B70" s="276">
        <v>0</v>
      </c>
      <c r="C70" t="s">
        <v>85</v>
      </c>
      <c r="D70" t="s">
        <v>142</v>
      </c>
    </row>
    <row r="71" spans="1:4">
      <c r="A71" s="18" t="s">
        <v>136</v>
      </c>
      <c r="B71" s="276">
        <v>0</v>
      </c>
      <c r="C71" t="s">
        <v>85</v>
      </c>
    </row>
    <row r="72" spans="1:4">
      <c r="A72" s="18"/>
      <c r="B72" s="124"/>
    </row>
    <row r="73" spans="1:4">
      <c r="A73" s="111" t="s">
        <v>143</v>
      </c>
      <c r="B73" s="125"/>
    </row>
    <row r="74" spans="1:4">
      <c r="A74" s="18" t="s">
        <v>144</v>
      </c>
      <c r="B74" s="276">
        <v>-1.631</v>
      </c>
      <c r="C74" t="s">
        <v>85</v>
      </c>
      <c r="D74" t="s">
        <v>145</v>
      </c>
    </row>
    <row r="75" spans="1:4">
      <c r="A75" s="18" t="s">
        <v>146</v>
      </c>
      <c r="B75" s="276">
        <v>0</v>
      </c>
      <c r="C75" t="s">
        <v>85</v>
      </c>
    </row>
    <row r="76" spans="1:4">
      <c r="A76" s="18" t="s">
        <v>147</v>
      </c>
      <c r="B76" s="276">
        <v>0</v>
      </c>
      <c r="C76" t="s">
        <v>85</v>
      </c>
    </row>
    <row r="77" spans="1:4">
      <c r="A77" s="18" t="s">
        <v>148</v>
      </c>
      <c r="B77" s="276">
        <v>-0.46600000000000003</v>
      </c>
      <c r="C77" t="s">
        <v>85</v>
      </c>
      <c r="D77" t="s">
        <v>149</v>
      </c>
    </row>
    <row r="78" spans="1:4">
      <c r="A78" s="18" t="s">
        <v>150</v>
      </c>
      <c r="B78" s="276">
        <v>0</v>
      </c>
      <c r="C78" t="s">
        <v>85</v>
      </c>
    </row>
    <row r="79" spans="1:4">
      <c r="A79" s="18" t="s">
        <v>151</v>
      </c>
      <c r="B79" s="276">
        <v>0</v>
      </c>
      <c r="C79" t="s">
        <v>85</v>
      </c>
    </row>
    <row r="80" spans="1:4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8">
        <v>4723</v>
      </c>
      <c r="C82" t="s">
        <v>117</v>
      </c>
      <c r="D82" t="s">
        <v>154</v>
      </c>
    </row>
    <row r="83" spans="1:4">
      <c r="A83" s="18" t="s">
        <v>133</v>
      </c>
      <c r="B83" s="276">
        <v>0</v>
      </c>
      <c r="C83" t="s">
        <v>85</v>
      </c>
      <c r="D83" t="s">
        <v>155</v>
      </c>
    </row>
    <row r="84" spans="1:4">
      <c r="A84" s="18" t="s">
        <v>135</v>
      </c>
      <c r="B84" s="276">
        <v>0</v>
      </c>
      <c r="C84" t="s">
        <v>85</v>
      </c>
    </row>
    <row r="85" spans="1:4">
      <c r="A85" s="18" t="s">
        <v>136</v>
      </c>
      <c r="B85" s="276">
        <v>0</v>
      </c>
      <c r="C85" t="s">
        <v>85</v>
      </c>
    </row>
    <row r="86" spans="1:4">
      <c r="A86" s="18" t="s">
        <v>392</v>
      </c>
      <c r="B86" s="276">
        <v>75</v>
      </c>
      <c r="C86" t="s">
        <v>393</v>
      </c>
    </row>
    <row r="87" spans="1:4">
      <c r="A87" s="18" t="s">
        <v>394</v>
      </c>
      <c r="B87" s="276">
        <v>1800</v>
      </c>
      <c r="C87" t="s">
        <v>395</v>
      </c>
    </row>
    <row r="88" spans="1:4">
      <c r="A88" s="18" t="s">
        <v>156</v>
      </c>
      <c r="B88" s="334">
        <f>B87/B89</f>
        <v>62.831853071795862</v>
      </c>
    </row>
    <row r="89" spans="1:4">
      <c r="A89" s="18" t="s">
        <v>157</v>
      </c>
      <c r="B89" s="334">
        <f>B86/B13*2*30/PI()</f>
        <v>28.647889756541161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79">
        <v>750</v>
      </c>
      <c r="C92" t="s">
        <v>160</v>
      </c>
    </row>
    <row r="93" spans="1:4">
      <c r="A93" s="18" t="s">
        <v>133</v>
      </c>
      <c r="B93" s="276">
        <v>0.58250000000000002</v>
      </c>
      <c r="C93" t="s">
        <v>85</v>
      </c>
      <c r="D93" t="s">
        <v>161</v>
      </c>
    </row>
    <row r="94" spans="1:4">
      <c r="A94" s="18" t="s">
        <v>135</v>
      </c>
      <c r="B94" s="280">
        <v>0</v>
      </c>
      <c r="C94" t="s">
        <v>85</v>
      </c>
    </row>
    <row r="95" spans="1:4">
      <c r="A95" s="18" t="s">
        <v>136</v>
      </c>
      <c r="B95" s="280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0">
        <v>1.631</v>
      </c>
      <c r="C98" t="s">
        <v>85</v>
      </c>
      <c r="D98" t="s">
        <v>163</v>
      </c>
    </row>
    <row r="99" spans="1:4">
      <c r="A99" s="18" t="s">
        <v>164</v>
      </c>
      <c r="B99" s="276">
        <v>1.7475000000000001</v>
      </c>
      <c r="C99" t="s">
        <v>85</v>
      </c>
      <c r="D99" t="s">
        <v>165</v>
      </c>
    </row>
    <row r="100" spans="1:4">
      <c r="A100" s="18" t="s">
        <v>166</v>
      </c>
      <c r="B100" s="276">
        <v>0.74560000000000004</v>
      </c>
      <c r="C100" t="s">
        <v>85</v>
      </c>
    </row>
    <row r="101" spans="1:4">
      <c r="A101" s="18" t="s">
        <v>167</v>
      </c>
      <c r="B101" s="276">
        <v>0.13</v>
      </c>
      <c r="C101" t="s">
        <v>85</v>
      </c>
    </row>
    <row r="102" spans="1:4">
      <c r="A102" s="18" t="s">
        <v>168</v>
      </c>
      <c r="B102" s="276">
        <v>0.13</v>
      </c>
      <c r="C102" t="s">
        <v>85</v>
      </c>
    </row>
    <row r="103" spans="1:4">
      <c r="A103" s="18" t="s">
        <v>132</v>
      </c>
      <c r="B103" s="277">
        <v>7850</v>
      </c>
      <c r="C103" t="s">
        <v>85</v>
      </c>
    </row>
    <row r="104" spans="1:4">
      <c r="A104" s="18" t="s">
        <v>133</v>
      </c>
      <c r="B104" s="280">
        <v>0</v>
      </c>
      <c r="C104" t="s">
        <v>85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-0.56850000000000001</v>
      </c>
      <c r="C106" t="s">
        <v>85</v>
      </c>
      <c r="D106" t="s">
        <v>169</v>
      </c>
    </row>
    <row r="108" spans="1:4">
      <c r="A108" s="111" t="s">
        <v>387</v>
      </c>
    </row>
    <row r="109" spans="1:4">
      <c r="A109" s="331" t="s">
        <v>388</v>
      </c>
      <c r="B109" s="332">
        <f>'Blade Data'!R32*B10+E8</f>
        <v>12381.263055221558</v>
      </c>
      <c r="C109" t="s">
        <v>117</v>
      </c>
    </row>
    <row r="110" spans="1:4">
      <c r="A110" s="331" t="s">
        <v>389</v>
      </c>
      <c r="B110" s="332">
        <f>E5+E6+E7</f>
        <v>20950.244259671897</v>
      </c>
      <c r="C110" t="s">
        <v>117</v>
      </c>
    </row>
    <row r="111" spans="1:4">
      <c r="A111" s="331" t="s">
        <v>390</v>
      </c>
      <c r="B111" s="332">
        <f>B109+B110</f>
        <v>33331.507314893453</v>
      </c>
      <c r="C111" t="s">
        <v>117</v>
      </c>
    </row>
    <row r="112" spans="1:4">
      <c r="A112" s="18" t="s">
        <v>396</v>
      </c>
      <c r="B112" s="332">
        <f>GECtwrdata!O26</f>
        <v>53775.756106386892</v>
      </c>
      <c r="C112" t="s">
        <v>117</v>
      </c>
    </row>
    <row r="113" spans="1:13">
      <c r="A113" t="s">
        <v>347</v>
      </c>
      <c r="H113" t="s">
        <v>319</v>
      </c>
      <c r="I113" s="183"/>
      <c r="J113" s="183"/>
    </row>
    <row r="114" spans="1:13" ht="14.25">
      <c r="A114" s="184"/>
      <c r="B114" s="185"/>
      <c r="C114" s="186" t="s">
        <v>320</v>
      </c>
      <c r="D114" s="187"/>
      <c r="E114" s="185"/>
      <c r="F114" s="188" t="s">
        <v>321</v>
      </c>
      <c r="G114" s="189"/>
      <c r="H114" s="184"/>
      <c r="I114" s="190" t="s">
        <v>332</v>
      </c>
      <c r="J114" s="190" t="s">
        <v>333</v>
      </c>
      <c r="K114" s="191" t="s">
        <v>334</v>
      </c>
    </row>
    <row r="115" spans="1:13" ht="13.5">
      <c r="A115" s="192" t="s">
        <v>87</v>
      </c>
      <c r="B115" s="176" t="s">
        <v>335</v>
      </c>
      <c r="C115" s="176" t="s">
        <v>336</v>
      </c>
      <c r="D115" s="177" t="s">
        <v>337</v>
      </c>
      <c r="E115" s="177" t="s">
        <v>338</v>
      </c>
      <c r="F115" s="176" t="s">
        <v>339</v>
      </c>
      <c r="G115" s="193" t="s">
        <v>340</v>
      </c>
      <c r="H115" s="192" t="s">
        <v>87</v>
      </c>
      <c r="I115" s="176" t="s">
        <v>341</v>
      </c>
      <c r="J115" s="176" t="s">
        <v>341</v>
      </c>
      <c r="K115" s="194" t="s">
        <v>341</v>
      </c>
    </row>
    <row r="116" spans="1:13" ht="12">
      <c r="A116" s="281">
        <v>7.0000000000000007E-2</v>
      </c>
      <c r="B116" s="282">
        <v>680.46852313432544</v>
      </c>
      <c r="C116" s="283">
        <v>1557617.3955374449</v>
      </c>
      <c r="D116" s="284">
        <v>3620</v>
      </c>
      <c r="E116" s="285">
        <v>3620</v>
      </c>
      <c r="F116" s="283">
        <v>1557617.3955374449</v>
      </c>
      <c r="G116" s="286">
        <v>3620</v>
      </c>
      <c r="H116" s="287">
        <v>7.0000000000000007E-2</v>
      </c>
      <c r="I116" s="288">
        <v>2.3240623855198695E-3</v>
      </c>
      <c r="J116" s="288">
        <v>2.3240623855198695E-3</v>
      </c>
      <c r="K116" s="289">
        <v>2.3240623855198695E-3</v>
      </c>
    </row>
    <row r="117" spans="1:13" ht="12">
      <c r="A117" s="290">
        <v>0.25</v>
      </c>
      <c r="B117" s="282">
        <v>260.90607125811937</v>
      </c>
      <c r="C117" s="283">
        <v>987620</v>
      </c>
      <c r="D117" s="284">
        <v>3620</v>
      </c>
      <c r="E117" s="285">
        <v>3872.3365369527278</v>
      </c>
      <c r="F117" s="283">
        <v>189109.6258164102</v>
      </c>
      <c r="G117" s="286">
        <v>1263.1593869403541</v>
      </c>
      <c r="H117" s="291">
        <v>0.25</v>
      </c>
      <c r="I117" s="283">
        <v>3.6653773718636723E-3</v>
      </c>
      <c r="J117" s="283">
        <v>3.9208769941401836E-3</v>
      </c>
      <c r="K117" s="292">
        <v>6.6795086790909508E-3</v>
      </c>
    </row>
    <row r="118" spans="1:13" ht="12">
      <c r="A118" s="290">
        <v>0.5</v>
      </c>
      <c r="B118" s="282">
        <v>178.44378866600621</v>
      </c>
      <c r="C118" s="283">
        <v>452000</v>
      </c>
      <c r="D118" s="284">
        <v>3620</v>
      </c>
      <c r="E118" s="285">
        <v>3845.7470139995348</v>
      </c>
      <c r="F118" s="283">
        <v>100924.76937294503</v>
      </c>
      <c r="G118" s="286">
        <v>1263.1593869403541</v>
      </c>
      <c r="H118" s="291">
        <v>0.5</v>
      </c>
      <c r="I118" s="283">
        <v>8.0088495575221241E-3</v>
      </c>
      <c r="J118" s="283">
        <v>8.5082898539812716E-3</v>
      </c>
      <c r="K118" s="292">
        <v>1.2515851111560431E-2</v>
      </c>
    </row>
    <row r="119" spans="1:13" ht="12">
      <c r="A119" s="293">
        <v>0.75</v>
      </c>
      <c r="B119" s="294">
        <v>109.19318519557659</v>
      </c>
      <c r="C119" s="295">
        <v>117633</v>
      </c>
      <c r="D119" s="296">
        <v>3620</v>
      </c>
      <c r="E119" s="297">
        <v>3808.8010680071311</v>
      </c>
      <c r="F119" s="295">
        <v>39845.648743448277</v>
      </c>
      <c r="G119" s="298">
        <v>1263.1593869403541</v>
      </c>
      <c r="H119" s="299">
        <v>0.75</v>
      </c>
      <c r="I119" s="295">
        <v>3.0773677454455809E-2</v>
      </c>
      <c r="J119" s="295">
        <v>3.2378678330121063E-2</v>
      </c>
      <c r="K119" s="300">
        <v>3.1701313111335713E-2</v>
      </c>
    </row>
    <row r="121" spans="1:13">
      <c r="A121" t="s">
        <v>348</v>
      </c>
    </row>
    <row r="122" spans="1:13" ht="13.5">
      <c r="A122" s="184"/>
      <c r="B122" s="188" t="s">
        <v>88</v>
      </c>
      <c r="C122" s="188" t="s">
        <v>322</v>
      </c>
      <c r="D122" s="188" t="s">
        <v>89</v>
      </c>
      <c r="E122" s="384" t="s">
        <v>438</v>
      </c>
      <c r="F122" s="188" t="s">
        <v>324</v>
      </c>
      <c r="G122" s="188" t="s">
        <v>325</v>
      </c>
      <c r="H122" s="384" t="s">
        <v>439</v>
      </c>
      <c r="I122" s="188" t="s">
        <v>342</v>
      </c>
      <c r="J122" s="188" t="s">
        <v>343</v>
      </c>
      <c r="K122" s="188" t="s">
        <v>113</v>
      </c>
      <c r="L122" s="188" t="s">
        <v>112</v>
      </c>
      <c r="M122" s="196" t="s">
        <v>344</v>
      </c>
    </row>
    <row r="123" spans="1:13" ht="13.5">
      <c r="A123" s="192" t="s">
        <v>87</v>
      </c>
      <c r="B123" s="176" t="s">
        <v>90</v>
      </c>
      <c r="C123" s="176" t="s">
        <v>327</v>
      </c>
      <c r="D123" s="176" t="s">
        <v>328</v>
      </c>
      <c r="E123" s="176" t="s">
        <v>329</v>
      </c>
      <c r="F123" s="176" t="s">
        <v>329</v>
      </c>
      <c r="G123" s="176" t="s">
        <v>329</v>
      </c>
      <c r="H123" s="176" t="s">
        <v>330</v>
      </c>
      <c r="I123" s="176" t="s">
        <v>345</v>
      </c>
      <c r="J123" s="176" t="s">
        <v>345</v>
      </c>
      <c r="K123" s="176" t="s">
        <v>331</v>
      </c>
      <c r="L123" s="176" t="s">
        <v>345</v>
      </c>
      <c r="M123" s="194" t="s">
        <v>356</v>
      </c>
    </row>
    <row r="124" spans="1:13">
      <c r="A124" s="301">
        <v>0.05</v>
      </c>
      <c r="B124" s="302">
        <v>1.349657099314199</v>
      </c>
      <c r="C124" s="303">
        <v>1</v>
      </c>
      <c r="D124" s="303" t="s">
        <v>377</v>
      </c>
      <c r="E124" s="349">
        <v>0.25</v>
      </c>
      <c r="F124" s="302">
        <v>0.5</v>
      </c>
      <c r="G124" s="302">
        <v>0.5</v>
      </c>
      <c r="H124" s="305">
        <v>1181.9474017501359</v>
      </c>
      <c r="I124" s="306">
        <v>2362406058.2721553</v>
      </c>
      <c r="J124" s="306">
        <v>2362406058.2721553</v>
      </c>
      <c r="K124" s="306">
        <v>10326627046.93685</v>
      </c>
      <c r="L124" s="306">
        <v>815590611.695804</v>
      </c>
      <c r="M124" s="307">
        <v>538.24909552528584</v>
      </c>
    </row>
    <row r="125" spans="1:13">
      <c r="A125" s="281">
        <v>7.0000000000000007E-2</v>
      </c>
      <c r="B125" s="308">
        <v>1.3496570993141985</v>
      </c>
      <c r="C125" s="309">
        <v>1</v>
      </c>
      <c r="D125" s="309" t="s">
        <v>377</v>
      </c>
      <c r="E125" s="349">
        <v>0.25</v>
      </c>
      <c r="F125" s="308">
        <v>0.5</v>
      </c>
      <c r="G125" s="308">
        <v>0.5</v>
      </c>
      <c r="H125" s="310">
        <v>89.215305458599687</v>
      </c>
      <c r="I125" s="311">
        <v>292871613.66241747</v>
      </c>
      <c r="J125" s="311">
        <v>292871613.66241747</v>
      </c>
      <c r="K125" s="311">
        <v>1295783621.589889</v>
      </c>
      <c r="L125" s="311">
        <v>102340392.98761402</v>
      </c>
      <c r="M125" s="312">
        <v>40.627914067071856</v>
      </c>
    </row>
    <row r="126" spans="1:13">
      <c r="A126" s="290">
        <v>0.25</v>
      </c>
      <c r="B126" s="308">
        <v>2</v>
      </c>
      <c r="C126" s="309">
        <v>0.27</v>
      </c>
      <c r="D126" s="309">
        <v>5.7408195699863462</v>
      </c>
      <c r="E126" s="304">
        <v>0.34</v>
      </c>
      <c r="F126" s="308">
        <v>0.38431406494974252</v>
      </c>
      <c r="G126" s="308">
        <v>0.32303333404645607</v>
      </c>
      <c r="H126" s="310">
        <v>117.20845675339662</v>
      </c>
      <c r="I126" s="311">
        <v>71200412.886402056</v>
      </c>
      <c r="J126" s="311">
        <v>192688198.09657151</v>
      </c>
      <c r="K126" s="313">
        <v>1535809947.6467729</v>
      </c>
      <c r="L126" s="313">
        <v>6059831.2604694702</v>
      </c>
      <c r="M126" s="314">
        <v>24.149591455091301</v>
      </c>
    </row>
    <row r="127" spans="1:13">
      <c r="A127" s="290">
        <v>0.5</v>
      </c>
      <c r="B127" s="308">
        <v>1.5334010668021336</v>
      </c>
      <c r="C127" s="309">
        <v>0.24</v>
      </c>
      <c r="D127" s="309">
        <v>7.8774986568807996</v>
      </c>
      <c r="E127" s="304">
        <v>0.31</v>
      </c>
      <c r="F127" s="308">
        <v>0.37966131849299201</v>
      </c>
      <c r="G127" s="308">
        <v>0.32331172392666518</v>
      </c>
      <c r="H127" s="310">
        <v>82.955569360022096</v>
      </c>
      <c r="I127" s="311">
        <v>22286831.062062379</v>
      </c>
      <c r="J127" s="311">
        <v>79116868.754064709</v>
      </c>
      <c r="K127" s="313">
        <v>1094705409.6217237</v>
      </c>
      <c r="L127" s="313">
        <v>2885752.229026631</v>
      </c>
      <c r="M127" s="314">
        <v>9.0573611452431102</v>
      </c>
    </row>
    <row r="128" spans="1:13">
      <c r="A128" s="290">
        <v>0.75</v>
      </c>
      <c r="B128" s="308">
        <v>1.0670561341122682</v>
      </c>
      <c r="C128" s="309">
        <v>0.21</v>
      </c>
      <c r="D128" s="309">
        <v>7.6422364536705301</v>
      </c>
      <c r="E128" s="304">
        <v>0.28000000000000003</v>
      </c>
      <c r="F128" s="308">
        <v>0.39262047257690491</v>
      </c>
      <c r="G128" s="308">
        <v>0.32643878406891619</v>
      </c>
      <c r="H128" s="310">
        <v>39.129612072462692</v>
      </c>
      <c r="I128" s="311">
        <v>3549221.9475047868</v>
      </c>
      <c r="J128" s="311">
        <v>21323059.849604025</v>
      </c>
      <c r="K128" s="313">
        <v>499093273.18287331</v>
      </c>
      <c r="L128" s="313">
        <v>574933.04560629011</v>
      </c>
      <c r="M128" s="314">
        <v>2.2054187533799334</v>
      </c>
    </row>
    <row r="129" spans="1:13">
      <c r="A129" s="315">
        <v>1</v>
      </c>
      <c r="B129" s="316">
        <v>0.64719329438658879</v>
      </c>
      <c r="C129" s="317">
        <v>0.16</v>
      </c>
      <c r="D129" s="317">
        <v>0</v>
      </c>
      <c r="E129" s="316">
        <v>0.25</v>
      </c>
      <c r="F129" s="316">
        <v>0.49249999999999999</v>
      </c>
      <c r="G129" s="316">
        <v>0.35780000000000001</v>
      </c>
      <c r="H129" s="318">
        <v>7.751396294306554</v>
      </c>
      <c r="I129" s="319">
        <v>79811.599091411103</v>
      </c>
      <c r="J129" s="319">
        <v>2702250.8204062055</v>
      </c>
      <c r="K129" s="320">
        <v>80734393.082686871</v>
      </c>
      <c r="L129" s="320">
        <v>61146.36439630347</v>
      </c>
      <c r="M129" s="321">
        <v>0.25688857997871806</v>
      </c>
    </row>
    <row r="131" spans="1:13">
      <c r="B131" s="18" t="s">
        <v>349</v>
      </c>
      <c r="C131" s="199"/>
      <c r="D131" t="s">
        <v>350</v>
      </c>
      <c r="H131" s="358" t="s">
        <v>411</v>
      </c>
    </row>
    <row r="133" spans="1:13">
      <c r="A133" t="s">
        <v>368</v>
      </c>
    </row>
    <row r="134" spans="1:13">
      <c r="A134" s="184"/>
      <c r="B134" s="230" t="s">
        <v>363</v>
      </c>
      <c r="C134" s="385" t="s">
        <v>440</v>
      </c>
      <c r="D134" s="392"/>
    </row>
    <row r="135" spans="1:13" ht="12">
      <c r="A135" s="192" t="s">
        <v>87</v>
      </c>
      <c r="B135" s="233" t="s">
        <v>366</v>
      </c>
      <c r="C135" s="225"/>
      <c r="D135" s="226"/>
    </row>
    <row r="136" spans="1:13">
      <c r="A136" s="236">
        <f t="shared" ref="A136:A141" si="0">A124</f>
        <v>0.05</v>
      </c>
      <c r="B136" s="336">
        <v>10.5</v>
      </c>
      <c r="C136" s="322"/>
      <c r="D136" s="323">
        <v>1</v>
      </c>
    </row>
    <row r="137" spans="1:13">
      <c r="A137" s="241">
        <f t="shared" si="0"/>
        <v>7.0000000000000007E-2</v>
      </c>
      <c r="B137" s="337">
        <v>10.5</v>
      </c>
      <c r="C137" s="324"/>
      <c r="D137" s="325">
        <v>1</v>
      </c>
    </row>
    <row r="138" spans="1:13">
      <c r="A138" s="241">
        <f t="shared" si="0"/>
        <v>0.25</v>
      </c>
      <c r="B138" s="327">
        <v>10.5</v>
      </c>
      <c r="C138" s="324"/>
      <c r="D138" s="325">
        <v>2</v>
      </c>
    </row>
    <row r="139" spans="1:13">
      <c r="A139" s="241">
        <f t="shared" si="0"/>
        <v>0.5</v>
      </c>
      <c r="B139" s="327">
        <v>2.5</v>
      </c>
      <c r="C139" s="324"/>
      <c r="D139" s="325">
        <v>2.5</v>
      </c>
    </row>
    <row r="140" spans="1:13">
      <c r="A140" s="241">
        <f t="shared" si="0"/>
        <v>0.75</v>
      </c>
      <c r="B140" s="338">
        <v>0</v>
      </c>
      <c r="C140" s="324"/>
      <c r="D140" s="325">
        <v>3</v>
      </c>
    </row>
    <row r="141" spans="1:13">
      <c r="A141" s="247">
        <f t="shared" si="0"/>
        <v>1</v>
      </c>
      <c r="B141" s="328">
        <v>-0.6</v>
      </c>
      <c r="C141" s="339"/>
      <c r="D141" s="326">
        <v>4</v>
      </c>
    </row>
    <row r="143" spans="1:13" ht="12">
      <c r="A143" s="340" t="s">
        <v>399</v>
      </c>
      <c r="B143" s="347" t="s">
        <v>400</v>
      </c>
      <c r="C143" s="348"/>
    </row>
    <row r="144" spans="1:13">
      <c r="A144" s="341">
        <v>1</v>
      </c>
      <c r="B144" s="342"/>
      <c r="C144" s="343" t="s">
        <v>378</v>
      </c>
      <c r="E144" s="359"/>
    </row>
    <row r="145" spans="1:7">
      <c r="A145" s="341">
        <v>2</v>
      </c>
      <c r="B145" s="344"/>
      <c r="C145" s="345" t="s">
        <v>406</v>
      </c>
      <c r="E145" s="352" t="s">
        <v>407</v>
      </c>
      <c r="F145" s="353"/>
      <c r="G145" s="353"/>
    </row>
    <row r="146" spans="1:7">
      <c r="A146" s="341">
        <v>3</v>
      </c>
      <c r="B146" s="344"/>
      <c r="C146" s="345" t="s">
        <v>408</v>
      </c>
      <c r="E146" s="352" t="s">
        <v>407</v>
      </c>
      <c r="F146" s="353"/>
      <c r="G146" s="353"/>
    </row>
    <row r="147" spans="1:7">
      <c r="A147" s="346">
        <v>4</v>
      </c>
      <c r="B147" s="360"/>
      <c r="C147" s="361" t="s">
        <v>409</v>
      </c>
      <c r="E147" s="352" t="s">
        <v>407</v>
      </c>
      <c r="F147" s="353"/>
      <c r="G147" s="353"/>
    </row>
    <row r="148" spans="1:7" ht="12" thickBot="1"/>
    <row r="149" spans="1:7" ht="12" thickBot="1">
      <c r="A149" s="395" t="s">
        <v>401</v>
      </c>
      <c r="B149" s="397"/>
      <c r="C149" s="398"/>
      <c r="E149" s="352" t="s">
        <v>402</v>
      </c>
      <c r="F149" s="353"/>
    </row>
    <row r="150" spans="1:7" ht="12" thickBot="1">
      <c r="A150" s="362" t="s">
        <v>35</v>
      </c>
      <c r="B150" s="363" t="s">
        <v>36</v>
      </c>
      <c r="C150" s="363" t="s">
        <v>37</v>
      </c>
      <c r="E150" s="352" t="s">
        <v>402</v>
      </c>
      <c r="F150" s="353"/>
    </row>
    <row r="151" spans="1:7" ht="12" thickBot="1">
      <c r="A151" s="364">
        <v>3.882E-2</v>
      </c>
      <c r="B151" s="365">
        <v>3.882E-2</v>
      </c>
      <c r="C151" s="375">
        <v>5.8999999999999997E-2</v>
      </c>
      <c r="E151" s="352" t="s">
        <v>402</v>
      </c>
      <c r="F151" s="353"/>
    </row>
    <row r="152" spans="1:7" ht="12" thickBot="1"/>
    <row r="153" spans="1:7" ht="12" thickBot="1">
      <c r="A153" s="395" t="s">
        <v>410</v>
      </c>
      <c r="B153" s="396"/>
      <c r="C153" s="366"/>
      <c r="E153" s="352" t="s">
        <v>402</v>
      </c>
      <c r="F153" s="353"/>
    </row>
    <row r="154" spans="1:7">
      <c r="A154" s="367" t="s">
        <v>50</v>
      </c>
      <c r="B154" s="368">
        <v>3.4349999999999999E-2</v>
      </c>
      <c r="C154" s="351"/>
      <c r="E154" s="352" t="s">
        <v>402</v>
      </c>
      <c r="F154" s="353"/>
    </row>
    <row r="155" spans="1:7">
      <c r="A155" s="369" t="s">
        <v>51</v>
      </c>
      <c r="B155" s="370">
        <v>3.4349999999999999E-2</v>
      </c>
      <c r="C155" s="371"/>
      <c r="E155" s="352" t="s">
        <v>402</v>
      </c>
      <c r="F155" s="353"/>
    </row>
    <row r="156" spans="1:7">
      <c r="A156" s="372" t="s">
        <v>52</v>
      </c>
      <c r="B156" s="370">
        <v>3.4349999999999999E-2</v>
      </c>
      <c r="E156" s="352" t="s">
        <v>402</v>
      </c>
      <c r="F156" s="353"/>
    </row>
    <row r="157" spans="1:7" ht="12" thickBot="1">
      <c r="A157" s="373" t="s">
        <v>53</v>
      </c>
      <c r="B157" s="374">
        <v>3.4349999999999999E-2</v>
      </c>
      <c r="E157" s="352" t="s">
        <v>402</v>
      </c>
      <c r="F157" s="353"/>
    </row>
    <row r="158" spans="1:7">
      <c r="A158" s="5"/>
      <c r="B158" s="350"/>
      <c r="C158" s="350"/>
      <c r="D158" s="350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5" sqref="H15"/>
    </sheetView>
  </sheetViews>
  <sheetFormatPr defaultRowHeight="11.25"/>
  <cols>
    <col min="2" max="2" width="12.1640625" customWidth="1"/>
    <col min="5" max="5" width="12.83203125" customWidth="1"/>
  </cols>
  <sheetData>
    <row r="1" spans="1:15">
      <c r="H1" t="s">
        <v>310</v>
      </c>
    </row>
    <row r="2" spans="1:15">
      <c r="H2" t="s">
        <v>311</v>
      </c>
    </row>
    <row r="3" spans="1:15">
      <c r="H3" t="s">
        <v>312</v>
      </c>
    </row>
    <row r="4" spans="1:15">
      <c r="H4" t="s">
        <v>313</v>
      </c>
    </row>
    <row r="5" spans="1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1:15">
      <c r="B6" t="s">
        <v>95</v>
      </c>
      <c r="C6" s="153">
        <f>C5-'Main Page'!B46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1:15">
      <c r="B7" t="s">
        <v>96</v>
      </c>
      <c r="C7" s="153">
        <f>'Main Page'!B49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1:15">
      <c r="B8" t="s">
        <v>98</v>
      </c>
      <c r="C8" s="153">
        <f>'Main Page'!B47</f>
        <v>2</v>
      </c>
      <c r="D8" t="s">
        <v>85</v>
      </c>
    </row>
    <row r="9" spans="1:15">
      <c r="B9" t="s">
        <v>99</v>
      </c>
      <c r="C9" s="153">
        <f>'Main Page'!B50</f>
        <v>15</v>
      </c>
      <c r="D9" t="s">
        <v>97</v>
      </c>
    </row>
    <row r="10" spans="1:15">
      <c r="B10" t="s">
        <v>100</v>
      </c>
      <c r="C10" s="153">
        <f>'Main Page'!B48</f>
        <v>9</v>
      </c>
      <c r="D10" t="s">
        <v>97</v>
      </c>
    </row>
    <row r="11" spans="1:15">
      <c r="B11" t="s">
        <v>385</v>
      </c>
      <c r="C11" s="153">
        <f>'Main Page'!B51</f>
        <v>5</v>
      </c>
      <c r="D11" t="s">
        <v>386</v>
      </c>
    </row>
    <row r="13" spans="1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1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1:15">
      <c r="A15">
        <f>B15/9</f>
        <v>0</v>
      </c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1:15">
      <c r="A16">
        <f t="shared" ref="A16:A24" si="5">B16/9</f>
        <v>0.1111111111111111</v>
      </c>
      <c r="B16">
        <f>B15+1</f>
        <v>1</v>
      </c>
      <c r="C16" s="154">
        <f t="shared" ref="C16:C24" si="6">C$6/B$24*B16</f>
        <v>6.5188888888888892</v>
      </c>
      <c r="D16" s="155">
        <f t="shared" ref="D16:D24" si="7">C$7-(C$7-C$8)*C16/C$6</f>
        <v>3.5555555555555554</v>
      </c>
      <c r="E16" s="156">
        <f t="shared" ref="E16:E24" si="8">C$9-(C$9-C$10)*C16/C$6</f>
        <v>14.333333333333334</v>
      </c>
      <c r="F16" s="154">
        <f t="shared" ref="F16:F24" si="9">PI()*D16*E16/1000</f>
        <v>0.16010487004961316</v>
      </c>
      <c r="G16" s="156">
        <f t="shared" ref="G16:G24" si="10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1">I16/2</f>
        <v>0.2530052267450677</v>
      </c>
      <c r="M16" s="156">
        <f t="shared" ref="M16:M24" si="12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1:15">
      <c r="A17">
        <f t="shared" si="5"/>
        <v>0.22222222222222221</v>
      </c>
      <c r="B17">
        <f t="shared" ref="B17:B24" si="13">B16+1</f>
        <v>2</v>
      </c>
      <c r="C17" s="154">
        <f t="shared" si="6"/>
        <v>13.037777777777778</v>
      </c>
      <c r="D17" s="155">
        <f t="shared" si="7"/>
        <v>3.3611111111111112</v>
      </c>
      <c r="E17" s="156">
        <f t="shared" si="8"/>
        <v>13.666666666666666</v>
      </c>
      <c r="F17" s="154">
        <f t="shared" si="9"/>
        <v>0.14430964031906446</v>
      </c>
      <c r="G17" s="156">
        <f t="shared" si="10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1"/>
        <v>0.20378447568590111</v>
      </c>
      <c r="M17" s="156">
        <f t="shared" si="12"/>
        <v>1599.7081341343237</v>
      </c>
      <c r="N17" s="157">
        <f t="shared" si="4"/>
        <v>40756895137.180222</v>
      </c>
      <c r="O17" s="332">
        <f t="shared" ref="O17:O23" si="14">G17*(C18-C16)/2</f>
        <v>7754.0371755616216</v>
      </c>
    </row>
    <row r="18" spans="1:15">
      <c r="A18">
        <f t="shared" si="5"/>
        <v>0.33333333333333331</v>
      </c>
      <c r="B18">
        <f t="shared" si="13"/>
        <v>3</v>
      </c>
      <c r="C18" s="154">
        <f t="shared" si="6"/>
        <v>19.556666666666668</v>
      </c>
      <c r="D18" s="155">
        <f t="shared" si="7"/>
        <v>3.1666666666666665</v>
      </c>
      <c r="E18" s="156">
        <f t="shared" si="8"/>
        <v>13</v>
      </c>
      <c r="F18" s="154">
        <f t="shared" si="9"/>
        <v>0.12932889757277979</v>
      </c>
      <c r="G18" s="156">
        <f t="shared" si="10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1"/>
        <v>0.16211018063810242</v>
      </c>
      <c r="M18" s="156">
        <f t="shared" si="12"/>
        <v>1272.5649180091041</v>
      </c>
      <c r="N18" s="157">
        <f t="shared" si="4"/>
        <v>32422036127.620483</v>
      </c>
      <c r="O18" s="332">
        <f t="shared" si="14"/>
        <v>6949.0927801949128</v>
      </c>
    </row>
    <row r="19" spans="1:15">
      <c r="A19">
        <f t="shared" si="5"/>
        <v>0.44444444444444442</v>
      </c>
      <c r="B19">
        <f t="shared" si="13"/>
        <v>4</v>
      </c>
      <c r="C19" s="154">
        <f t="shared" si="6"/>
        <v>26.075555555555557</v>
      </c>
      <c r="D19" s="155">
        <f t="shared" si="7"/>
        <v>2.9722222222222223</v>
      </c>
      <c r="E19" s="156">
        <f t="shared" si="8"/>
        <v>12.333333333333332</v>
      </c>
      <c r="F19" s="154">
        <f t="shared" si="9"/>
        <v>0.11516264181075916</v>
      </c>
      <c r="G19" s="156">
        <f t="shared" si="10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1"/>
        <v>0.12716985784060397</v>
      </c>
      <c r="M19" s="156">
        <f t="shared" si="12"/>
        <v>998.28338404874114</v>
      </c>
      <c r="N19" s="157">
        <f t="shared" si="4"/>
        <v>25433971568.120796</v>
      </c>
      <c r="O19" s="332">
        <f t="shared" si="14"/>
        <v>6187.9123519549412</v>
      </c>
    </row>
    <row r="20" spans="1:15">
      <c r="A20">
        <f t="shared" si="5"/>
        <v>0.55555555555555558</v>
      </c>
      <c r="B20">
        <f t="shared" si="13"/>
        <v>5</v>
      </c>
      <c r="C20" s="154">
        <f t="shared" si="6"/>
        <v>32.594444444444449</v>
      </c>
      <c r="D20" s="155">
        <f t="shared" si="7"/>
        <v>2.7777777777777777</v>
      </c>
      <c r="E20" s="156">
        <f t="shared" si="8"/>
        <v>11.666666666666666</v>
      </c>
      <c r="F20" s="154">
        <f t="shared" si="9"/>
        <v>0.10181087303300254</v>
      </c>
      <c r="G20" s="156">
        <f t="shared" si="10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1"/>
        <v>9.8197215502510163E-2</v>
      </c>
      <c r="M20" s="156">
        <f t="shared" si="12"/>
        <v>770.84814169470474</v>
      </c>
      <c r="N20" s="157">
        <f t="shared" si="4"/>
        <v>19639443100.502033</v>
      </c>
      <c r="O20" s="332">
        <f t="shared" si="14"/>
        <v>5470.4958908417002</v>
      </c>
    </row>
    <row r="21" spans="1:15">
      <c r="A21">
        <f t="shared" si="5"/>
        <v>0.66666666666666663</v>
      </c>
      <c r="B21">
        <f t="shared" si="13"/>
        <v>6</v>
      </c>
      <c r="C21" s="154">
        <f t="shared" si="6"/>
        <v>39.113333333333337</v>
      </c>
      <c r="D21" s="155">
        <f t="shared" si="7"/>
        <v>2.583333333333333</v>
      </c>
      <c r="E21" s="156">
        <f t="shared" si="8"/>
        <v>11</v>
      </c>
      <c r="F21" s="154">
        <f t="shared" si="9"/>
        <v>8.9273591239509953E-2</v>
      </c>
      <c r="G21" s="156">
        <f t="shared" si="10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1"/>
        <v>7.4472153803098129E-2</v>
      </c>
      <c r="M21" s="156">
        <f t="shared" si="12"/>
        <v>584.60640735432037</v>
      </c>
      <c r="N21" s="157">
        <f t="shared" si="4"/>
        <v>14894430760.619625</v>
      </c>
      <c r="O21" s="332">
        <f t="shared" si="14"/>
        <v>4796.8433968551926</v>
      </c>
    </row>
    <row r="22" spans="1:15">
      <c r="A22">
        <f t="shared" si="5"/>
        <v>0.77777777777777779</v>
      </c>
      <c r="B22">
        <f t="shared" si="13"/>
        <v>7</v>
      </c>
      <c r="C22" s="154">
        <f t="shared" si="6"/>
        <v>45.632222222222225</v>
      </c>
      <c r="D22" s="155">
        <f t="shared" si="7"/>
        <v>2.3888888888888893</v>
      </c>
      <c r="E22" s="156">
        <f t="shared" si="8"/>
        <v>10.333333333333332</v>
      </c>
      <c r="F22" s="154">
        <f t="shared" si="9"/>
        <v>7.7550796430281385E-2</v>
      </c>
      <c r="G22" s="156">
        <f t="shared" si="10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1"/>
        <v>5.532076489181726E-2</v>
      </c>
      <c r="M22" s="156">
        <f t="shared" si="12"/>
        <v>434.26800440076551</v>
      </c>
      <c r="N22" s="157">
        <f t="shared" si="4"/>
        <v>11064152978.363453</v>
      </c>
      <c r="O22" s="332">
        <f t="shared" si="14"/>
        <v>4166.9548699954212</v>
      </c>
    </row>
    <row r="23" spans="1:15">
      <c r="A23">
        <f t="shared" si="5"/>
        <v>0.88888888888888884</v>
      </c>
      <c r="B23">
        <f t="shared" si="13"/>
        <v>8</v>
      </c>
      <c r="C23" s="154">
        <f t="shared" si="6"/>
        <v>52.151111111111113</v>
      </c>
      <c r="D23" s="155">
        <f t="shared" si="7"/>
        <v>2.1944444444444446</v>
      </c>
      <c r="E23" s="156">
        <f t="shared" si="8"/>
        <v>9.6666666666666661</v>
      </c>
      <c r="F23" s="154">
        <f t="shared" si="9"/>
        <v>6.664248860531681E-2</v>
      </c>
      <c r="G23" s="156">
        <f t="shared" si="10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1"/>
        <v>4.0115332888289182E-2</v>
      </c>
      <c r="M23" s="156">
        <f t="shared" si="12"/>
        <v>314.9053631730701</v>
      </c>
      <c r="N23" s="157">
        <f t="shared" si="4"/>
        <v>8023066577.657836</v>
      </c>
      <c r="O23" s="332">
        <f t="shared" si="14"/>
        <v>3580.8303102623804</v>
      </c>
    </row>
    <row r="24" spans="1:15">
      <c r="A24">
        <f t="shared" si="5"/>
        <v>1</v>
      </c>
      <c r="B24">
        <f t="shared" si="13"/>
        <v>9</v>
      </c>
      <c r="C24" s="154">
        <f t="shared" si="6"/>
        <v>58.67</v>
      </c>
      <c r="D24" s="155">
        <f t="shared" si="7"/>
        <v>2</v>
      </c>
      <c r="E24" s="156">
        <f t="shared" si="8"/>
        <v>9</v>
      </c>
      <c r="F24" s="154">
        <f t="shared" si="9"/>
        <v>5.6548667764616277E-2</v>
      </c>
      <c r="G24" s="156">
        <f t="shared" si="10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1"/>
        <v>2.8274333882308138E-2</v>
      </c>
      <c r="M24" s="156">
        <f t="shared" si="12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1:15">
      <c r="O25" s="332"/>
    </row>
    <row r="26" spans="1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2.5</v>
      </c>
      <c r="F5" s="132">
        <f>'Main Page'!B59</f>
        <v>3.3000000000000002E-2</v>
      </c>
      <c r="G5" s="131"/>
      <c r="H5" s="135">
        <f>'Main Page'!B60</f>
        <v>7850</v>
      </c>
      <c r="I5" s="136">
        <f>H5*F5*PI()*E5^2</f>
        <v>5086.4348557027251</v>
      </c>
      <c r="J5" s="132">
        <f>'Main Page'!B61</f>
        <v>-2.33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Page'!B61</f>
        <v>-2.33</v>
      </c>
      <c r="K6" s="132">
        <f>'Main Page'!B62</f>
        <v>0</v>
      </c>
      <c r="L6" s="132">
        <f>'Main Page'!B63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Page'!B66</f>
        <v>1.3979999999999999</v>
      </c>
      <c r="D7" s="132">
        <f>'Main Page'!B68</f>
        <v>0.2</v>
      </c>
      <c r="E7" s="132">
        <f>'Main Page'!B67</f>
        <v>0.4</v>
      </c>
      <c r="F7" s="131"/>
      <c r="G7" s="136"/>
      <c r="H7" s="135">
        <f>'Main Page'!B69</f>
        <v>7850</v>
      </c>
      <c r="I7" s="136">
        <f>0.25*PI()*(E7^2-D7^2)*H7*C7</f>
        <v>1034.3034077487141</v>
      </c>
      <c r="J7" s="132">
        <f>0.5*('Main Page'!B74+'Main Page'!B77)</f>
        <v>-1.0485</v>
      </c>
      <c r="K7" s="132">
        <f>'Main Page'!B70</f>
        <v>0</v>
      </c>
      <c r="L7" s="132">
        <f>'Main Page'!B71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Page'!B74</f>
        <v>-1.631</v>
      </c>
      <c r="K8" s="132">
        <f>'Main Page'!B75</f>
        <v>0</v>
      </c>
      <c r="L8" s="132">
        <f>'Main Page'!B76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Page'!B77</f>
        <v>-0.46600000000000003</v>
      </c>
      <c r="K9" s="132">
        <f>'Main Page'!B78</f>
        <v>0</v>
      </c>
      <c r="L9" s="132">
        <f>'Main Page'!B79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Page'!B82/2</f>
        <v>2361.5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Page'!B92+471)/3</f>
        <v>982</v>
      </c>
      <c r="J11" s="132">
        <f>'Main Page'!B93</f>
        <v>0.58250000000000002</v>
      </c>
      <c r="K11" s="132">
        <f>'Main Page'!B94</f>
        <v>0</v>
      </c>
      <c r="L11" s="132">
        <f>'Main Page'!B95</f>
        <v>0</v>
      </c>
      <c r="M11" s="160">
        <f>0.0000486*C1^5.333</f>
        <v>55878.315104796013</v>
      </c>
      <c r="N11" s="160">
        <f>M11/2/('Main Page'!B88^2)+I11*C11^2/12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6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Page'!B92/0.10472/C2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12" t="s">
        <v>239</v>
      </c>
      <c r="E19" s="412"/>
      <c r="F19" s="412"/>
      <c r="G19" s="412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Page'!B98</f>
        <v>1.631</v>
      </c>
      <c r="D21" s="132">
        <f>'Main Page'!B99</f>
        <v>1.7475000000000001</v>
      </c>
      <c r="E21" s="132">
        <f>'Main Page'!B100</f>
        <v>0.74560000000000004</v>
      </c>
      <c r="F21" s="132">
        <f>'Main Page'!B101</f>
        <v>0.13</v>
      </c>
      <c r="G21" s="132">
        <f>'Main Page'!B102</f>
        <v>0.13</v>
      </c>
      <c r="H21" s="136">
        <f>'Main Page'!B103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Page'!B104</f>
        <v>0</v>
      </c>
      <c r="K21" s="132">
        <f>'Main Page'!B105</f>
        <v>0</v>
      </c>
      <c r="L21" s="132">
        <f>'Main Page'!B106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Page'!B82/2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Page'!B92+471)/3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Page'!B92+0.002168*C1^3.4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3" workbookViewId="0">
      <selection activeCell="B37" sqref="B37"/>
    </sheetView>
  </sheetViews>
  <sheetFormatPr defaultRowHeight="11.25"/>
  <cols>
    <col min="2" max="7" width="15.83203125" customWidth="1"/>
  </cols>
  <sheetData>
    <row r="1" spans="1:7">
      <c r="A1" t="s">
        <v>428</v>
      </c>
      <c r="B1" t="s">
        <v>429</v>
      </c>
      <c r="C1" t="s">
        <v>430</v>
      </c>
    </row>
    <row r="3" spans="1:7">
      <c r="A3" t="s">
        <v>102</v>
      </c>
      <c r="B3" t="s">
        <v>427</v>
      </c>
      <c r="C3" s="18">
        <f>'Main Page'!B17</f>
        <v>1.2250000000000001</v>
      </c>
    </row>
    <row r="4" spans="1:7">
      <c r="A4" t="s">
        <v>462</v>
      </c>
      <c r="B4" t="s">
        <v>502</v>
      </c>
      <c r="C4">
        <v>5.0000000000000001E-3</v>
      </c>
    </row>
    <row r="5" spans="1:7">
      <c r="A5" t="s">
        <v>431</v>
      </c>
      <c r="B5" t="s">
        <v>435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431</v>
      </c>
      <c r="B6" t="s">
        <v>507</v>
      </c>
      <c r="C6" s="18">
        <v>15</v>
      </c>
      <c r="D6" s="18"/>
      <c r="E6" s="18"/>
      <c r="F6" s="18"/>
    </row>
    <row r="7" spans="1:7">
      <c r="B7" t="s">
        <v>503</v>
      </c>
      <c r="C7" t="s">
        <v>501</v>
      </c>
      <c r="D7" t="s">
        <v>504</v>
      </c>
      <c r="E7" t="s">
        <v>505</v>
      </c>
      <c r="F7" t="s">
        <v>88</v>
      </c>
      <c r="G7" t="s">
        <v>506</v>
      </c>
    </row>
    <row r="8" spans="1:7">
      <c r="C8" s="382">
        <f>C37*('Main Page'!B$13/2-'Main Page'!B$56/2) + 'Main Page'!B$56/2</f>
        <v>2.0416666666666665</v>
      </c>
      <c r="D8" s="380">
        <f>(F39-F38)/($D39-$D38)*($C8-$D39)+F38</f>
        <v>11.1</v>
      </c>
      <c r="E8">
        <f>(1/$C$6)*('Main Page'!B$13/2-'Main Page'!B$56/2)</f>
        <v>1.5833333333333333</v>
      </c>
      <c r="F8" s="380">
        <f>(E$39-E$38)/(D$39-D$38)*(C8-D$38)+E$38</f>
        <v>1.3918089539882783</v>
      </c>
      <c r="G8">
        <f>ROUND((G$39-G$38)/(D$39-D$38)*(C8-D$38)+G$38,0)</f>
        <v>1</v>
      </c>
    </row>
    <row r="9" spans="1:7">
      <c r="C9" s="382">
        <f>C38*('Main Page'!B$13/2-'Main Page'!B$56/2) + 'Main Page'!B$56/2</f>
        <v>3.625</v>
      </c>
      <c r="D9" s="380">
        <f>(F39-F38)/($D39-$D38)*($C9-$D39)+F38</f>
        <v>11.1</v>
      </c>
      <c r="E9">
        <f>(1/$C$6)*('Main Page'!B$13/2-'Main Page'!B$56/2)</f>
        <v>1.5833333333333333</v>
      </c>
      <c r="F9" s="380">
        <f t="shared" ref="F9" si="0">(E$39-E$38)/(D$39-D$38)*(C9-D$38)+E$38</f>
        <v>1.6206333079332824</v>
      </c>
      <c r="G9">
        <f>ROUNDUP((G$39-G$38)/(D$39-D$38)*(C9-D$38)+G$38,0)</f>
        <v>2</v>
      </c>
    </row>
    <row r="10" spans="1:7">
      <c r="C10" s="382">
        <f>C39*('Main Page'!B$13/2-'Main Page'!B$56/2) + 'Main Page'!B$56/2</f>
        <v>5.208333333333333</v>
      </c>
      <c r="D10" s="380">
        <f>(F39-F38)/($D39-$D38)*($C10-$D39)+F38</f>
        <v>11.1</v>
      </c>
      <c r="E10">
        <f>(1/$C$6)*('Main Page'!B$13/2-'Main Page'!B$56/2)</f>
        <v>1.5833333333333333</v>
      </c>
      <c r="F10" s="380">
        <f>(E$39-E$38)/(D$39-D$38)*(C10-D$38)+E$38</f>
        <v>1.8494576618782865</v>
      </c>
      <c r="G10">
        <f>ROUND((G$39-G$38)/(D$39-D$38)*(C10-D$38)+G$38,0)</f>
        <v>2</v>
      </c>
    </row>
    <row r="11" spans="1:7">
      <c r="C11" s="382">
        <f>C40*('Main Page'!B$13/2-'Main Page'!B$56/2) + 'Main Page'!B$56/2</f>
        <v>6.791666666666667</v>
      </c>
      <c r="D11" s="380">
        <f>(F40-F39)/($D40-$D39)*($C11-$D39)+F39</f>
        <v>10.406666666666666</v>
      </c>
      <c r="E11">
        <f>(1/$C$6)*('Main Page'!B$13/2-'Main Page'!B$56/2)</f>
        <v>1.5833333333333333</v>
      </c>
      <c r="F11" s="380">
        <f>(E$40-E$39)/(D$40-D$39)*(C11-D$39)+E$39</f>
        <v>1.9595614257895182</v>
      </c>
      <c r="G11">
        <f>ROUND((G$40-G$39)/(D$40-D$39)*(C11-D$39)+G$39,0)</f>
        <v>2</v>
      </c>
    </row>
    <row r="12" spans="1:7">
      <c r="C12" s="382">
        <f>C41*('Main Page'!B$13/2-'Main Page'!B$56/2) + 'Main Page'!B$56/2</f>
        <v>8.375</v>
      </c>
      <c r="D12" s="380">
        <f>(F40-F39)/($D40-$D39)*($C12-$D39)+F39</f>
        <v>8.379999999999999</v>
      </c>
      <c r="E12">
        <f>(1/$C$6)*('Main Page'!B$13/2-'Main Page'!B$56/2)</f>
        <v>1.5833333333333333</v>
      </c>
      <c r="F12" s="380">
        <f t="shared" ref="F12:F13" si="1">(E$40-E$39)/(D$40-D$39)*(C12-D$39)+E$39</f>
        <v>1.8413563627127254</v>
      </c>
      <c r="G12">
        <f t="shared" ref="G12:G14" si="2">ROUND((G$40-G$39)/(D$40-D$39)*(C12-D$39)+G$39,0)</f>
        <v>2</v>
      </c>
    </row>
    <row r="13" spans="1:7">
      <c r="C13" s="382">
        <f>C42*('Main Page'!B$13/2-'Main Page'!B$56/2) + 'Main Page'!B$56/2</f>
        <v>9.9583333333333321</v>
      </c>
      <c r="D13" s="380">
        <f>(F40-F39)/($D40-$D39)*($C13-$D39)+F39</f>
        <v>6.3533333333333344</v>
      </c>
      <c r="E13">
        <f>(1/$C$6)*('Main Page'!B$13/2-'Main Page'!B$56/2)</f>
        <v>1.5833333333333333</v>
      </c>
      <c r="F13" s="380">
        <f t="shared" si="1"/>
        <v>1.7231512996359326</v>
      </c>
      <c r="G13">
        <f t="shared" si="2"/>
        <v>2</v>
      </c>
    </row>
    <row r="14" spans="1:7">
      <c r="C14" s="382">
        <f>C43*('Main Page'!B$13/2-'Main Page'!B$56/2) + 'Main Page'!B$56/2</f>
        <v>11.541666666666668</v>
      </c>
      <c r="D14" s="380">
        <f>(F40-F39)/($D40-$D39)*($C14-$D39)+F39</f>
        <v>4.3266666666666644</v>
      </c>
      <c r="E14">
        <f>(1/$C$6)*('Main Page'!B$13/2-'Main Page'!B$56/2)</f>
        <v>1.5833333333333333</v>
      </c>
      <c r="F14" s="380">
        <f>(E$40-E$39)/(D$40-D$39)*(C14-D$39)+E$39</f>
        <v>1.6049462365591398</v>
      </c>
      <c r="G14">
        <f t="shared" si="2"/>
        <v>2</v>
      </c>
    </row>
    <row r="15" spans="1:7">
      <c r="C15" s="382">
        <f>C44*('Main Page'!B$13/2-'Main Page'!B$56/2) + 'Main Page'!B$56/2</f>
        <v>13.125</v>
      </c>
      <c r="D15" s="380">
        <f>(F41-F40)/($D41-$D40)*($C15-$D40)+F40</f>
        <v>2.85</v>
      </c>
      <c r="E15">
        <f>(1/$C$6)*('Main Page'!B$13/2-'Main Page'!B$56/2)</f>
        <v>1.5833333333333333</v>
      </c>
      <c r="F15" s="380">
        <f>(E$41-E$40)/(D$41-D$40)*(C15-D$40)+E$40</f>
        <v>1.486766573533147</v>
      </c>
      <c r="G15">
        <f>ROUND((G$41-G$40)/(D$41-D$40)*(C15-D$40)+G$40,0)</f>
        <v>3</v>
      </c>
    </row>
    <row r="16" spans="1:7">
      <c r="C16" s="382">
        <f>C45*('Main Page'!B$13/2-'Main Page'!B$56/2) + 'Main Page'!B$56/2</f>
        <v>14.708333333333332</v>
      </c>
      <c r="D16" s="380">
        <f>(F41-F40)/($D41-$D40)*($C16-$D40)+F40</f>
        <v>2.2166666666666672</v>
      </c>
      <c r="E16">
        <f>(1/$C$6)*('Main Page'!B$13/2-'Main Page'!B$56/2)</f>
        <v>1.5833333333333333</v>
      </c>
      <c r="F16" s="380">
        <f t="shared" ref="F16:F18" si="3">(E$41-E$40)/(D$41-D$40)*(C16-D$40)+E$40</f>
        <v>1.3686258572517147</v>
      </c>
      <c r="G16">
        <f t="shared" ref="G16:G18" si="4">ROUND((G$41-G$40)/(D$41-D$40)*(C16-D$40)+G$40,0)</f>
        <v>3</v>
      </c>
    </row>
    <row r="17" spans="3:7">
      <c r="C17" s="382">
        <f>C46*('Main Page'!B$13/2-'Main Page'!B$56/2) + 'Main Page'!B$56/2</f>
        <v>16.291666666666664</v>
      </c>
      <c r="D17" s="380">
        <f>(F41-F40)/($D41-$D40)*($C17-$D40)+F40</f>
        <v>1.5833333333333344</v>
      </c>
      <c r="E17">
        <f>(1/$C$6)*('Main Page'!B$13/2-'Main Page'!B$56/2)</f>
        <v>1.5833333333333333</v>
      </c>
      <c r="F17" s="380">
        <f t="shared" si="3"/>
        <v>1.2504851409702822</v>
      </c>
      <c r="G17">
        <f t="shared" si="4"/>
        <v>3</v>
      </c>
    </row>
    <row r="18" spans="3:7">
      <c r="C18" s="382">
        <f>C47*('Main Page'!B$13/2-'Main Page'!B$56/2) + 'Main Page'!B$56/2</f>
        <v>17.875</v>
      </c>
      <c r="D18" s="380">
        <f>(F41-F40)/($D41-$D40)*($C18-$D40)+F40</f>
        <v>0.95000000000000018</v>
      </c>
      <c r="E18">
        <f>(1/$C$6)*('Main Page'!B$13/2-'Main Page'!B$56/2)</f>
        <v>1.5833333333333333</v>
      </c>
      <c r="F18" s="380">
        <f t="shared" si="3"/>
        <v>1.1323444246888494</v>
      </c>
      <c r="G18">
        <f t="shared" si="4"/>
        <v>3</v>
      </c>
    </row>
    <row r="19" spans="3:7">
      <c r="C19" s="382">
        <f>C48*('Main Page'!B$13/2-'Main Page'!B$56/2) + 'Main Page'!B$56/2</f>
        <v>19.458333333333336</v>
      </c>
      <c r="D19" s="380">
        <f>(F42-F41)/($D42-$D41)*($C19-$D41)+F41</f>
        <v>0.53199999999999981</v>
      </c>
      <c r="E19">
        <f>(1/$C$6)*('Main Page'!B$13/2-'Main Page'!B$56/2)</f>
        <v>1.5833333333333333</v>
      </c>
      <c r="F19" s="380">
        <f>(E$42-E$41)/(D$42-D$41)*(C19-D$41)+E$41</f>
        <v>1.0194716789433578</v>
      </c>
      <c r="G19">
        <f>ROUND((G$42-G$41)/(D$42-D$41)*(C19-D$41)+G$41,0)</f>
        <v>3</v>
      </c>
    </row>
    <row r="20" spans="3:7">
      <c r="C20" s="382">
        <f>C49*('Main Page'!B$13/2-'Main Page'!B$56/2) + 'Main Page'!B$56/2</f>
        <v>21.041666666666668</v>
      </c>
      <c r="D20" s="380">
        <f>(F42-F41)/($D42-$D41)*($C20-$D41)+F41</f>
        <v>0.37999999999999989</v>
      </c>
      <c r="E20">
        <f>(1/$C$6)*('Main Page'!B$13/2-'Main Page'!B$56/2)</f>
        <v>1.5833333333333333</v>
      </c>
      <c r="F20" s="380">
        <f t="shared" ref="F20:F22" si="5">(E$42-E$41)/(D$42-D$41)*(C20-D$41)+E$41</f>
        <v>0.91310642621285232</v>
      </c>
      <c r="G20">
        <f t="shared" ref="G20:G22" si="6">ROUND((G$42-G$41)/(D$42-D$41)*(C20-D$41)+G$41,0)</f>
        <v>3</v>
      </c>
    </row>
    <row r="21" spans="3:7">
      <c r="C21" s="382">
        <f>C50*('Main Page'!B$13/2-'Main Page'!B$56/2) + 'Main Page'!B$56/2</f>
        <v>22.625</v>
      </c>
      <c r="D21" s="380">
        <f>(F42-F41)/($D42-$D41)*($C21-$D41)+F41</f>
        <v>0.22799999999999998</v>
      </c>
      <c r="E21">
        <f>(1/$C$6)*('Main Page'!B$13/2-'Main Page'!B$56/2)</f>
        <v>1.5833333333333333</v>
      </c>
      <c r="F21" s="380">
        <f t="shared" si="5"/>
        <v>0.80674117348234697</v>
      </c>
      <c r="G21">
        <f t="shared" si="6"/>
        <v>4</v>
      </c>
    </row>
    <row r="22" spans="3:7">
      <c r="C22" s="382">
        <f>C51*('Main Page'!B$13/2-'Main Page'!B$56/2) + 'Main Page'!B$56/2</f>
        <v>24.208333333333332</v>
      </c>
      <c r="D22" s="380">
        <f>(F42-F41)/($D42-$D41)*($C22-$D41)+F41</f>
        <v>7.6000000000000068E-2</v>
      </c>
      <c r="E22">
        <f>(1/$C$6)*('Main Page'!B$13/2-'Main Page'!B$56/2)</f>
        <v>1.5833333333333333</v>
      </c>
      <c r="F22" s="380">
        <f t="shared" si="5"/>
        <v>0.70037592075184163</v>
      </c>
      <c r="G22">
        <f t="shared" si="6"/>
        <v>4</v>
      </c>
    </row>
    <row r="36" spans="2:7">
      <c r="B36" t="s">
        <v>508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1.25</v>
      </c>
      <c r="E37">
        <f>GECbladedata!$C5</f>
        <v>1.349657099314199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1.7500000000000002</v>
      </c>
      <c r="E38">
        <f>GECbladedata!$C6</f>
        <v>1.3496570993141985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6.25</v>
      </c>
      <c r="E39">
        <f>GECbladedata!$C7</f>
        <v>2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12.5</v>
      </c>
      <c r="E40">
        <f>GECbladedata!$C8</f>
        <v>1.5334010668021336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18.75</v>
      </c>
      <c r="E41">
        <f>GECbladedata!$C9</f>
        <v>1.0670561341122682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25</v>
      </c>
      <c r="E42">
        <f>GECbladedata!$C10</f>
        <v>0.64719329438658879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G1" workbookViewId="0">
      <selection activeCell="D30" sqref="D30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428</v>
      </c>
      <c r="B1" t="s">
        <v>429</v>
      </c>
      <c r="C1" t="s">
        <v>430</v>
      </c>
    </row>
    <row r="3" spans="1:25">
      <c r="A3" t="s">
        <v>85</v>
      </c>
      <c r="B3" t="s">
        <v>433</v>
      </c>
      <c r="C3" s="18">
        <f>'Main Page'!B13/2</f>
        <v>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412</v>
      </c>
    </row>
    <row r="4" spans="1:25">
      <c r="A4" t="s">
        <v>85</v>
      </c>
      <c r="B4" t="s">
        <v>434</v>
      </c>
      <c r="C4" s="18">
        <f>'Main Page'!B56/2</f>
        <v>1.25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413</v>
      </c>
    </row>
    <row r="5" spans="1:25">
      <c r="A5" t="s">
        <v>386</v>
      </c>
      <c r="B5" t="s">
        <v>436</v>
      </c>
      <c r="C5" s="18">
        <f>'Main Page'!A151*100</f>
        <v>3.8820000000000001</v>
      </c>
      <c r="D5" s="18">
        <f>'Main Page'!B151*100</f>
        <v>3.8820000000000001</v>
      </c>
      <c r="E5" s="386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58" t="s">
        <v>414</v>
      </c>
    </row>
    <row r="6" spans="1:25">
      <c r="B6" t="s">
        <v>493</v>
      </c>
      <c r="C6" s="387" t="s">
        <v>437</v>
      </c>
      <c r="D6" s="387" t="s">
        <v>494</v>
      </c>
      <c r="E6" s="387" t="s">
        <v>495</v>
      </c>
      <c r="F6" s="387" t="s">
        <v>496</v>
      </c>
      <c r="G6" s="387" t="s">
        <v>497</v>
      </c>
      <c r="H6" s="387" t="s">
        <v>498</v>
      </c>
      <c r="I6" s="387" t="s">
        <v>499</v>
      </c>
      <c r="J6" s="387" t="s">
        <v>500</v>
      </c>
      <c r="K6" s="387"/>
      <c r="L6" s="38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58" t="s">
        <v>415</v>
      </c>
    </row>
    <row r="7" spans="1:25">
      <c r="C7" s="394">
        <f>GECbladedata!$C28</f>
        <v>0</v>
      </c>
      <c r="D7" s="389">
        <f>0.25+GECbladedata!$Q28/GECbladedata!$P28</f>
        <v>0.25</v>
      </c>
      <c r="E7" s="389">
        <f>GECbladedata!$K28</f>
        <v>11.1</v>
      </c>
      <c r="F7" s="389">
        <f>GECbladedata!$D28</f>
        <v>1181.9474017501359</v>
      </c>
      <c r="G7" s="390">
        <f>GECbladedata!$O28</f>
        <v>2362406058.2721553</v>
      </c>
      <c r="H7" s="391">
        <f>GECbladedata!$N28</f>
        <v>2362406058.2721553</v>
      </c>
      <c r="I7" s="391">
        <f>GECbladedata!$L28</f>
        <v>815590611.695804</v>
      </c>
      <c r="J7" s="391">
        <f>GECbladedata!$M28</f>
        <v>10326627046.93685</v>
      </c>
      <c r="K7" s="387"/>
      <c r="L7" s="38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94">
        <f>GECbladedata!$C29</f>
        <v>2.1052631578947371E-2</v>
      </c>
      <c r="D8" s="389">
        <f>0.25+GECbladedata!$Q29/GECbladedata!$P29</f>
        <v>0.25</v>
      </c>
      <c r="E8" s="389">
        <f>GECbladedata!$K29</f>
        <v>11.1</v>
      </c>
      <c r="F8" s="389">
        <f>GECbladedata!$D29</f>
        <v>89.215305458599687</v>
      </c>
      <c r="G8" s="390">
        <f>GECbladedata!$O29</f>
        <v>292871613.66241747</v>
      </c>
      <c r="H8" s="391">
        <f>GECbladedata!$N29</f>
        <v>292871613.66241747</v>
      </c>
      <c r="I8" s="391">
        <f>GECbladedata!$L29</f>
        <v>102340392.98761402</v>
      </c>
      <c r="J8" s="391">
        <f>GECbladedata!$M29</f>
        <v>1295783621.589889</v>
      </c>
      <c r="K8" s="387"/>
      <c r="L8" s="38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94">
        <f>GECbladedata!$C30</f>
        <v>5.2631578947368411E-2</v>
      </c>
      <c r="D9" s="389">
        <f>0.25+GECbladedata!$Q30/GECbladedata!$P30</f>
        <v>0.22942453980605074</v>
      </c>
      <c r="E9" s="389">
        <f>GECbladedata!$K30</f>
        <v>11.1</v>
      </c>
      <c r="F9" s="389">
        <f>GECbladedata!$D30</f>
        <v>93.880830674399178</v>
      </c>
      <c r="G9" s="390">
        <f>GECbladedata!$O30</f>
        <v>255926413.53308159</v>
      </c>
      <c r="H9" s="391">
        <f>GECbladedata!$N30</f>
        <v>276174377.7347765</v>
      </c>
      <c r="I9" s="391">
        <f>GECbladedata!$L30</f>
        <v>86293632.699756593</v>
      </c>
      <c r="J9" s="391">
        <f>GECbladedata!$M30</f>
        <v>1335788009.2660363</v>
      </c>
      <c r="K9" s="387"/>
      <c r="L9" s="38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94">
        <f>GECbladedata!$C31</f>
        <v>0.10526315789473684</v>
      </c>
      <c r="D10" s="389">
        <f>0.25+GECbladedata!$Q31/GECbladedata!$P31</f>
        <v>0.20118076605125379</v>
      </c>
      <c r="E10" s="389">
        <f>GECbladedata!$K31</f>
        <v>11.1</v>
      </c>
      <c r="F10" s="389">
        <f>GECbladedata!$D31</f>
        <v>101.65670603406498</v>
      </c>
      <c r="G10" s="390">
        <f>GECbladedata!$O31</f>
        <v>194351079.98418844</v>
      </c>
      <c r="H10" s="391">
        <f>GECbladedata!$N31</f>
        <v>248345651.18870816</v>
      </c>
      <c r="I10" s="391">
        <f>GECbladedata!$L31</f>
        <v>59549032.219994225</v>
      </c>
      <c r="J10" s="391">
        <f>GECbladedata!$M31</f>
        <v>1402461988.7262819</v>
      </c>
      <c r="K10" s="387"/>
      <c r="L10" s="38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94">
        <f>GECbladedata!$C32</f>
        <v>0.15789473684210525</v>
      </c>
      <c r="D11" s="389">
        <f>0.25+GECbladedata!$Q32/GECbladedata!$P32</f>
        <v>0.17854587760800433</v>
      </c>
      <c r="E11" s="389">
        <f>GECbladedata!$K32</f>
        <v>11.1</v>
      </c>
      <c r="F11" s="389">
        <f>GECbladedata!$D32</f>
        <v>109.4325813937308</v>
      </c>
      <c r="G11" s="390">
        <f>GECbladedata!$O32</f>
        <v>132775746.43529522</v>
      </c>
      <c r="H11" s="391">
        <f>GECbladedata!$N32</f>
        <v>220516924.64263982</v>
      </c>
      <c r="I11" s="391">
        <f>GECbladedata!$L32</f>
        <v>32804431.740231842</v>
      </c>
      <c r="J11" s="391">
        <f>GECbladedata!$M32</f>
        <v>1469135968.1865273</v>
      </c>
      <c r="K11" s="387"/>
      <c r="L11" s="38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94">
        <f>GECbladedata!$C33</f>
        <v>0.21052631578947367</v>
      </c>
      <c r="D12" s="389">
        <f>0.25+GECbladedata!$Q33/GECbladedata!$P33</f>
        <v>0.15999999999999998</v>
      </c>
      <c r="E12" s="389">
        <f>GECbladedata!$K33</f>
        <v>11.1</v>
      </c>
      <c r="F12" s="389">
        <f>GECbladedata!$D33</f>
        <v>117.20845675339662</v>
      </c>
      <c r="G12" s="390">
        <f>GECbladedata!$O33</f>
        <v>71200412.886402056</v>
      </c>
      <c r="H12" s="391">
        <f>GECbladedata!$N33</f>
        <v>192688198.09657151</v>
      </c>
      <c r="I12" s="391">
        <f>GECbladedata!$L33</f>
        <v>6059831.2604694702</v>
      </c>
      <c r="J12" s="391">
        <f>GECbladedata!$M33</f>
        <v>1535809947.6467729</v>
      </c>
      <c r="K12" s="387"/>
      <c r="L12" s="38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94">
        <f>GECbladedata!$C34</f>
        <v>0.26315789473684209</v>
      </c>
      <c r="D13" s="389">
        <f>0.25+GECbladedata!$Q34/GECbladedata!$P34</f>
        <v>0.16482535368875387</v>
      </c>
      <c r="E13" s="389">
        <f>GECbladedata!$K34</f>
        <v>9.5</v>
      </c>
      <c r="F13" s="389">
        <f>GECbladedata!$D34</f>
        <v>110.35787927472171</v>
      </c>
      <c r="G13" s="390">
        <f>GECbladedata!$O34</f>
        <v>61417696.521534123</v>
      </c>
      <c r="H13" s="391">
        <f>GECbladedata!$N34</f>
        <v>169973932.22807014</v>
      </c>
      <c r="I13" s="391">
        <f>GECbladedata!$L34</f>
        <v>5425015.4541809028</v>
      </c>
      <c r="J13" s="391">
        <f>GECbladedata!$M34</f>
        <v>1447589040.0417631</v>
      </c>
    </row>
    <row r="14" spans="1:25">
      <c r="C14" s="394">
        <f>GECbladedata!$C35</f>
        <v>0.31578947368421051</v>
      </c>
      <c r="D14" s="389">
        <f>0.25+GECbladedata!$Q35/GECbladedata!$P35</f>
        <v>0.17014735544598833</v>
      </c>
      <c r="E14" s="389">
        <f>GECbladedata!$K35</f>
        <v>7.9</v>
      </c>
      <c r="F14" s="389">
        <f>GECbladedata!$D35</f>
        <v>103.50730179604682</v>
      </c>
      <c r="G14" s="390">
        <f>GECbladedata!$O35</f>
        <v>51634980.156666189</v>
      </c>
      <c r="H14" s="391">
        <f>GECbladedata!$N35</f>
        <v>147259666.3595688</v>
      </c>
      <c r="I14" s="391">
        <f>GECbladedata!$L35</f>
        <v>4790199.6478923345</v>
      </c>
      <c r="J14" s="391">
        <f>GECbladedata!$M35</f>
        <v>1359368132.4367533</v>
      </c>
    </row>
    <row r="15" spans="1:25">
      <c r="C15" s="394">
        <f>GECbladedata!$C36</f>
        <v>0.36842105263157893</v>
      </c>
      <c r="D15" s="389">
        <f>0.25+GECbladedata!$Q36/GECbladedata!$P36</f>
        <v>0.17604684131250181</v>
      </c>
      <c r="E15" s="389">
        <f>GECbladedata!$K36</f>
        <v>6.2999999999999989</v>
      </c>
      <c r="F15" s="389">
        <f>GECbladedata!$D36</f>
        <v>96.656724317371896</v>
      </c>
      <c r="G15" s="390">
        <f>GECbladedata!$O36</f>
        <v>41852263.791798249</v>
      </c>
      <c r="H15" s="391">
        <f>GECbladedata!$N36</f>
        <v>124545400.49106742</v>
      </c>
      <c r="I15" s="391">
        <f>GECbladedata!$L36</f>
        <v>4155383.8416037662</v>
      </c>
      <c r="J15" s="391">
        <f>GECbladedata!$M36</f>
        <v>1271147224.8317432</v>
      </c>
    </row>
    <row r="16" spans="1:25">
      <c r="C16" s="394">
        <f>GECbladedata!$C37</f>
        <v>0.42105263157894735</v>
      </c>
      <c r="D16" s="389">
        <f>0.25+GECbladedata!$Q37/GECbladedata!$P37</f>
        <v>0.18262319655237025</v>
      </c>
      <c r="E16" s="389">
        <f>GECbladedata!$K37</f>
        <v>4.6999999999999993</v>
      </c>
      <c r="F16" s="389">
        <f>GECbladedata!$D37</f>
        <v>89.806146838697003</v>
      </c>
      <c r="G16" s="390">
        <f>GECbladedata!$O37</f>
        <v>32069547.426930316</v>
      </c>
      <c r="H16" s="391">
        <f>GECbladedata!$N37</f>
        <v>101831134.62256606</v>
      </c>
      <c r="I16" s="391">
        <f>GECbladedata!$L37</f>
        <v>3520568.0353151988</v>
      </c>
      <c r="J16" s="391">
        <f>GECbladedata!$M37</f>
        <v>1182926317.2267334</v>
      </c>
    </row>
    <row r="17" spans="2:23">
      <c r="C17" s="394">
        <f>GECbladedata!$C38</f>
        <v>0.47368421052631576</v>
      </c>
      <c r="D17" s="389">
        <f>0.25+GECbladedata!$Q38/GECbladedata!$P38</f>
        <v>0.19</v>
      </c>
      <c r="E17" s="389">
        <f>GECbladedata!$K38</f>
        <v>3.1</v>
      </c>
      <c r="F17" s="389">
        <f>GECbladedata!$D38</f>
        <v>82.955569360022096</v>
      </c>
      <c r="G17" s="390">
        <f>GECbladedata!$O38</f>
        <v>22286831.062062379</v>
      </c>
      <c r="H17" s="391">
        <f>GECbladedata!$N38</f>
        <v>79116868.754064709</v>
      </c>
      <c r="I17" s="391">
        <f>GECbladedata!$L38</f>
        <v>2885752.229026631</v>
      </c>
      <c r="J17" s="391">
        <f>GECbladedata!$M38</f>
        <v>1094705409.6217237</v>
      </c>
    </row>
    <row r="18" spans="2:23">
      <c r="C18" s="394">
        <f>GECbladedata!$C39</f>
        <v>0.52631578947368418</v>
      </c>
      <c r="D18" s="389">
        <f>0.25+GECbladedata!$Q39/GECbladedata!$P39</f>
        <v>0.19444565945888745</v>
      </c>
      <c r="E18" s="389">
        <f>GECbladedata!$K39</f>
        <v>2.5999999999999996</v>
      </c>
      <c r="F18" s="389">
        <f>GECbladedata!$D39</f>
        <v>74.190377902510207</v>
      </c>
      <c r="G18" s="390">
        <f>GECbladedata!$O39</f>
        <v>18539309.239150856</v>
      </c>
      <c r="H18" s="391">
        <f>GECbladedata!$N39</f>
        <v>67558106.97317256</v>
      </c>
      <c r="I18" s="391">
        <f>GECbladedata!$L39</f>
        <v>2423588.3923425623</v>
      </c>
      <c r="J18" s="391">
        <f>GECbladedata!$M39</f>
        <v>975582982.3339535</v>
      </c>
    </row>
    <row r="19" spans="2:23">
      <c r="C19" s="394">
        <f>GECbladedata!$C40</f>
        <v>0.57894736842105254</v>
      </c>
      <c r="D19" s="389">
        <f>0.25+GECbladedata!$Q40/GECbladedata!$P40</f>
        <v>0.19950703428506769</v>
      </c>
      <c r="E19" s="389">
        <f>GECbladedata!$K40</f>
        <v>2.1000000000000005</v>
      </c>
      <c r="F19" s="389">
        <f>GECbladedata!$D40</f>
        <v>65.425186444998332</v>
      </c>
      <c r="G19" s="390">
        <f>GECbladedata!$O40</f>
        <v>14791787.416239344</v>
      </c>
      <c r="H19" s="391">
        <f>GECbladedata!$N40</f>
        <v>55999345.192280442</v>
      </c>
      <c r="I19" s="391">
        <f>GECbladedata!$L40</f>
        <v>1961424.5556584948</v>
      </c>
      <c r="J19" s="391">
        <f>GECbladedata!$M40</f>
        <v>856460555.04618359</v>
      </c>
    </row>
    <row r="20" spans="2:23">
      <c r="B20" s="358"/>
      <c r="C20" s="394">
        <f>GECbladedata!$C41</f>
        <v>0.63157894736842102</v>
      </c>
      <c r="D20" s="389">
        <f>0.25+GECbladedata!$Q41/GECbladedata!$P41</f>
        <v>0.20532155448393241</v>
      </c>
      <c r="E20" s="389">
        <f>GECbladedata!$K41</f>
        <v>1.5999999999999999</v>
      </c>
      <c r="F20" s="389">
        <f>GECbladedata!$D41</f>
        <v>56.659994987486449</v>
      </c>
      <c r="G20" s="390">
        <f>GECbladedata!$O41</f>
        <v>11044265.59332782</v>
      </c>
      <c r="H20" s="391">
        <f>GECbladedata!$N41</f>
        <v>44440583.411388293</v>
      </c>
      <c r="I20" s="391">
        <f>GECbladedata!$L41</f>
        <v>1499260.7189744262</v>
      </c>
      <c r="J20" s="391">
        <f>GECbladedata!$M41</f>
        <v>737338127.75841331</v>
      </c>
    </row>
    <row r="21" spans="2:23">
      <c r="B21" s="358"/>
      <c r="C21" s="394">
        <f>GECbladedata!$C42</f>
        <v>0.68421052631578938</v>
      </c>
      <c r="D21" s="389">
        <f>0.25+GECbladedata!$Q42/GECbladedata!$P42</f>
        <v>0.21207083752900485</v>
      </c>
      <c r="E21" s="389">
        <f>GECbladedata!$K42</f>
        <v>1.1000000000000005</v>
      </c>
      <c r="F21" s="389">
        <f>GECbladedata!$D42</f>
        <v>47.894803529974581</v>
      </c>
      <c r="G21" s="390">
        <f>GECbladedata!$O42</f>
        <v>7296743.7704163063</v>
      </c>
      <c r="H21" s="391">
        <f>GECbladedata!$N42</f>
        <v>32881821.630496174</v>
      </c>
      <c r="I21" s="391">
        <f>GECbladedata!$L42</f>
        <v>1037096.8822903587</v>
      </c>
      <c r="J21" s="391">
        <f>GECbladedata!$M42</f>
        <v>618215700.47064352</v>
      </c>
    </row>
    <row r="22" spans="2:23">
      <c r="C22" s="394">
        <f>GECbladedata!$C43</f>
        <v>0.73684210526315785</v>
      </c>
      <c r="D22" s="389">
        <f>0.25+GECbladedata!$Q43/GECbladedata!$P43</f>
        <v>0.21999999999999997</v>
      </c>
      <c r="E22" s="389">
        <f>GECbladedata!$K43</f>
        <v>0.6</v>
      </c>
      <c r="F22" s="389">
        <f>GECbladedata!$D43</f>
        <v>39.129612072462692</v>
      </c>
      <c r="G22" s="390">
        <f>GECbladedata!$O43</f>
        <v>3549221.9475047868</v>
      </c>
      <c r="H22" s="391">
        <f>GECbladedata!$N43</f>
        <v>21323059.849604025</v>
      </c>
      <c r="I22" s="391">
        <f>GECbladedata!$L43</f>
        <v>574933.04560629011</v>
      </c>
      <c r="J22" s="391">
        <f>GECbladedata!$M43</f>
        <v>499093273.18287331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94">
        <f>GECbladedata!$C44</f>
        <v>0.78947368421052622</v>
      </c>
      <c r="D23" s="389">
        <f>0.25+GECbladedata!$Q44/GECbladedata!$P44</f>
        <v>0.22394997933030175</v>
      </c>
      <c r="E23" s="389">
        <f>GECbladedata!$K44</f>
        <v>0.47999999999999987</v>
      </c>
      <c r="F23" s="389">
        <f>GECbladedata!$D44</f>
        <v>32.853968916831455</v>
      </c>
      <c r="G23" s="390">
        <f>GECbladedata!$O44</f>
        <v>2855339.8778221109</v>
      </c>
      <c r="H23" s="391">
        <f>GECbladedata!$N44</f>
        <v>17598898.043764457</v>
      </c>
      <c r="I23" s="391">
        <f>GECbladedata!$L44</f>
        <v>472175.70936429268</v>
      </c>
      <c r="J23" s="391">
        <f>GECbladedata!$M44</f>
        <v>415421497.16283596</v>
      </c>
    </row>
    <row r="24" spans="2:23">
      <c r="C24" s="394">
        <f>GECbladedata!$C45</f>
        <v>0.84210526315789458</v>
      </c>
      <c r="D24" s="389">
        <f>0.25+GECbladedata!$Q45/GECbladedata!$P45</f>
        <v>0.22863777614554492</v>
      </c>
      <c r="E24" s="389">
        <f>GECbladedata!$K45</f>
        <v>0.36000000000000004</v>
      </c>
      <c r="F24" s="389">
        <f>GECbladedata!$D45</f>
        <v>26.57832576120024</v>
      </c>
      <c r="G24" s="390">
        <f>GECbladedata!$O45</f>
        <v>2161457.8081394369</v>
      </c>
      <c r="H24" s="391">
        <f>GECbladedata!$N45</f>
        <v>13874736.2379249</v>
      </c>
      <c r="I24" s="391">
        <f>GECbladedata!$L45</f>
        <v>369418.37312229548</v>
      </c>
      <c r="J24" s="391">
        <f>GECbladedata!$M45</f>
        <v>331749721.14279878</v>
      </c>
    </row>
    <row r="25" spans="2:23">
      <c r="C25" s="394">
        <f>GECbladedata!$C46</f>
        <v>0.89473684210526305</v>
      </c>
      <c r="D25" s="389">
        <f>0.25+GECbladedata!$Q46/GECbladedata!$P46</f>
        <v>0.23429141218995386</v>
      </c>
      <c r="E25" s="389">
        <f>GECbladedata!$K46</f>
        <v>0.23999999999999994</v>
      </c>
      <c r="F25" s="389">
        <f>GECbladedata!$D46</f>
        <v>20.302682605569004</v>
      </c>
      <c r="G25" s="390">
        <f>GECbladedata!$O46</f>
        <v>1467575.738456761</v>
      </c>
      <c r="H25" s="391">
        <f>GECbladedata!$N46</f>
        <v>10150574.432085332</v>
      </c>
      <c r="I25" s="391">
        <f>GECbladedata!$L46</f>
        <v>266661.03688029811</v>
      </c>
      <c r="J25" s="391">
        <f>GECbladedata!$M46</f>
        <v>248077945.1227614</v>
      </c>
    </row>
    <row r="26" spans="2:23">
      <c r="C26" s="394">
        <f>GECbladedata!$C47</f>
        <v>0.94736842105263142</v>
      </c>
      <c r="D26" s="389">
        <f>0.25+GECbladedata!$Q47/GECbladedata!$P47</f>
        <v>0.24124366011255469</v>
      </c>
      <c r="E26" s="389">
        <f>GECbladedata!$K47</f>
        <v>0.12000000000000011</v>
      </c>
      <c r="F26" s="389">
        <f>GECbladedata!$D47</f>
        <v>14.027039449937785</v>
      </c>
      <c r="G26" s="390">
        <f>GECbladedata!$O47</f>
        <v>773693.66877408698</v>
      </c>
      <c r="H26" s="391">
        <f>GECbladedata!$N47</f>
        <v>6426412.6262457725</v>
      </c>
      <c r="I26" s="391">
        <f>GECbladedata!$L47</f>
        <v>163903.70063830091</v>
      </c>
      <c r="J26" s="391">
        <f>GECbladedata!$M47</f>
        <v>164406169.10272419</v>
      </c>
    </row>
    <row r="27" spans="2:23">
      <c r="C27" s="394">
        <f>GECbladedata!$C48</f>
        <v>0.99999999999999989</v>
      </c>
      <c r="D27" s="389">
        <f>0.25+GECbladedata!$Q48/GECbladedata!$P48</f>
        <v>0.25</v>
      </c>
      <c r="E27" s="389">
        <f>GECbladedata!$K48</f>
        <v>0</v>
      </c>
      <c r="F27" s="389">
        <f>GECbladedata!$D48</f>
        <v>7.751396294306554</v>
      </c>
      <c r="G27" s="390">
        <f>GECbladedata!$O48</f>
        <v>79811.599091411103</v>
      </c>
      <c r="H27" s="391">
        <f>GECbladedata!$N48</f>
        <v>2702250.8204062055</v>
      </c>
      <c r="I27" s="391">
        <f>GECbladedata!$L48</f>
        <v>61146.36439630347</v>
      </c>
      <c r="J27" s="391">
        <f>GECbladedata!$M48</f>
        <v>80734393.082686871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tabSelected="1" workbookViewId="0">
      <selection activeCell="D18" sqref="D18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428</v>
      </c>
      <c r="B2" t="s">
        <v>429</v>
      </c>
      <c r="C2" t="s">
        <v>430</v>
      </c>
    </row>
    <row r="3" spans="1:14">
      <c r="K3" s="380"/>
      <c r="L3" s="377"/>
      <c r="M3" s="377"/>
      <c r="N3" s="358"/>
    </row>
    <row r="4" spans="1:14">
      <c r="A4" t="s">
        <v>395</v>
      </c>
      <c r="B4" t="s">
        <v>450</v>
      </c>
      <c r="C4" s="101">
        <f>'Main Page'!B87</f>
        <v>1800</v>
      </c>
      <c r="K4" s="380"/>
      <c r="L4" s="377"/>
      <c r="M4" s="377"/>
      <c r="N4" s="358"/>
    </row>
    <row r="5" spans="1:14">
      <c r="A5" t="s">
        <v>510</v>
      </c>
      <c r="B5" t="s">
        <v>451</v>
      </c>
      <c r="C5" s="381">
        <f>'Main Page'!$B$31</f>
        <v>4188.2879761025097</v>
      </c>
      <c r="K5" s="380"/>
    </row>
    <row r="6" spans="1:14">
      <c r="A6" t="s">
        <v>453</v>
      </c>
      <c r="B6" t="s">
        <v>452</v>
      </c>
      <c r="C6" s="382">
        <f>'Main Page'!B43</f>
        <v>1.2926814741057128E-3</v>
      </c>
      <c r="K6" s="380"/>
    </row>
    <row r="7" spans="1:14">
      <c r="A7" t="s">
        <v>444</v>
      </c>
      <c r="B7" t="s">
        <v>509</v>
      </c>
      <c r="C7" s="382">
        <v>2.6</v>
      </c>
      <c r="K7" s="380"/>
    </row>
    <row r="8" spans="1:14">
      <c r="A8" t="s">
        <v>395</v>
      </c>
      <c r="B8" t="s">
        <v>454</v>
      </c>
      <c r="C8">
        <f>'Main Page'!$B$29</f>
        <v>28.647889756541161</v>
      </c>
      <c r="G8" t="s">
        <v>464</v>
      </c>
      <c r="K8" s="380"/>
    </row>
    <row r="9" spans="1:14">
      <c r="A9" t="s">
        <v>444</v>
      </c>
      <c r="B9" t="s">
        <v>455</v>
      </c>
      <c r="C9" s="102">
        <f>'Main Page'!$B$34</f>
        <v>2.6</v>
      </c>
      <c r="G9" t="s">
        <v>465</v>
      </c>
      <c r="K9" s="380"/>
    </row>
    <row r="10" spans="1:14">
      <c r="A10" t="s">
        <v>444</v>
      </c>
      <c r="B10" t="s">
        <v>456</v>
      </c>
      <c r="C10" s="102">
        <f>'Main Page'!$B$35</f>
        <v>90</v>
      </c>
      <c r="G10" t="s">
        <v>466</v>
      </c>
      <c r="K10" s="380"/>
    </row>
    <row r="11" spans="1:14">
      <c r="A11" t="s">
        <v>462</v>
      </c>
      <c r="B11" t="s">
        <v>457</v>
      </c>
      <c r="C11">
        <f>'Main Page'!$B$40</f>
        <v>2.5000000000000001E-2</v>
      </c>
      <c r="G11" t="s">
        <v>467</v>
      </c>
      <c r="K11" s="380"/>
    </row>
    <row r="12" spans="1:14">
      <c r="A12" t="s">
        <v>463</v>
      </c>
      <c r="B12" t="s">
        <v>458</v>
      </c>
      <c r="C12">
        <f>'Main Page'!$B$37*PI()/180</f>
        <v>4.5378560551852569E-2</v>
      </c>
      <c r="G12" t="s">
        <v>468</v>
      </c>
      <c r="K12" s="380"/>
    </row>
    <row r="13" spans="1:14">
      <c r="A13" t="s">
        <v>463</v>
      </c>
      <c r="B13" t="s">
        <v>459</v>
      </c>
      <c r="C13">
        <f>'Main Page'!$B$38*PI()/180</f>
        <v>0.52359877559829882</v>
      </c>
      <c r="G13" t="s">
        <v>469</v>
      </c>
      <c r="K13" s="380"/>
    </row>
    <row r="14" spans="1:14">
      <c r="A14" t="s">
        <v>431</v>
      </c>
      <c r="B14" t="s">
        <v>460</v>
      </c>
      <c r="C14">
        <f>1/C12^C15</f>
        <v>0.21302244142778143</v>
      </c>
      <c r="G14" t="s">
        <v>470</v>
      </c>
      <c r="K14" s="380"/>
    </row>
    <row r="15" spans="1:14">
      <c r="A15" t="s">
        <v>431</v>
      </c>
      <c r="B15" t="s">
        <v>461</v>
      </c>
      <c r="C15">
        <f>'Main Page'!$B$39</f>
        <v>-0.5</v>
      </c>
      <c r="G15" t="s">
        <v>471</v>
      </c>
      <c r="K15" s="380"/>
    </row>
    <row r="16" spans="1:14">
      <c r="B16" t="s">
        <v>511</v>
      </c>
      <c r="C16" s="101">
        <f>(4*'Main Page'!$B$29/30*PI())^2</f>
        <v>144</v>
      </c>
      <c r="D16" s="101">
        <v>0</v>
      </c>
      <c r="E16" s="101">
        <v>0</v>
      </c>
      <c r="G16" t="s">
        <v>513</v>
      </c>
      <c r="K16" s="380"/>
    </row>
    <row r="17" spans="2:11">
      <c r="B17" t="s">
        <v>512</v>
      </c>
      <c r="C17" s="101">
        <f>(4*'Main Page'!$B$29/30*PI())^2</f>
        <v>144</v>
      </c>
      <c r="D17" s="101">
        <f>2*0.8*(4*'Main Page'!$B$29/30*PI())</f>
        <v>19.200000000000003</v>
      </c>
      <c r="E17" s="101">
        <v>1</v>
      </c>
      <c r="G17" t="s">
        <v>514</v>
      </c>
      <c r="K17" s="102"/>
    </row>
    <row r="19" spans="2:11">
      <c r="K19" s="381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6" sqref="C16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428</v>
      </c>
      <c r="B1" t="s">
        <v>429</v>
      </c>
      <c r="C1" t="s">
        <v>430</v>
      </c>
    </row>
    <row r="3" spans="1:13">
      <c r="A3" t="s">
        <v>85</v>
      </c>
      <c r="B3" t="s">
        <v>443</v>
      </c>
      <c r="C3" s="381">
        <f>'Main Page'!B61</f>
        <v>-2.33</v>
      </c>
    </row>
    <row r="4" spans="1:13">
      <c r="A4" t="s">
        <v>85</v>
      </c>
      <c r="B4" t="s">
        <v>472</v>
      </c>
      <c r="C4" s="381">
        <f>('Main Page'!B5*'Main Page'!E5+'Main Page'!B6*'Main Page'!E6+'Main Page'!B7*'Main Page'!E7)/C11</f>
        <v>-5.9950003076370724E-2</v>
      </c>
      <c r="I4" s="102"/>
    </row>
    <row r="5" spans="1:13">
      <c r="A5" t="s">
        <v>85</v>
      </c>
      <c r="B5" t="s">
        <v>474</v>
      </c>
      <c r="C5" s="381">
        <f>('Main Page'!C5*'Main Page'!E5+'Main Page'!C6*'Main Page'!E6+'Main Page'!C7*'Main Page'!E7)/C11</f>
        <v>0</v>
      </c>
    </row>
    <row r="6" spans="1:13">
      <c r="A6" t="s">
        <v>85</v>
      </c>
      <c r="B6" t="s">
        <v>473</v>
      </c>
      <c r="C6" s="381">
        <f>('Main Page'!D5*'Main Page'!E5+'Main Page'!D6*'Main Page'!E6+'Main Page'!D7*'Main Page'!E7)/C11+'Main Page'!B46</f>
        <v>1.2043279805609703</v>
      </c>
      <c r="I6" s="103"/>
      <c r="J6" s="103"/>
      <c r="K6" s="103"/>
    </row>
    <row r="7" spans="1:13">
      <c r="A7" t="s">
        <v>85</v>
      </c>
      <c r="B7" t="s">
        <v>441</v>
      </c>
      <c r="C7" s="381">
        <f>'Main Page'!B9-'Main Page'!B46</f>
        <v>58.67</v>
      </c>
      <c r="I7" s="103"/>
      <c r="J7" s="103"/>
      <c r="K7" s="103"/>
    </row>
    <row r="8" spans="1:13">
      <c r="A8" t="s">
        <v>85</v>
      </c>
      <c r="B8" t="s">
        <v>442</v>
      </c>
      <c r="C8" s="381">
        <f>'Main Page'!B46</f>
        <v>1.33</v>
      </c>
      <c r="I8" s="103"/>
      <c r="J8" s="103"/>
      <c r="K8" s="103"/>
    </row>
    <row r="9" spans="1:13">
      <c r="A9" t="s">
        <v>444</v>
      </c>
      <c r="B9" t="s">
        <v>446</v>
      </c>
      <c r="C9" s="381">
        <f>-'Main Page'!B11</f>
        <v>-5</v>
      </c>
      <c r="I9" s="103"/>
    </row>
    <row r="10" spans="1:13">
      <c r="A10" t="s">
        <v>444</v>
      </c>
      <c r="B10" t="s">
        <v>445</v>
      </c>
      <c r="C10" s="381">
        <f>-'Main Page'!B18</f>
        <v>0</v>
      </c>
      <c r="I10" s="103"/>
      <c r="M10" s="358"/>
    </row>
    <row r="11" spans="1:13">
      <c r="A11" t="s">
        <v>117</v>
      </c>
      <c r="B11" t="s">
        <v>475</v>
      </c>
      <c r="C11" s="381">
        <f>SUM('Main Page'!E5+'Main Page'!E6+'Main Page'!E7)</f>
        <v>20950.244259671897</v>
      </c>
      <c r="I11" s="103"/>
      <c r="M11" s="358"/>
    </row>
    <row r="12" spans="1:13">
      <c r="A12" t="s">
        <v>117</v>
      </c>
      <c r="B12" t="s">
        <v>447</v>
      </c>
      <c r="C12" s="381">
        <f>'Main Page'!E8</f>
        <v>6573.9348557027251</v>
      </c>
      <c r="I12" s="103"/>
      <c r="M12" s="358"/>
    </row>
    <row r="13" spans="1:13">
      <c r="A13" t="s">
        <v>432</v>
      </c>
      <c r="B13" t="s">
        <v>448</v>
      </c>
      <c r="C13" s="381">
        <f>SUM('Main Page'!H5:H7)</f>
        <v>8623.1244137844569</v>
      </c>
      <c r="I13" s="103"/>
    </row>
    <row r="14" spans="1:13">
      <c r="A14" t="s">
        <v>432</v>
      </c>
      <c r="B14" t="s">
        <v>476</v>
      </c>
      <c r="C14" s="381">
        <f>SUM(GECdrivetrain!M11:'GECdrivetrain'!M12)/('Main Page'!$B$88)^2</f>
        <v>16.651119676874973</v>
      </c>
      <c r="I14" s="103"/>
    </row>
    <row r="15" spans="1:13">
      <c r="A15" t="s">
        <v>432</v>
      </c>
      <c r="B15" t="s">
        <v>449</v>
      </c>
      <c r="C15" s="381">
        <f>GECdrivetrain!M5</f>
        <v>5160.9544585651756</v>
      </c>
    </row>
    <row r="16" spans="1:13">
      <c r="A16" t="s">
        <v>431</v>
      </c>
      <c r="B16" t="s">
        <v>477</v>
      </c>
      <c r="C16" s="393">
        <f>'Main Page'!B19*100</f>
        <v>95</v>
      </c>
    </row>
    <row r="17" spans="1:13">
      <c r="A17" t="s">
        <v>431</v>
      </c>
      <c r="B17" t="s">
        <v>478</v>
      </c>
      <c r="C17">
        <f>'Main Page'!$B$88</f>
        <v>62.831853071795862</v>
      </c>
    </row>
    <row r="18" spans="1:13">
      <c r="A18" t="s">
        <v>480</v>
      </c>
      <c r="B18" t="s">
        <v>479</v>
      </c>
      <c r="C18">
        <f>'Main Page'!B14</f>
        <v>129646444.93189973</v>
      </c>
      <c r="I18" s="103"/>
    </row>
    <row r="19" spans="1:13">
      <c r="A19" t="s">
        <v>481</v>
      </c>
      <c r="B19" t="s">
        <v>482</v>
      </c>
      <c r="C19">
        <f>2*'Main Page'!B15/100*SQRT(C18*'Main Page'!B16*C14*C17^2/('Main Page'!B16+C14*C17^2))</f>
        <v>278494.4553663737</v>
      </c>
      <c r="I19" s="103"/>
    </row>
    <row r="20" spans="1:13">
      <c r="A20" t="s">
        <v>483</v>
      </c>
      <c r="B20" t="s">
        <v>484</v>
      </c>
      <c r="C20" s="333">
        <f>'Main Page'!B92*1000</f>
        <v>750000</v>
      </c>
      <c r="M20" s="358"/>
    </row>
    <row r="21" spans="1:13">
      <c r="I21" s="103"/>
      <c r="M21" s="358"/>
    </row>
    <row r="22" spans="1:13">
      <c r="I22" s="103"/>
      <c r="M22" s="3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24" sqref="D24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428</v>
      </c>
      <c r="B1" t="s">
        <v>429</v>
      </c>
      <c r="C1" t="s">
        <v>430</v>
      </c>
    </row>
    <row r="3" spans="1:14">
      <c r="A3" t="s">
        <v>386</v>
      </c>
      <c r="B3" t="s">
        <v>485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486</v>
      </c>
      <c r="C4" t="s">
        <v>492</v>
      </c>
      <c r="D4" t="s">
        <v>487</v>
      </c>
      <c r="E4" t="s">
        <v>488</v>
      </c>
      <c r="F4" t="s">
        <v>489</v>
      </c>
      <c r="G4" t="s">
        <v>490</v>
      </c>
      <c r="H4" t="s">
        <v>491</v>
      </c>
    </row>
    <row r="5" spans="1:14">
      <c r="C5" s="380">
        <f>GECtwrdata!$B15/9</f>
        <v>0</v>
      </c>
      <c r="D5">
        <f>GECtwrdata!$G15</f>
        <v>1456.5699814057803</v>
      </c>
      <c r="E5" s="388">
        <f>GECtwrdata!$N15</f>
        <v>62126221909.368462</v>
      </c>
      <c r="F5" s="388">
        <f>GECtwrdata!$N15</f>
        <v>62126221909.368462</v>
      </c>
      <c r="G5" s="388">
        <f>GECtwrdata!$K15</f>
        <v>47789401468.744972</v>
      </c>
      <c r="H5" s="388">
        <f>GECtwrdata!$H15</f>
        <v>35342917352.88517</v>
      </c>
      <c r="N5" s="358"/>
    </row>
    <row r="6" spans="1:14">
      <c r="C6" s="380">
        <f>GECtwrdata!$B16/9</f>
        <v>0.1111111111111111</v>
      </c>
      <c r="D6">
        <f>GECtwrdata!$G16</f>
        <v>1319.6643913839366</v>
      </c>
      <c r="E6" s="388">
        <f>GECtwrdata!$N16</f>
        <v>50601045349.013542</v>
      </c>
      <c r="F6" s="388">
        <f>GECtwrdata!$N16</f>
        <v>50601045349.013542</v>
      </c>
      <c r="G6" s="388">
        <f>GECtwrdata!$K16</f>
        <v>38923881037.702721</v>
      </c>
      <c r="H6" s="388">
        <f>GECtwrdata!$H16</f>
        <v>32020974009.92263</v>
      </c>
      <c r="N6" s="358"/>
    </row>
    <row r="7" spans="1:14">
      <c r="C7" s="380">
        <f>GECtwrdata!$B17/9</f>
        <v>0.22222222222222221</v>
      </c>
      <c r="D7">
        <f>GECtwrdata!$G17</f>
        <v>1189.4722103298889</v>
      </c>
      <c r="E7" s="388">
        <f>GECtwrdata!$N17</f>
        <v>40756895137.180222</v>
      </c>
      <c r="F7" s="388">
        <f>GECtwrdata!$N17</f>
        <v>40756895137.180222</v>
      </c>
      <c r="G7" s="388">
        <f>GECtwrdata!$K17</f>
        <v>31351457797.830936</v>
      </c>
      <c r="H7" s="388">
        <f>GECtwrdata!$H17</f>
        <v>28861928063.812893</v>
      </c>
      <c r="N7" s="358"/>
    </row>
    <row r="8" spans="1:14">
      <c r="C8" s="380">
        <f>GECtwrdata!$B18/9</f>
        <v>0.33333333333333331</v>
      </c>
      <c r="D8">
        <f>GECtwrdata!$G18</f>
        <v>1065.9934382436375</v>
      </c>
      <c r="E8" s="388">
        <f>GECtwrdata!$N18</f>
        <v>32422036127.620483</v>
      </c>
      <c r="F8" s="388">
        <f>GECtwrdata!$N18</f>
        <v>32422036127.620483</v>
      </c>
      <c r="G8" s="388">
        <f>GECtwrdata!$K18</f>
        <v>24940027790.477295</v>
      </c>
      <c r="H8" s="388">
        <f>GECtwrdata!$H18</f>
        <v>25865779514.555958</v>
      </c>
      <c r="N8" s="358"/>
    </row>
    <row r="9" spans="1:14">
      <c r="C9" s="380">
        <f>GECtwrdata!$B19/9</f>
        <v>0.44444444444444442</v>
      </c>
      <c r="D9">
        <f>GECtwrdata!$G19</f>
        <v>949.2280751251825</v>
      </c>
      <c r="E9" s="388">
        <f>GECtwrdata!$N19</f>
        <v>25433971568.120796</v>
      </c>
      <c r="F9" s="388">
        <f>GECtwrdata!$N19</f>
        <v>25433971568.120796</v>
      </c>
      <c r="G9" s="388">
        <f>GECtwrdata!$K19</f>
        <v>19564593513.939072</v>
      </c>
      <c r="H9" s="388">
        <f>GECtwrdata!$H19</f>
        <v>23032528362.151833</v>
      </c>
      <c r="N9" s="358"/>
    </row>
    <row r="10" spans="1:14">
      <c r="C10" s="380">
        <f>GECtwrdata!$B20/9</f>
        <v>0.55555555555555558</v>
      </c>
      <c r="D10">
        <f>GECtwrdata!$G20</f>
        <v>839.17612097452354</v>
      </c>
      <c r="E10" s="388">
        <f>GECtwrdata!$N20</f>
        <v>19639443100.502033</v>
      </c>
      <c r="F10" s="388">
        <f>GECtwrdata!$N20</f>
        <v>19639443100.502033</v>
      </c>
      <c r="G10" s="388">
        <f>GECtwrdata!$K20</f>
        <v>15107263923.4631</v>
      </c>
      <c r="H10" s="388">
        <f>GECtwrdata!$H20</f>
        <v>20362174606.60051</v>
      </c>
      <c r="N10" s="358"/>
    </row>
    <row r="11" spans="1:14">
      <c r="C11" s="380">
        <f>GECtwrdata!$B21/9</f>
        <v>0.66666666666666663</v>
      </c>
      <c r="D11">
        <f>GECtwrdata!$G21</f>
        <v>735.83757579166081</v>
      </c>
      <c r="E11" s="388">
        <f>GECtwrdata!$N21</f>
        <v>14894430760.619625</v>
      </c>
      <c r="F11" s="388">
        <f>GECtwrdata!$N21</f>
        <v>14894430760.619625</v>
      </c>
      <c r="G11" s="388">
        <f>GECtwrdata!$K21</f>
        <v>11457254431.245865</v>
      </c>
      <c r="H11" s="388">
        <f>GECtwrdata!$H21</f>
        <v>17854718247.901989</v>
      </c>
      <c r="N11" s="358"/>
    </row>
    <row r="12" spans="1:14">
      <c r="C12" s="380">
        <f>GECtwrdata!$B22/9</f>
        <v>0.77777777777777779</v>
      </c>
      <c r="D12">
        <f>GECtwrdata!$G22</f>
        <v>639.21243957659442</v>
      </c>
      <c r="E12" s="388">
        <f>GECtwrdata!$N22</f>
        <v>11064152978.363453</v>
      </c>
      <c r="F12" s="388">
        <f>GECtwrdata!$N22</f>
        <v>11064152978.363453</v>
      </c>
      <c r="G12" s="388">
        <f>GECtwrdata!$K22</f>
        <v>8510886906.433424</v>
      </c>
      <c r="H12" s="388">
        <f>GECtwrdata!$H22</f>
        <v>15510159286.056276</v>
      </c>
      <c r="N12" s="358"/>
    </row>
    <row r="13" spans="1:14">
      <c r="C13" s="380">
        <f>GECtwrdata!$B23/9</f>
        <v>0.88888888888888884</v>
      </c>
      <c r="D13">
        <f>GECtwrdata!$G23</f>
        <v>549.3007123293238</v>
      </c>
      <c r="E13" s="388">
        <f>GECtwrdata!$N23</f>
        <v>8023066577.657836</v>
      </c>
      <c r="F13" s="388">
        <f>GECtwrdata!$N23</f>
        <v>8023066577.657836</v>
      </c>
      <c r="G13" s="388">
        <f>GECtwrdata!$K23</f>
        <v>6171589675.1214123</v>
      </c>
      <c r="H13" s="388">
        <f>GECtwrdata!$H23</f>
        <v>13328497721.063362</v>
      </c>
      <c r="N13" s="358"/>
    </row>
    <row r="14" spans="1:14">
      <c r="C14" s="380">
        <f>GECtwrdata!$B24/9</f>
        <v>1</v>
      </c>
      <c r="D14">
        <f>GECtwrdata!$G24</f>
        <v>466.10239404984969</v>
      </c>
      <c r="E14" s="388">
        <f>GECtwrdata!$N24</f>
        <v>5654866776.461628</v>
      </c>
      <c r="F14" s="388">
        <f>GECtwrdata!$N24</f>
        <v>5654866776.461628</v>
      </c>
      <c r="G14" s="388">
        <f>GECtwrdata!$K24</f>
        <v>4349897520.3550978</v>
      </c>
      <c r="H14" s="388">
        <f>GECtwrdata!$H24</f>
        <v>11309733552.923256</v>
      </c>
      <c r="I14" s="377"/>
      <c r="J14" s="377"/>
      <c r="K14" s="377"/>
      <c r="L14" s="377"/>
      <c r="N14" s="358"/>
    </row>
    <row r="15" spans="1:14">
      <c r="N15" s="3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K42" sqref="K42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9" t="s">
        <v>84</v>
      </c>
      <c r="B2" s="410"/>
      <c r="C2" s="410"/>
      <c r="D2" s="41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95" t="s">
        <v>84</v>
      </c>
      <c r="E2" s="397"/>
      <c r="F2" s="398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0"/>
  <sheetViews>
    <sheetView zoomScaleNormal="100" workbookViewId="0">
      <selection activeCell="K18" sqref="K18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Page'!A124</f>
        <v>0.05</v>
      </c>
      <c r="C5" s="201">
        <f>'Main Page'!B124</f>
        <v>1.349657099314199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1181.9474017501359</v>
      </c>
      <c r="J5" s="205">
        <f>'Main Page'!I124</f>
        <v>2362406058.2721553</v>
      </c>
      <c r="K5" s="205">
        <f>'Main Page'!J124</f>
        <v>2362406058.2721553</v>
      </c>
      <c r="L5" s="205">
        <f>'Main Page'!K124</f>
        <v>10326627046.93685</v>
      </c>
      <c r="M5" s="205">
        <f>'Main Page'!L124</f>
        <v>815590611.695804</v>
      </c>
      <c r="N5" s="206">
        <f>'Main Page'!M124</f>
        <v>538.24909552528584</v>
      </c>
      <c r="P5" s="103"/>
    </row>
    <row r="6" spans="2:21">
      <c r="B6" s="207">
        <f>'Main Page'!A125</f>
        <v>7.0000000000000007E-2</v>
      </c>
      <c r="C6" s="208">
        <f>'Main Page'!B125</f>
        <v>1.3496570993141985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89.215305458599687</v>
      </c>
      <c r="J6" s="211">
        <f>'Main Page'!I125</f>
        <v>292871613.66241747</v>
      </c>
      <c r="K6" s="211">
        <f>'Main Page'!J125</f>
        <v>292871613.66241747</v>
      </c>
      <c r="L6" s="211">
        <f>'Main Page'!K125</f>
        <v>1295783621.589889</v>
      </c>
      <c r="M6" s="211">
        <f>'Main Page'!L125</f>
        <v>102340392.98761402</v>
      </c>
      <c r="N6" s="212">
        <f>'Main Page'!M125</f>
        <v>40.627914067071856</v>
      </c>
      <c r="P6" s="103"/>
    </row>
    <row r="7" spans="2:21">
      <c r="B7" s="197">
        <f>'Main Page'!A126</f>
        <v>0.25</v>
      </c>
      <c r="C7" s="208">
        <f>'Main Page'!B126</f>
        <v>2</v>
      </c>
      <c r="D7" s="209">
        <f>'Main Page'!C126</f>
        <v>0.27</v>
      </c>
      <c r="E7" s="209">
        <f>'Main Page'!D126</f>
        <v>5.7408195699863462</v>
      </c>
      <c r="F7" s="203">
        <f>'Main Page'!E126</f>
        <v>0.34</v>
      </c>
      <c r="G7" s="208">
        <f>'Main Page'!F126</f>
        <v>0.38431406494974252</v>
      </c>
      <c r="H7" s="208">
        <f>'Main Page'!G126</f>
        <v>0.32303333404645607</v>
      </c>
      <c r="I7" s="210">
        <f>'Main Page'!H126</f>
        <v>117.20845675339662</v>
      </c>
      <c r="J7" s="211">
        <f>'Main Page'!I126</f>
        <v>71200412.886402056</v>
      </c>
      <c r="K7" s="211">
        <f>'Main Page'!J126</f>
        <v>192688198.09657151</v>
      </c>
      <c r="L7" s="198">
        <f>'Main Page'!K126</f>
        <v>1535809947.6467729</v>
      </c>
      <c r="M7" s="198">
        <f>'Main Page'!L126</f>
        <v>6059831.2604694702</v>
      </c>
      <c r="N7" s="213">
        <f>'Main Page'!M126</f>
        <v>24.149591455091301</v>
      </c>
      <c r="P7" s="103"/>
    </row>
    <row r="8" spans="2:21">
      <c r="B8" s="197">
        <f>'Main Page'!A127</f>
        <v>0.5</v>
      </c>
      <c r="C8" s="208">
        <f>'Main Page'!B127</f>
        <v>1.5334010668021336</v>
      </c>
      <c r="D8" s="214">
        <f>'Main Page'!C127</f>
        <v>0.24</v>
      </c>
      <c r="E8" s="209">
        <f>'Main Page'!D127</f>
        <v>7.8774986568807996</v>
      </c>
      <c r="F8" s="203">
        <f>'Main Page'!E127</f>
        <v>0.31</v>
      </c>
      <c r="G8" s="208">
        <f>'Main Page'!F127</f>
        <v>0.37966131849299201</v>
      </c>
      <c r="H8" s="208">
        <f>'Main Page'!G127</f>
        <v>0.32331172392666518</v>
      </c>
      <c r="I8" s="210">
        <f>'Main Page'!H127</f>
        <v>82.955569360022096</v>
      </c>
      <c r="J8" s="211">
        <f>'Main Page'!I127</f>
        <v>22286831.062062379</v>
      </c>
      <c r="K8" s="211">
        <f>'Main Page'!J127</f>
        <v>79116868.754064709</v>
      </c>
      <c r="L8" s="198">
        <f>'Main Page'!K127</f>
        <v>1094705409.6217237</v>
      </c>
      <c r="M8" s="198">
        <f>'Main Page'!L127</f>
        <v>2885752.229026631</v>
      </c>
      <c r="N8" s="213">
        <f>'Main Page'!M127</f>
        <v>9.0573611452431102</v>
      </c>
      <c r="P8" s="103"/>
    </row>
    <row r="9" spans="2:21">
      <c r="B9" s="197">
        <f>'Main Page'!A128</f>
        <v>0.75</v>
      </c>
      <c r="C9" s="208">
        <f>'Main Page'!B128</f>
        <v>1.0670561341122682</v>
      </c>
      <c r="D9" s="214">
        <f>'Main Page'!C128</f>
        <v>0.21</v>
      </c>
      <c r="E9" s="209">
        <f>'Main Page'!D128</f>
        <v>7.6422364536705301</v>
      </c>
      <c r="F9" s="203">
        <f>'Main Page'!E128</f>
        <v>0.28000000000000003</v>
      </c>
      <c r="G9" s="208">
        <f>'Main Page'!F128</f>
        <v>0.39262047257690491</v>
      </c>
      <c r="H9" s="208">
        <f>'Main Page'!G128</f>
        <v>0.32643878406891619</v>
      </c>
      <c r="I9" s="210">
        <f>'Main Page'!H128</f>
        <v>39.129612072462692</v>
      </c>
      <c r="J9" s="211">
        <f>'Main Page'!I128</f>
        <v>3549221.9475047868</v>
      </c>
      <c r="K9" s="211">
        <f>'Main Page'!J128</f>
        <v>21323059.849604025</v>
      </c>
      <c r="L9" s="198">
        <f>'Main Page'!K128</f>
        <v>499093273.18287331</v>
      </c>
      <c r="M9" s="198">
        <f>'Main Page'!L128</f>
        <v>574933.04560629011</v>
      </c>
      <c r="N9" s="213">
        <f>'Main Page'!M128</f>
        <v>2.2054187533799334</v>
      </c>
      <c r="P9" s="103"/>
    </row>
    <row r="10" spans="2:21">
      <c r="B10" s="215">
        <f>'Main Page'!A129</f>
        <v>1</v>
      </c>
      <c r="C10" s="216">
        <f>'Main Page'!B129</f>
        <v>0.64719329438658879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7.751396294306554</v>
      </c>
      <c r="J10" s="219">
        <f>'Main Page'!I129</f>
        <v>79811.599091411103</v>
      </c>
      <c r="K10" s="219">
        <f>'Main Page'!J129</f>
        <v>2702250.8204062055</v>
      </c>
      <c r="L10" s="220">
        <f>'Main Page'!K129</f>
        <v>80734393.082686871</v>
      </c>
      <c r="M10" s="220">
        <f>'Main Page'!L129</f>
        <v>61146.36439630347</v>
      </c>
      <c r="N10" s="221">
        <f>'Main Page'!M129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Page'!B56/2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2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2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Page'!C$131/('Main Page'!C$131+1)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Page'!B136-'Main Page'!B$141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Page'!D136</f>
        <v>1</v>
      </c>
      <c r="S18" s="108"/>
      <c r="T18" s="108"/>
      <c r="U18" s="108"/>
    </row>
    <row r="19" spans="2:22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Page'!C$131/('Main Page'!C$131+1)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Page'!B137-'Main Page'!B$141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Page'!D137</f>
        <v>1</v>
      </c>
      <c r="S19" s="108"/>
      <c r="T19" s="108"/>
      <c r="U19" s="108"/>
    </row>
    <row r="20" spans="2:22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Page'!C$131/('Main Page'!C$131+1)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Page'!B138-'Main Page'!B$141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Page'!D138</f>
        <v>2</v>
      </c>
      <c r="S20" s="108"/>
      <c r="T20" s="108"/>
      <c r="U20" s="108"/>
    </row>
    <row r="21" spans="2:22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Page'!C$131/('Main Page'!C$131+1)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Page'!B139-'Main Page'!B$141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2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Page'!C$131/('Main Page'!C$131+1)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Page'!B140-'Main Page'!B$141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Page'!D140</f>
        <v>3</v>
      </c>
      <c r="S22" s="108"/>
      <c r="T22" s="108"/>
      <c r="U22" s="108"/>
    </row>
    <row r="23" spans="2:22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Page'!C$131/('Main Page'!C$131+1)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Page'!B141-'Main Page'!B$141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Page'!D141</f>
        <v>4</v>
      </c>
      <c r="S23" s="108"/>
      <c r="T23" s="108"/>
      <c r="U23" s="108"/>
    </row>
    <row r="25" spans="2:22">
      <c r="B25" t="s">
        <v>367</v>
      </c>
    </row>
    <row r="26" spans="2:22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2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2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P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>Q18</f>
        <v>0</v>
      </c>
      <c r="R28" s="262">
        <f>$R$18</f>
        <v>1</v>
      </c>
      <c r="T28">
        <f>D28*(C29-C28)/2*(D$12-D$13)</f>
        <v>295.48685043753403</v>
      </c>
      <c r="V28" s="103">
        <f>Q28/P28+0.25</f>
        <v>0.25</v>
      </c>
    </row>
    <row r="29" spans="2:22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  <c r="V29" s="103">
        <f t="shared" ref="V29:V48" si="13">Q29/P29+0.25</f>
        <v>0.25</v>
      </c>
    </row>
    <row r="30" spans="2:22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4">I$29+($B30-$B$29)*(I$33-I$29)/($B$33-$B$29)</f>
        <v>0</v>
      </c>
      <c r="J30" s="245">
        <f t="shared" si="14"/>
        <v>0.27552300703927668</v>
      </c>
      <c r="K30" s="243">
        <f t="shared" si="14"/>
        <v>11.1</v>
      </c>
      <c r="L30" s="246">
        <f t="shared" si="14"/>
        <v>86293632.699756593</v>
      </c>
      <c r="M30" s="246">
        <f t="shared" si="14"/>
        <v>1335788009.2660363</v>
      </c>
      <c r="N30" s="246">
        <f t="shared" si="14"/>
        <v>276174377.7347765</v>
      </c>
      <c r="O30" s="246">
        <f t="shared" si="14"/>
        <v>255926413.53308159</v>
      </c>
      <c r="P30" s="244">
        <f t="shared" si="14"/>
        <v>1.4580475827618322</v>
      </c>
      <c r="Q30" s="244">
        <f t="shared" si="14"/>
        <v>-3.0000000000000006E-2</v>
      </c>
      <c r="R30" s="260">
        <f>$R$18</f>
        <v>1</v>
      </c>
      <c r="T30">
        <f t="shared" ref="T30:T47" si="15">D30*(C31-C29)/2*(D$12-D$13)</f>
        <v>93.880830674399164</v>
      </c>
      <c r="V30" s="103">
        <f t="shared" si="13"/>
        <v>0.22942453980605074</v>
      </c>
    </row>
    <row r="31" spans="2:22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101.65670603406498</v>
      </c>
      <c r="E31" s="243">
        <f t="shared" si="17"/>
        <v>0</v>
      </c>
      <c r="F31" s="243">
        <f t="shared" si="17"/>
        <v>33.30421512841383</v>
      </c>
      <c r="G31" s="252">
        <f t="shared" si="17"/>
        <v>0</v>
      </c>
      <c r="H31" s="244">
        <f t="shared" si="17"/>
        <v>0.22684265486007649</v>
      </c>
      <c r="I31" s="8">
        <f t="shared" si="14"/>
        <v>0</v>
      </c>
      <c r="J31" s="245">
        <f t="shared" si="14"/>
        <v>0.17237089405715517</v>
      </c>
      <c r="K31" s="243">
        <f t="shared" si="14"/>
        <v>11.1</v>
      </c>
      <c r="L31" s="246">
        <f t="shared" si="14"/>
        <v>59549032.219994225</v>
      </c>
      <c r="M31" s="246">
        <f t="shared" si="14"/>
        <v>1402461988.7262819</v>
      </c>
      <c r="N31" s="246">
        <f t="shared" si="14"/>
        <v>248345651.18870816</v>
      </c>
      <c r="O31" s="246">
        <f t="shared" si="14"/>
        <v>194351079.98418844</v>
      </c>
      <c r="P31" s="244">
        <f t="shared" si="14"/>
        <v>1.6386983885078881</v>
      </c>
      <c r="Q31" s="244">
        <f t="shared" si="14"/>
        <v>-8.0000000000000016E-2</v>
      </c>
      <c r="R31" s="260">
        <f t="shared" ref="R31:R38" si="18">$R$20</f>
        <v>2</v>
      </c>
      <c r="T31">
        <f t="shared" si="15"/>
        <v>127.07088254258123</v>
      </c>
      <c r="V31" s="103">
        <f t="shared" si="13"/>
        <v>0.20118076605125379</v>
      </c>
    </row>
    <row r="32" spans="2:22">
      <c r="B32" s="241">
        <v>0.2</v>
      </c>
      <c r="C32" s="242">
        <f t="shared" si="16"/>
        <v>0.15789473684210525</v>
      </c>
      <c r="D32" s="243">
        <f t="shared" si="17"/>
        <v>109.4325813937308</v>
      </c>
      <c r="E32" s="243">
        <f t="shared" si="17"/>
        <v>0</v>
      </c>
      <c r="F32" s="243">
        <f t="shared" si="17"/>
        <v>28.726903291752564</v>
      </c>
      <c r="G32" s="252">
        <f t="shared" si="17"/>
        <v>0</v>
      </c>
      <c r="H32" s="244">
        <f t="shared" si="17"/>
        <v>0.15773539237978068</v>
      </c>
      <c r="I32" s="8">
        <f t="shared" si="14"/>
        <v>0</v>
      </c>
      <c r="J32" s="245">
        <f t="shared" si="14"/>
        <v>6.9218781075033597E-2</v>
      </c>
      <c r="K32" s="243">
        <f t="shared" si="14"/>
        <v>11.1</v>
      </c>
      <c r="L32" s="246">
        <f t="shared" si="14"/>
        <v>32804431.740231842</v>
      </c>
      <c r="M32" s="246">
        <f t="shared" si="14"/>
        <v>1469135968.1865273</v>
      </c>
      <c r="N32" s="246">
        <f t="shared" si="14"/>
        <v>220516924.64263982</v>
      </c>
      <c r="O32" s="246">
        <f t="shared" si="14"/>
        <v>132775746.43529522</v>
      </c>
      <c r="P32" s="244">
        <f t="shared" si="14"/>
        <v>1.8193491942539441</v>
      </c>
      <c r="Q32" s="244">
        <f t="shared" si="14"/>
        <v>-0.13000000000000006</v>
      </c>
      <c r="R32" s="260">
        <f t="shared" si="18"/>
        <v>2</v>
      </c>
      <c r="T32">
        <f t="shared" si="15"/>
        <v>136.79072674216349</v>
      </c>
      <c r="V32" s="103">
        <f t="shared" si="13"/>
        <v>0.17854587760800433</v>
      </c>
    </row>
    <row r="33" spans="2:22">
      <c r="B33" s="241">
        <v>0.25</v>
      </c>
      <c r="C33" s="242">
        <f t="shared" si="16"/>
        <v>0.21052631578947367</v>
      </c>
      <c r="D33" s="243">
        <f>D20</f>
        <v>117.20845675339662</v>
      </c>
      <c r="E33" s="243">
        <f t="shared" ref="E33:Q33" si="19">E20</f>
        <v>0</v>
      </c>
      <c r="F33" s="243">
        <f t="shared" si="19"/>
        <v>24.149591455091301</v>
      </c>
      <c r="G33" s="8">
        <f t="shared" si="19"/>
        <v>0</v>
      </c>
      <c r="H33" s="244">
        <f t="shared" si="19"/>
        <v>8.8628129899484986E-2</v>
      </c>
      <c r="I33" s="8">
        <f t="shared" si="19"/>
        <v>0</v>
      </c>
      <c r="J33" s="245">
        <f t="shared" si="19"/>
        <v>-3.3933331907087916E-2</v>
      </c>
      <c r="K33" s="243">
        <f t="shared" si="19"/>
        <v>11.1</v>
      </c>
      <c r="L33" s="246">
        <f t="shared" si="19"/>
        <v>6059831.2604694702</v>
      </c>
      <c r="M33" s="246">
        <f t="shared" si="19"/>
        <v>1535809947.6467729</v>
      </c>
      <c r="N33" s="246">
        <f t="shared" si="19"/>
        <v>192688198.09657151</v>
      </c>
      <c r="O33" s="246">
        <f t="shared" si="19"/>
        <v>71200412.886402056</v>
      </c>
      <c r="P33" s="244">
        <f t="shared" si="19"/>
        <v>2</v>
      </c>
      <c r="Q33" s="244">
        <f t="shared" si="19"/>
        <v>-0.18000000000000005</v>
      </c>
      <c r="R33" s="260">
        <f t="shared" si="18"/>
        <v>2</v>
      </c>
      <c r="T33">
        <f t="shared" si="15"/>
        <v>146.51057094174578</v>
      </c>
      <c r="V33" s="103">
        <f t="shared" si="13"/>
        <v>0.15999999999999998</v>
      </c>
    </row>
    <row r="34" spans="2:22">
      <c r="B34" s="241">
        <v>0.3</v>
      </c>
      <c r="C34" s="242">
        <f t="shared" si="16"/>
        <v>0.26315789473684209</v>
      </c>
      <c r="D34" s="243">
        <f>D$33+($B34-$B$33)*(D$38-D$33)/($B$38-$B$33)</f>
        <v>110.35787927472171</v>
      </c>
      <c r="E34" s="243">
        <f t="shared" ref="E34:Q37" si="20">E$33+($B34-$B$33)*(E$38-E$33)/($B$38-$B$33)</f>
        <v>0</v>
      </c>
      <c r="F34" s="243">
        <f t="shared" si="20"/>
        <v>21.131145393121663</v>
      </c>
      <c r="G34" s="8">
        <f t="shared" si="20"/>
        <v>0</v>
      </c>
      <c r="H34" s="244">
        <f t="shared" si="20"/>
        <v>9.2266251937987417E-2</v>
      </c>
      <c r="I34" s="8">
        <f t="shared" si="20"/>
        <v>0</v>
      </c>
      <c r="J34" s="245">
        <f t="shared" si="20"/>
        <v>-2.3064223191645555E-2</v>
      </c>
      <c r="K34" s="243">
        <f t="shared" si="20"/>
        <v>9.5</v>
      </c>
      <c r="L34" s="246">
        <f t="shared" si="20"/>
        <v>5425015.4541809028</v>
      </c>
      <c r="M34" s="246">
        <f t="shared" si="20"/>
        <v>1447589040.0417631</v>
      </c>
      <c r="N34" s="246">
        <f t="shared" si="20"/>
        <v>169973932.22807014</v>
      </c>
      <c r="O34" s="246">
        <f t="shared" si="20"/>
        <v>61417696.521534123</v>
      </c>
      <c r="P34" s="244">
        <f t="shared" si="20"/>
        <v>1.9066802133604268</v>
      </c>
      <c r="Q34" s="244">
        <f t="shared" si="20"/>
        <v>-0.16240081280162566</v>
      </c>
      <c r="R34" s="260">
        <f t="shared" si="18"/>
        <v>2</v>
      </c>
      <c r="T34">
        <f t="shared" si="15"/>
        <v>137.94734909340212</v>
      </c>
      <c r="V34" s="103">
        <f t="shared" si="13"/>
        <v>0.16482535368875387</v>
      </c>
    </row>
    <row r="35" spans="2:22">
      <c r="B35" s="241">
        <v>0.35</v>
      </c>
      <c r="C35" s="242">
        <f t="shared" si="16"/>
        <v>0.31578947368421051</v>
      </c>
      <c r="D35" s="243">
        <f>D$33+($B35-$B$33)*(D$38-D$33)/($B$38-$B$33)</f>
        <v>103.50730179604682</v>
      </c>
      <c r="E35" s="243">
        <f t="shared" si="20"/>
        <v>0</v>
      </c>
      <c r="F35" s="243">
        <f t="shared" si="20"/>
        <v>18.112699331152026</v>
      </c>
      <c r="G35" s="8">
        <f t="shared" si="20"/>
        <v>0</v>
      </c>
      <c r="H35" s="244">
        <f t="shared" si="20"/>
        <v>9.5904373976489848E-2</v>
      </c>
      <c r="I35" s="8">
        <f t="shared" si="20"/>
        <v>0</v>
      </c>
      <c r="J35" s="245">
        <f t="shared" si="20"/>
        <v>-1.2195114476203198E-2</v>
      </c>
      <c r="K35" s="243">
        <f t="shared" si="20"/>
        <v>7.9</v>
      </c>
      <c r="L35" s="246">
        <f t="shared" si="20"/>
        <v>4790199.6478923345</v>
      </c>
      <c r="M35" s="246">
        <f t="shared" si="20"/>
        <v>1359368132.4367533</v>
      </c>
      <c r="N35" s="246">
        <f t="shared" si="20"/>
        <v>147259666.3595688</v>
      </c>
      <c r="O35" s="246">
        <f t="shared" si="20"/>
        <v>51634980.156666189</v>
      </c>
      <c r="P35" s="244">
        <f t="shared" si="20"/>
        <v>1.8133604267208534</v>
      </c>
      <c r="Q35" s="244">
        <f t="shared" si="20"/>
        <v>-0.14480162560325124</v>
      </c>
      <c r="R35" s="260">
        <f t="shared" si="18"/>
        <v>2</v>
      </c>
      <c r="T35">
        <f t="shared" si="15"/>
        <v>129.38412724505852</v>
      </c>
      <c r="V35" s="103">
        <f t="shared" si="13"/>
        <v>0.17014735544598833</v>
      </c>
    </row>
    <row r="36" spans="2:22">
      <c r="B36" s="241">
        <v>0.4</v>
      </c>
      <c r="C36" s="242">
        <f t="shared" si="16"/>
        <v>0.36842105263157893</v>
      </c>
      <c r="D36" s="243">
        <f>D$33+($B36-$B$33)*(D$38-D$33)/($B$38-$B$33)</f>
        <v>96.656724317371896</v>
      </c>
      <c r="E36" s="243">
        <f t="shared" si="20"/>
        <v>0</v>
      </c>
      <c r="F36" s="243">
        <f t="shared" si="20"/>
        <v>15.094253269182385</v>
      </c>
      <c r="G36" s="8">
        <f t="shared" si="20"/>
        <v>0</v>
      </c>
      <c r="H36" s="244">
        <f t="shared" si="20"/>
        <v>9.9542496014992279E-2</v>
      </c>
      <c r="I36" s="8">
        <f t="shared" si="20"/>
        <v>0</v>
      </c>
      <c r="J36" s="245">
        <f t="shared" si="20"/>
        <v>-1.3260057607608275E-3</v>
      </c>
      <c r="K36" s="243">
        <f t="shared" si="20"/>
        <v>6.2999999999999989</v>
      </c>
      <c r="L36" s="246">
        <f t="shared" si="20"/>
        <v>4155383.8416037662</v>
      </c>
      <c r="M36" s="246">
        <f t="shared" si="20"/>
        <v>1271147224.8317432</v>
      </c>
      <c r="N36" s="246">
        <f t="shared" si="20"/>
        <v>124545400.49106742</v>
      </c>
      <c r="O36" s="246">
        <f t="shared" si="20"/>
        <v>41852263.791798249</v>
      </c>
      <c r="P36" s="244">
        <f t="shared" si="20"/>
        <v>1.72004064008128</v>
      </c>
      <c r="Q36" s="244">
        <f t="shared" si="20"/>
        <v>-0.12720243840487683</v>
      </c>
      <c r="R36" s="260">
        <f t="shared" si="18"/>
        <v>2</v>
      </c>
      <c r="T36">
        <f t="shared" si="15"/>
        <v>120.82090539671486</v>
      </c>
      <c r="V36" s="103">
        <f t="shared" si="13"/>
        <v>0.17604684131250181</v>
      </c>
    </row>
    <row r="37" spans="2:22">
      <c r="B37" s="241">
        <v>0.45</v>
      </c>
      <c r="C37" s="242">
        <f t="shared" si="16"/>
        <v>0.42105263157894735</v>
      </c>
      <c r="D37" s="243">
        <f>D$33+($B37-$B$33)*(D$38-D$33)/($B$38-$B$33)</f>
        <v>89.806146838697003</v>
      </c>
      <c r="E37" s="243">
        <f t="shared" si="20"/>
        <v>0</v>
      </c>
      <c r="F37" s="243">
        <f t="shared" si="20"/>
        <v>12.075807207212748</v>
      </c>
      <c r="G37" s="8">
        <f t="shared" si="20"/>
        <v>0</v>
      </c>
      <c r="H37" s="244">
        <f t="shared" si="20"/>
        <v>0.10318061805349471</v>
      </c>
      <c r="I37" s="8">
        <f t="shared" si="20"/>
        <v>0</v>
      </c>
      <c r="J37" s="245">
        <f t="shared" si="20"/>
        <v>9.543102954681526E-3</v>
      </c>
      <c r="K37" s="243">
        <f t="shared" si="20"/>
        <v>4.6999999999999993</v>
      </c>
      <c r="L37" s="246">
        <f t="shared" si="20"/>
        <v>3520568.0353151988</v>
      </c>
      <c r="M37" s="246">
        <f t="shared" si="20"/>
        <v>1182926317.2267334</v>
      </c>
      <c r="N37" s="246">
        <f t="shared" si="20"/>
        <v>101831134.62256606</v>
      </c>
      <c r="O37" s="246">
        <f t="shared" si="20"/>
        <v>32069547.426930316</v>
      </c>
      <c r="P37" s="244">
        <f t="shared" si="20"/>
        <v>1.6267208534417068</v>
      </c>
      <c r="Q37" s="244">
        <f t="shared" si="20"/>
        <v>-0.10960325120650241</v>
      </c>
      <c r="R37" s="260">
        <f t="shared" si="18"/>
        <v>2</v>
      </c>
      <c r="T37">
        <f t="shared" si="15"/>
        <v>112.25768354837125</v>
      </c>
      <c r="V37" s="103">
        <f t="shared" si="13"/>
        <v>0.18262319655237025</v>
      </c>
    </row>
    <row r="38" spans="2:22">
      <c r="B38" s="241">
        <v>0.5</v>
      </c>
      <c r="C38" s="242">
        <f t="shared" si="16"/>
        <v>0.47368421052631576</v>
      </c>
      <c r="D38" s="243">
        <f>D21</f>
        <v>82.955569360022096</v>
      </c>
      <c r="E38" s="243">
        <f t="shared" ref="E38:Q38" si="21">E21</f>
        <v>0</v>
      </c>
      <c r="F38" s="243">
        <f t="shared" si="21"/>
        <v>9.0573611452431102</v>
      </c>
      <c r="G38" s="8">
        <f t="shared" si="21"/>
        <v>0</v>
      </c>
      <c r="H38" s="244">
        <f t="shared" si="21"/>
        <v>0.10681874009199714</v>
      </c>
      <c r="I38" s="8">
        <f t="shared" si="21"/>
        <v>0</v>
      </c>
      <c r="J38" s="245">
        <f t="shared" si="21"/>
        <v>2.0412211670123883E-2</v>
      </c>
      <c r="K38" s="243">
        <f t="shared" si="21"/>
        <v>3.1</v>
      </c>
      <c r="L38" s="246">
        <f t="shared" si="21"/>
        <v>2885752.229026631</v>
      </c>
      <c r="M38" s="246">
        <f t="shared" si="21"/>
        <v>1094705409.6217237</v>
      </c>
      <c r="N38" s="246">
        <f t="shared" si="21"/>
        <v>79116868.754064709</v>
      </c>
      <c r="O38" s="246">
        <f t="shared" si="21"/>
        <v>22286831.062062379</v>
      </c>
      <c r="P38" s="244">
        <f t="shared" si="21"/>
        <v>1.5334010668021336</v>
      </c>
      <c r="Q38" s="244">
        <f t="shared" si="21"/>
        <v>-9.2004064008128009E-2</v>
      </c>
      <c r="R38" s="260">
        <f t="shared" si="18"/>
        <v>2</v>
      </c>
      <c r="T38">
        <f t="shared" si="15"/>
        <v>103.69446170002762</v>
      </c>
      <c r="V38" s="103">
        <f t="shared" si="13"/>
        <v>0.19</v>
      </c>
    </row>
    <row r="39" spans="2:22">
      <c r="B39" s="241">
        <v>0.55000000000000004</v>
      </c>
      <c r="C39" s="242">
        <f t="shared" si="16"/>
        <v>0.52631578947368418</v>
      </c>
      <c r="D39" s="243">
        <f>D$38+($B39-$B$38)*(D$43-D$38)/($B$43-$B$38)</f>
        <v>74.190377902510207</v>
      </c>
      <c r="E39" s="243">
        <f t="shared" ref="E39:Q42" si="22">E$38+($B39-$B$38)*(E$43-E$38)/($B$43-$B$38)</f>
        <v>0</v>
      </c>
      <c r="F39" s="243">
        <f t="shared" si="22"/>
        <v>7.6869726668704734</v>
      </c>
      <c r="G39" s="8">
        <f t="shared" si="22"/>
        <v>0</v>
      </c>
      <c r="H39" s="244">
        <f t="shared" si="22"/>
        <v>0.10948946529155948</v>
      </c>
      <c r="I39" s="8">
        <f t="shared" si="22"/>
        <v>0</v>
      </c>
      <c r="J39" s="245">
        <f t="shared" si="22"/>
        <v>2.6240327216389525E-2</v>
      </c>
      <c r="K39" s="243">
        <f t="shared" si="22"/>
        <v>2.5999999999999996</v>
      </c>
      <c r="L39" s="246">
        <f t="shared" si="22"/>
        <v>2423588.3923425623</v>
      </c>
      <c r="M39" s="246">
        <f t="shared" si="22"/>
        <v>975582982.3339535</v>
      </c>
      <c r="N39" s="246">
        <f t="shared" si="22"/>
        <v>67558106.97317256</v>
      </c>
      <c r="O39" s="246">
        <f t="shared" si="22"/>
        <v>18539309.239150856</v>
      </c>
      <c r="P39" s="244">
        <f t="shared" si="22"/>
        <v>1.4401320802641604</v>
      </c>
      <c r="Q39" s="244">
        <f t="shared" si="22"/>
        <v>-8.0005588011176007E-2</v>
      </c>
      <c r="R39" s="260">
        <f t="shared" ref="R39:R45" si="23">$R$22</f>
        <v>3</v>
      </c>
      <c r="T39">
        <f t="shared" si="15"/>
        <v>92.737972378137712</v>
      </c>
      <c r="V39" s="103">
        <f t="shared" si="13"/>
        <v>0.19444565945888745</v>
      </c>
    </row>
    <row r="40" spans="2:22">
      <c r="B40" s="241">
        <v>0.6</v>
      </c>
      <c r="C40" s="242">
        <f t="shared" si="16"/>
        <v>0.57894736842105254</v>
      </c>
      <c r="D40" s="243">
        <f>D$38+($B40-$B$38)*(D$43-D$38)/($B$43-$B$38)</f>
        <v>65.425186444998332</v>
      </c>
      <c r="E40" s="243">
        <f t="shared" si="22"/>
        <v>0</v>
      </c>
      <c r="F40" s="243">
        <f t="shared" si="22"/>
        <v>6.3165841884978402</v>
      </c>
      <c r="G40" s="8">
        <f t="shared" si="22"/>
        <v>0</v>
      </c>
      <c r="H40" s="244">
        <f t="shared" si="22"/>
        <v>0.11216019049112182</v>
      </c>
      <c r="I40" s="8">
        <f t="shared" si="22"/>
        <v>0</v>
      </c>
      <c r="J40" s="245">
        <f t="shared" si="22"/>
        <v>3.206844276265515E-2</v>
      </c>
      <c r="K40" s="243">
        <f t="shared" si="22"/>
        <v>2.1000000000000005</v>
      </c>
      <c r="L40" s="246">
        <f t="shared" si="22"/>
        <v>1961424.5556584948</v>
      </c>
      <c r="M40" s="246">
        <f t="shared" si="22"/>
        <v>856460555.04618359</v>
      </c>
      <c r="N40" s="246">
        <f t="shared" si="22"/>
        <v>55999345.192280442</v>
      </c>
      <c r="O40" s="246">
        <f t="shared" si="22"/>
        <v>14791787.416239344</v>
      </c>
      <c r="P40" s="244">
        <f t="shared" si="22"/>
        <v>1.3468630937261874</v>
      </c>
      <c r="Q40" s="244">
        <f t="shared" si="22"/>
        <v>-6.8007112014224047E-2</v>
      </c>
      <c r="R40" s="260">
        <f t="shared" si="23"/>
        <v>3</v>
      </c>
      <c r="T40">
        <f t="shared" si="15"/>
        <v>81.781483056247907</v>
      </c>
      <c r="V40" s="103">
        <f t="shared" si="13"/>
        <v>0.19950703428506769</v>
      </c>
    </row>
    <row r="41" spans="2:22">
      <c r="B41" s="241">
        <v>0.65</v>
      </c>
      <c r="C41" s="242">
        <f t="shared" si="16"/>
        <v>0.63157894736842102</v>
      </c>
      <c r="D41" s="243">
        <f>D$38+($B41-$B$38)*(D$43-D$38)/($B$43-$B$38)</f>
        <v>56.659994987486449</v>
      </c>
      <c r="E41" s="243">
        <f t="shared" si="22"/>
        <v>0</v>
      </c>
      <c r="F41" s="243">
        <f t="shared" si="22"/>
        <v>4.9461957101252034</v>
      </c>
      <c r="G41" s="8">
        <f t="shared" si="22"/>
        <v>0</v>
      </c>
      <c r="H41" s="244">
        <f t="shared" si="22"/>
        <v>0.11483091569068417</v>
      </c>
      <c r="I41" s="8">
        <f t="shared" si="22"/>
        <v>0</v>
      </c>
      <c r="J41" s="245">
        <f t="shared" si="22"/>
        <v>3.7896558308920796E-2</v>
      </c>
      <c r="K41" s="243">
        <f t="shared" si="22"/>
        <v>1.5999999999999999</v>
      </c>
      <c r="L41" s="246">
        <f t="shared" si="22"/>
        <v>1499260.7189744262</v>
      </c>
      <c r="M41" s="246">
        <f t="shared" si="22"/>
        <v>737338127.75841331</v>
      </c>
      <c r="N41" s="246">
        <f t="shared" si="22"/>
        <v>44440583.411388293</v>
      </c>
      <c r="O41" s="246">
        <f t="shared" si="22"/>
        <v>11044265.59332782</v>
      </c>
      <c r="P41" s="244">
        <f t="shared" si="22"/>
        <v>1.2535941071882144</v>
      </c>
      <c r="Q41" s="244">
        <f t="shared" si="22"/>
        <v>-5.6008636017272045E-2</v>
      </c>
      <c r="R41" s="260">
        <f t="shared" si="23"/>
        <v>3</v>
      </c>
      <c r="T41">
        <f t="shared" si="15"/>
        <v>70.82499373435806</v>
      </c>
      <c r="V41" s="103">
        <f t="shared" si="13"/>
        <v>0.20532155448393241</v>
      </c>
    </row>
    <row r="42" spans="2:22">
      <c r="B42" s="241">
        <v>0.7</v>
      </c>
      <c r="C42" s="242">
        <f t="shared" si="16"/>
        <v>0.68421052631578938</v>
      </c>
      <c r="D42" s="243">
        <f>D$38+($B42-$B$38)*(D$43-D$38)/($B$43-$B$38)</f>
        <v>47.894803529974581</v>
      </c>
      <c r="E42" s="243">
        <f t="shared" si="22"/>
        <v>0</v>
      </c>
      <c r="F42" s="243">
        <f t="shared" si="22"/>
        <v>3.5758072317525702</v>
      </c>
      <c r="G42" s="8">
        <f t="shared" si="22"/>
        <v>0</v>
      </c>
      <c r="H42" s="244">
        <f t="shared" si="22"/>
        <v>0.11750164089024651</v>
      </c>
      <c r="I42" s="8">
        <f t="shared" si="22"/>
        <v>0</v>
      </c>
      <c r="J42" s="245">
        <f t="shared" si="22"/>
        <v>4.3724673855186427E-2</v>
      </c>
      <c r="K42" s="243">
        <f t="shared" si="22"/>
        <v>1.1000000000000005</v>
      </c>
      <c r="L42" s="246">
        <f t="shared" si="22"/>
        <v>1037096.8822903587</v>
      </c>
      <c r="M42" s="246">
        <f t="shared" si="22"/>
        <v>618215700.47064352</v>
      </c>
      <c r="N42" s="246">
        <f t="shared" si="22"/>
        <v>32881821.630496174</v>
      </c>
      <c r="O42" s="246">
        <f t="shared" si="22"/>
        <v>7296743.7704163063</v>
      </c>
      <c r="P42" s="244">
        <f t="shared" si="22"/>
        <v>1.1603251206502414</v>
      </c>
      <c r="Q42" s="244">
        <f t="shared" si="22"/>
        <v>-4.4010160020320072E-2</v>
      </c>
      <c r="R42" s="260">
        <f t="shared" si="23"/>
        <v>3</v>
      </c>
      <c r="T42">
        <f t="shared" si="15"/>
        <v>59.868504412468219</v>
      </c>
      <c r="V42" s="103">
        <f t="shared" si="13"/>
        <v>0.21207083752900485</v>
      </c>
    </row>
    <row r="43" spans="2:22">
      <c r="B43" s="241">
        <v>0.75</v>
      </c>
      <c r="C43" s="242">
        <f t="shared" si="16"/>
        <v>0.73684210526315785</v>
      </c>
      <c r="D43" s="243">
        <f>D22</f>
        <v>39.129612072462692</v>
      </c>
      <c r="E43" s="243">
        <f t="shared" ref="E43:Q43" si="24">E22</f>
        <v>0</v>
      </c>
      <c r="F43" s="243">
        <f t="shared" si="24"/>
        <v>2.2054187533799334</v>
      </c>
      <c r="G43" s="8">
        <f t="shared" si="24"/>
        <v>0</v>
      </c>
      <c r="H43" s="244">
        <f t="shared" si="24"/>
        <v>0.12017236608980884</v>
      </c>
      <c r="I43" s="8">
        <f t="shared" si="24"/>
        <v>0</v>
      </c>
      <c r="J43" s="245">
        <f t="shared" si="24"/>
        <v>4.9552789401452066E-2</v>
      </c>
      <c r="K43" s="243">
        <f t="shared" si="24"/>
        <v>0.6</v>
      </c>
      <c r="L43" s="246">
        <f t="shared" si="24"/>
        <v>574933.04560629011</v>
      </c>
      <c r="M43" s="246">
        <f t="shared" si="24"/>
        <v>499093273.18287331</v>
      </c>
      <c r="N43" s="246">
        <f t="shared" si="24"/>
        <v>21323059.849604025</v>
      </c>
      <c r="O43" s="246">
        <f t="shared" si="24"/>
        <v>3549221.9475047868</v>
      </c>
      <c r="P43" s="244">
        <f t="shared" si="24"/>
        <v>1.0670561341122682</v>
      </c>
      <c r="Q43" s="244">
        <f t="shared" si="24"/>
        <v>-3.2011684023368077E-2</v>
      </c>
      <c r="R43" s="260">
        <f t="shared" si="23"/>
        <v>3</v>
      </c>
      <c r="T43">
        <f t="shared" si="15"/>
        <v>48.912015090578365</v>
      </c>
      <c r="V43" s="103">
        <f t="shared" si="13"/>
        <v>0.21999999999999997</v>
      </c>
    </row>
    <row r="44" spans="2:22">
      <c r="B44" s="241">
        <v>0.8</v>
      </c>
      <c r="C44" s="242">
        <f t="shared" si="16"/>
        <v>0.78947368421052622</v>
      </c>
      <c r="D44" s="243">
        <f>D$43+($B44-$B$43)*(D$48-D$43)/($B$48-$B$43)</f>
        <v>32.853968916831455</v>
      </c>
      <c r="E44" s="243">
        <f t="shared" ref="E44:Q47" si="25">E$43+($B44-$B$43)*(E$48-E$43)/($B$48-$B$43)</f>
        <v>0</v>
      </c>
      <c r="F44" s="243">
        <f t="shared" si="25"/>
        <v>1.81571271869969</v>
      </c>
      <c r="G44" s="8">
        <f t="shared" si="25"/>
        <v>0</v>
      </c>
      <c r="H44" s="244">
        <f t="shared" si="25"/>
        <v>0.12752676764959664</v>
      </c>
      <c r="I44" s="8">
        <f t="shared" si="25"/>
        <v>0</v>
      </c>
      <c r="J44" s="245">
        <f t="shared" si="25"/>
        <v>5.3595718948136514E-2</v>
      </c>
      <c r="K44" s="243">
        <f t="shared" si="25"/>
        <v>0.47999999999999987</v>
      </c>
      <c r="L44" s="246">
        <f t="shared" si="25"/>
        <v>472175.70936429268</v>
      </c>
      <c r="M44" s="246">
        <f t="shared" si="25"/>
        <v>415421497.16283596</v>
      </c>
      <c r="N44" s="246">
        <f t="shared" si="25"/>
        <v>17598898.043764457</v>
      </c>
      <c r="O44" s="246">
        <f t="shared" si="25"/>
        <v>2855339.8778221109</v>
      </c>
      <c r="P44" s="244">
        <f t="shared" si="25"/>
        <v>0.98308356616713222</v>
      </c>
      <c r="Q44" s="244">
        <f t="shared" si="25"/>
        <v>-2.5609347218694456E-2</v>
      </c>
      <c r="R44" s="260">
        <f t="shared" si="23"/>
        <v>3</v>
      </c>
      <c r="T44">
        <f t="shared" si="15"/>
        <v>41.067461146039278</v>
      </c>
      <c r="V44" s="103">
        <f t="shared" si="13"/>
        <v>0.22394997933030175</v>
      </c>
    </row>
    <row r="45" spans="2:22">
      <c r="B45" s="241">
        <v>0.85</v>
      </c>
      <c r="C45" s="242">
        <f t="shared" si="16"/>
        <v>0.84210526315789458</v>
      </c>
      <c r="D45" s="243">
        <f>D$43+($B45-$B$43)*(D$48-D$43)/($B$48-$B$43)</f>
        <v>26.57832576120024</v>
      </c>
      <c r="E45" s="243">
        <f t="shared" si="25"/>
        <v>0</v>
      </c>
      <c r="F45" s="243">
        <f t="shared" si="25"/>
        <v>1.4260066840194474</v>
      </c>
      <c r="G45" s="8">
        <f t="shared" si="25"/>
        <v>0</v>
      </c>
      <c r="H45" s="244">
        <f t="shared" si="25"/>
        <v>0.13488116920938442</v>
      </c>
      <c r="I45" s="8">
        <f t="shared" si="25"/>
        <v>0</v>
      </c>
      <c r="J45" s="245">
        <f t="shared" si="25"/>
        <v>5.7638648494820949E-2</v>
      </c>
      <c r="K45" s="243">
        <f t="shared" si="25"/>
        <v>0.36000000000000004</v>
      </c>
      <c r="L45" s="246">
        <f t="shared" si="25"/>
        <v>369418.37312229548</v>
      </c>
      <c r="M45" s="246">
        <f t="shared" si="25"/>
        <v>331749721.14279878</v>
      </c>
      <c r="N45" s="246">
        <f t="shared" si="25"/>
        <v>13874736.2379249</v>
      </c>
      <c r="O45" s="246">
        <f t="shared" si="25"/>
        <v>2161457.8081394369</v>
      </c>
      <c r="P45" s="244">
        <f t="shared" si="25"/>
        <v>0.89911099822199647</v>
      </c>
      <c r="Q45" s="244">
        <f t="shared" si="25"/>
        <v>-1.9207010414020849E-2</v>
      </c>
      <c r="R45" s="260">
        <f t="shared" si="23"/>
        <v>3</v>
      </c>
      <c r="T45">
        <f t="shared" si="15"/>
        <v>33.222907201500298</v>
      </c>
      <c r="V45" s="103">
        <f t="shared" si="13"/>
        <v>0.22863777614554492</v>
      </c>
    </row>
    <row r="46" spans="2:22">
      <c r="B46" s="241">
        <v>0.9</v>
      </c>
      <c r="C46" s="242">
        <f t="shared" si="16"/>
        <v>0.89473684210526305</v>
      </c>
      <c r="D46" s="243">
        <f>D$43+($B46-$B$43)*(D$48-D$43)/($B$48-$B$43)</f>
        <v>20.302682605569004</v>
      </c>
      <c r="E46" s="243">
        <f t="shared" si="25"/>
        <v>0</v>
      </c>
      <c r="F46" s="243">
        <f t="shared" si="25"/>
        <v>1.036300649339204</v>
      </c>
      <c r="G46" s="8">
        <f t="shared" si="25"/>
        <v>0</v>
      </c>
      <c r="H46" s="244">
        <f t="shared" si="25"/>
        <v>0.1422355707691722</v>
      </c>
      <c r="I46" s="8">
        <f t="shared" si="25"/>
        <v>0</v>
      </c>
      <c r="J46" s="245">
        <f t="shared" si="25"/>
        <v>6.1681578041505397E-2</v>
      </c>
      <c r="K46" s="243">
        <f t="shared" si="25"/>
        <v>0.23999999999999994</v>
      </c>
      <c r="L46" s="246">
        <f t="shared" si="25"/>
        <v>266661.03688029811</v>
      </c>
      <c r="M46" s="246">
        <f t="shared" si="25"/>
        <v>248077945.1227614</v>
      </c>
      <c r="N46" s="246">
        <f t="shared" si="25"/>
        <v>10150574.432085332</v>
      </c>
      <c r="O46" s="246">
        <f t="shared" si="25"/>
        <v>1467575.738456761</v>
      </c>
      <c r="P46" s="244">
        <f t="shared" si="25"/>
        <v>0.8151384302768605</v>
      </c>
      <c r="Q46" s="244">
        <f t="shared" si="25"/>
        <v>-1.2804673609347228E-2</v>
      </c>
      <c r="R46" s="260">
        <f>$R$23</f>
        <v>4</v>
      </c>
      <c r="T46">
        <f t="shared" si="15"/>
        <v>25.378353256961251</v>
      </c>
      <c r="V46" s="103">
        <f t="shared" si="13"/>
        <v>0.23429141218995386</v>
      </c>
    </row>
    <row r="47" spans="2:22">
      <c r="B47" s="241">
        <v>0.95</v>
      </c>
      <c r="C47" s="242">
        <f t="shared" si="16"/>
        <v>0.94736842105263142</v>
      </c>
      <c r="D47" s="243">
        <f>D$43+($B47-$B$43)*(D$48-D$43)/($B$48-$B$43)</f>
        <v>14.027039449937785</v>
      </c>
      <c r="E47" s="243">
        <f t="shared" si="25"/>
        <v>0</v>
      </c>
      <c r="F47" s="243">
        <f t="shared" si="25"/>
        <v>0.6465946146589614</v>
      </c>
      <c r="G47" s="8">
        <f t="shared" si="25"/>
        <v>0</v>
      </c>
      <c r="H47" s="244">
        <f t="shared" si="25"/>
        <v>0.14958997232895999</v>
      </c>
      <c r="I47" s="8">
        <f t="shared" si="25"/>
        <v>0</v>
      </c>
      <c r="J47" s="245">
        <f t="shared" si="25"/>
        <v>6.5724507588189832E-2</v>
      </c>
      <c r="K47" s="243">
        <f t="shared" si="25"/>
        <v>0.12000000000000011</v>
      </c>
      <c r="L47" s="246">
        <f t="shared" si="25"/>
        <v>163903.70063830091</v>
      </c>
      <c r="M47" s="246">
        <f t="shared" si="25"/>
        <v>164406169.10272419</v>
      </c>
      <c r="N47" s="246">
        <f t="shared" si="25"/>
        <v>6426412.6262457725</v>
      </c>
      <c r="O47" s="246">
        <f t="shared" si="25"/>
        <v>773693.66877408698</v>
      </c>
      <c r="P47" s="244">
        <f t="shared" si="25"/>
        <v>0.73116586233172476</v>
      </c>
      <c r="Q47" s="244">
        <f t="shared" si="25"/>
        <v>-6.4023368046736209E-3</v>
      </c>
      <c r="R47" s="260">
        <f>$R$23</f>
        <v>4</v>
      </c>
      <c r="T47">
        <f t="shared" si="15"/>
        <v>17.533799312422229</v>
      </c>
      <c r="V47" s="103">
        <f t="shared" si="13"/>
        <v>0.24124366011255469</v>
      </c>
    </row>
    <row r="48" spans="2:22">
      <c r="B48" s="247">
        <v>1</v>
      </c>
      <c r="C48" s="248">
        <f t="shared" si="16"/>
        <v>0.99999999999999989</v>
      </c>
      <c r="D48" s="249">
        <f>D23</f>
        <v>7.751396294306554</v>
      </c>
      <c r="E48" s="249">
        <f t="shared" ref="E48:Q48" si="26">E23</f>
        <v>0</v>
      </c>
      <c r="F48" s="249">
        <f t="shared" si="26"/>
        <v>0.25688857997871806</v>
      </c>
      <c r="G48" s="225">
        <f t="shared" si="26"/>
        <v>0</v>
      </c>
      <c r="H48" s="228">
        <f t="shared" si="26"/>
        <v>0.15694437388874777</v>
      </c>
      <c r="I48" s="225">
        <f t="shared" si="26"/>
        <v>0</v>
      </c>
      <c r="J48" s="250">
        <f t="shared" si="26"/>
        <v>6.976743713487428E-2</v>
      </c>
      <c r="K48" s="249">
        <f t="shared" si="26"/>
        <v>0</v>
      </c>
      <c r="L48" s="251">
        <f t="shared" si="26"/>
        <v>61146.36439630347</v>
      </c>
      <c r="M48" s="251">
        <f t="shared" si="26"/>
        <v>80734393.082686871</v>
      </c>
      <c r="N48" s="251">
        <f t="shared" si="26"/>
        <v>2702250.8204062055</v>
      </c>
      <c r="O48" s="251">
        <f t="shared" si="26"/>
        <v>79811.599091411103</v>
      </c>
      <c r="P48" s="228">
        <f t="shared" si="26"/>
        <v>0.64719329438658879</v>
      </c>
      <c r="Q48" s="228">
        <f t="shared" si="26"/>
        <v>0</v>
      </c>
      <c r="R48" s="261">
        <f>$R$23</f>
        <v>4</v>
      </c>
      <c r="T48">
        <f>D48*(C48-C47)/2*(D$12-D$13)</f>
        <v>4.8446226839416004</v>
      </c>
      <c r="V48" s="103">
        <f t="shared" si="13"/>
        <v>0.25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2015-12-21T02:07:01Z</dcterms:modified>
</cp:coreProperties>
</file>