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0" windowWidth="7620" windowHeight="7575" activeTab="3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D17" i="13" l="1"/>
  <c r="C17" i="13"/>
  <c r="C16" i="13"/>
  <c r="G15" i="7" l="1"/>
  <c r="C16" i="10" l="1"/>
  <c r="C15" i="13" l="1"/>
  <c r="C13" i="13"/>
  <c r="C12" i="13"/>
  <c r="C11" i="13"/>
  <c r="C10" i="13"/>
  <c r="C9" i="13"/>
  <c r="C8" i="13"/>
  <c r="C6" i="13"/>
  <c r="C5" i="13"/>
  <c r="C4" i="13"/>
  <c r="C14" i="13"/>
  <c r="H14" i="11" l="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20" i="10"/>
  <c r="C18" i="10"/>
  <c r="C17" i="10"/>
  <c r="C15" i="10"/>
  <c r="C14" i="10"/>
  <c r="C19" i="10" s="1"/>
  <c r="C13" i="10"/>
  <c r="C12" i="10"/>
  <c r="C11" i="10"/>
  <c r="C4" i="10" s="1"/>
  <c r="C10" i="10"/>
  <c r="C9" i="10"/>
  <c r="C8" i="10"/>
  <c r="C7" i="10"/>
  <c r="C5" i="10"/>
  <c r="C3" i="10"/>
  <c r="G42" i="12"/>
  <c r="F42" i="12"/>
  <c r="E42" i="12"/>
  <c r="D42" i="12"/>
  <c r="G20" i="12" s="1"/>
  <c r="G41" i="12"/>
  <c r="F41" i="12"/>
  <c r="E41" i="12"/>
  <c r="D41" i="12"/>
  <c r="G16" i="12" s="1"/>
  <c r="G40" i="12"/>
  <c r="F40" i="12"/>
  <c r="E40" i="12"/>
  <c r="D40" i="12"/>
  <c r="G11" i="12" s="1"/>
  <c r="G39" i="12"/>
  <c r="F39" i="12"/>
  <c r="E39" i="12"/>
  <c r="D39" i="12"/>
  <c r="D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15" i="12"/>
  <c r="C41" i="12"/>
  <c r="C40" i="12"/>
  <c r="C39" i="12"/>
  <c r="C38" i="12"/>
  <c r="C37" i="12"/>
  <c r="D16" i="12"/>
  <c r="F13" i="12"/>
  <c r="F9" i="12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E5" i="9"/>
  <c r="D5" i="9"/>
  <c r="C5" i="9"/>
  <c r="C4" i="9"/>
  <c r="C3" i="9"/>
  <c r="B43" i="5"/>
  <c r="C6" i="10" l="1"/>
  <c r="D11" i="12"/>
  <c r="F14" i="12"/>
  <c r="G17" i="12"/>
  <c r="F10" i="12"/>
  <c r="F12" i="12"/>
  <c r="F21" i="12"/>
  <c r="G8" i="12"/>
  <c r="G12" i="12"/>
  <c r="D15" i="12"/>
  <c r="F18" i="12"/>
  <c r="D9" i="12"/>
  <c r="D18" i="12"/>
  <c r="D12" i="12"/>
  <c r="D10" i="12"/>
  <c r="G9" i="12"/>
  <c r="G21" i="12"/>
  <c r="G10" i="12"/>
  <c r="F11" i="12"/>
  <c r="D13" i="12"/>
  <c r="G14" i="12"/>
  <c r="F15" i="12"/>
  <c r="D17" i="12"/>
  <c r="G18" i="12"/>
  <c r="F19" i="12"/>
  <c r="D21" i="12"/>
  <c r="G22" i="12"/>
  <c r="G13" i="12"/>
  <c r="D20" i="12"/>
  <c r="F22" i="12"/>
  <c r="F8" i="12"/>
  <c r="D14" i="12"/>
  <c r="F16" i="12"/>
  <c r="G19" i="12"/>
  <c r="F20" i="12"/>
  <c r="D22" i="12"/>
  <c r="F17" i="12"/>
  <c r="D19" i="12"/>
  <c r="A141" i="5" l="1"/>
  <c r="A140" i="5"/>
  <c r="A139" i="5"/>
  <c r="A138" i="5"/>
  <c r="A137" i="5"/>
  <c r="A136" i="5"/>
  <c r="B31" i="5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F18" i="6" s="1"/>
  <c r="F28" i="6" s="1"/>
  <c r="E10" i="3" s="1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M6" i="6"/>
  <c r="L19" i="6" s="1"/>
  <c r="L29" i="6" s="1"/>
  <c r="N6" i="6"/>
  <c r="E19" i="6" s="1"/>
  <c r="E29" i="6" s="1"/>
  <c r="B7" i="6"/>
  <c r="B20" i="6" s="1"/>
  <c r="C7" i="6"/>
  <c r="P20" i="6" s="1"/>
  <c r="P33" i="6" s="1"/>
  <c r="O15" i="3" s="1"/>
  <c r="D7" i="6"/>
  <c r="E7" i="6"/>
  <c r="F7" i="6"/>
  <c r="G7" i="6"/>
  <c r="H7" i="6"/>
  <c r="I7" i="6"/>
  <c r="D20" i="6" s="1"/>
  <c r="D33" i="6" s="1"/>
  <c r="C15" i="3" s="1"/>
  <c r="J7" i="6"/>
  <c r="O20" i="6" s="1"/>
  <c r="O33" i="6" s="1"/>
  <c r="K7" i="6"/>
  <c r="N20" i="6" s="1"/>
  <c r="N33" i="6" s="1"/>
  <c r="L7" i="6"/>
  <c r="M20" i="6" s="1"/>
  <c r="M33" i="6" s="1"/>
  <c r="L15" i="3" s="1"/>
  <c r="M7" i="6"/>
  <c r="L20" i="6" s="1"/>
  <c r="L33" i="6" s="1"/>
  <c r="K15" i="3" s="1"/>
  <c r="N7" i="6"/>
  <c r="E20" i="6" s="1"/>
  <c r="B8" i="6"/>
  <c r="B21" i="6" s="1"/>
  <c r="C8" i="6"/>
  <c r="D8" i="6"/>
  <c r="E8" i="6"/>
  <c r="F8" i="6"/>
  <c r="G8" i="6"/>
  <c r="H8" i="6"/>
  <c r="I8" i="6"/>
  <c r="D21" i="6" s="1"/>
  <c r="D38" i="6" s="1"/>
  <c r="C20" i="3" s="1"/>
  <c r="J8" i="6"/>
  <c r="O21" i="6" s="1"/>
  <c r="O38" i="6" s="1"/>
  <c r="N20" i="3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D9" i="6"/>
  <c r="E9" i="6"/>
  <c r="F9" i="6"/>
  <c r="G9" i="6"/>
  <c r="H9" i="6"/>
  <c r="I9" i="6"/>
  <c r="D22" i="6" s="1"/>
  <c r="D43" i="6" s="1"/>
  <c r="J9" i="6"/>
  <c r="K9" i="6"/>
  <c r="N22" i="6" s="1"/>
  <c r="N43" i="6" s="1"/>
  <c r="M25" i="3" s="1"/>
  <c r="L9" i="6"/>
  <c r="M22" i="6" s="1"/>
  <c r="M43" i="6" s="1"/>
  <c r="M9" i="6"/>
  <c r="L22" i="6" s="1"/>
  <c r="L43" i="6" s="1"/>
  <c r="N9" i="6"/>
  <c r="E22" i="6" s="1"/>
  <c r="F22" i="6" s="1"/>
  <c r="F43" i="6" s="1"/>
  <c r="E25" i="3" s="1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K30" i="3" s="1"/>
  <c r="N10" i="6"/>
  <c r="D12" i="6"/>
  <c r="D13" i="6"/>
  <c r="B3" i="3" s="1"/>
  <c r="B18" i="6"/>
  <c r="K18" i="6"/>
  <c r="K28" i="6" s="1"/>
  <c r="J10" i="3" s="1"/>
  <c r="R18" i="6"/>
  <c r="R30" i="6" s="1"/>
  <c r="Q12" i="3" s="1"/>
  <c r="K19" i="6"/>
  <c r="K29" i="6" s="1"/>
  <c r="R19" i="6"/>
  <c r="K20" i="6"/>
  <c r="K33" i="6" s="1"/>
  <c r="R20" i="6"/>
  <c r="R35" i="6" s="1"/>
  <c r="Q17" i="3" s="1"/>
  <c r="K21" i="6"/>
  <c r="K38" i="6" s="1"/>
  <c r="J20" i="3" s="1"/>
  <c r="K22" i="6"/>
  <c r="K43" i="6" s="1"/>
  <c r="O22" i="6"/>
  <c r="O43" i="6" s="1"/>
  <c r="N25" i="3" s="1"/>
  <c r="R22" i="6"/>
  <c r="R41" i="6" s="1"/>
  <c r="Q23" i="3" s="1"/>
  <c r="K23" i="6"/>
  <c r="K48" i="6" s="1"/>
  <c r="R23" i="6"/>
  <c r="R47" i="6" s="1"/>
  <c r="Q29" i="3" s="1"/>
  <c r="G28" i="6"/>
  <c r="F10" i="3" s="1"/>
  <c r="I28" i="6"/>
  <c r="H10" i="3" s="1"/>
  <c r="Q28" i="6"/>
  <c r="P10" i="3" s="1"/>
  <c r="G29" i="6"/>
  <c r="I29" i="6"/>
  <c r="Q29" i="6"/>
  <c r="G33" i="6"/>
  <c r="I33" i="6"/>
  <c r="I34" i="6" s="1"/>
  <c r="H16" i="3" s="1"/>
  <c r="G38" i="6"/>
  <c r="F20" i="3" s="1"/>
  <c r="I38" i="6"/>
  <c r="H20" i="3" s="1"/>
  <c r="G43" i="6"/>
  <c r="F25" i="3" s="1"/>
  <c r="I43" i="6"/>
  <c r="H25" i="3" s="1"/>
  <c r="G48" i="6"/>
  <c r="F30" i="3" s="1"/>
  <c r="I48" i="6"/>
  <c r="H30" i="3" s="1"/>
  <c r="C1" i="8"/>
  <c r="C11" i="8" s="1"/>
  <c r="C25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L9" i="8"/>
  <c r="L23" i="8" s="1"/>
  <c r="I10" i="8"/>
  <c r="J10" i="8"/>
  <c r="K10" i="8"/>
  <c r="L10" i="8"/>
  <c r="L24" i="8" s="1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 s="1"/>
  <c r="B18" i="7" s="1"/>
  <c r="B19" i="7" s="1"/>
  <c r="B20" i="7" s="1"/>
  <c r="B21" i="7" s="1"/>
  <c r="B22" i="7" s="1"/>
  <c r="B23" i="7" s="1"/>
  <c r="B24" i="7" s="1"/>
  <c r="B26" i="5"/>
  <c r="B89" i="5"/>
  <c r="B24" i="5" s="1"/>
  <c r="I28" i="8" l="1"/>
  <c r="G47" i="6"/>
  <c r="F29" i="3" s="1"/>
  <c r="I42" i="6"/>
  <c r="H24" i="3" s="1"/>
  <c r="I45" i="6"/>
  <c r="H27" i="3" s="1"/>
  <c r="I41" i="6"/>
  <c r="H23" i="3" s="1"/>
  <c r="I37" i="6"/>
  <c r="H19" i="3" s="1"/>
  <c r="B14" i="5"/>
  <c r="I40" i="6"/>
  <c r="H22" i="3" s="1"/>
  <c r="C18" i="6"/>
  <c r="E24" i="8"/>
  <c r="D24" i="8" s="1"/>
  <c r="E10" i="8" s="1"/>
  <c r="M10" i="8" s="1"/>
  <c r="J21" i="6"/>
  <c r="J38" i="6" s="1"/>
  <c r="I20" i="3" s="1"/>
  <c r="P21" i="6"/>
  <c r="P38" i="6" s="1"/>
  <c r="O20" i="3" s="1"/>
  <c r="J12" i="8"/>
  <c r="J24" i="8"/>
  <c r="R31" i="6"/>
  <c r="Q13" i="3" s="1"/>
  <c r="Q21" i="6"/>
  <c r="Q38" i="6" s="1"/>
  <c r="P20" i="3" s="1"/>
  <c r="I5" i="8"/>
  <c r="M5" i="8" s="1"/>
  <c r="C37" i="6"/>
  <c r="B19" i="3" s="1"/>
  <c r="I23" i="8"/>
  <c r="R33" i="6"/>
  <c r="Q15" i="3" s="1"/>
  <c r="R32" i="6"/>
  <c r="Q14" i="3" s="1"/>
  <c r="I22" i="8"/>
  <c r="M22" i="8" s="1"/>
  <c r="C45" i="6"/>
  <c r="B27" i="3" s="1"/>
  <c r="R42" i="6"/>
  <c r="Q24" i="3" s="1"/>
  <c r="R36" i="6"/>
  <c r="Q18" i="3" s="1"/>
  <c r="F21" i="6"/>
  <c r="F38" i="6" s="1"/>
  <c r="E20" i="3" s="1"/>
  <c r="E38" i="6"/>
  <c r="D20" i="3" s="1"/>
  <c r="H20" i="6"/>
  <c r="H33" i="6" s="1"/>
  <c r="G15" i="3" s="1"/>
  <c r="M31" i="6"/>
  <c r="L13" i="3" s="1"/>
  <c r="C38" i="6"/>
  <c r="B20" i="3" s="1"/>
  <c r="C48" i="6"/>
  <c r="B30" i="3" s="1"/>
  <c r="R43" i="6"/>
  <c r="Q25" i="3" s="1"/>
  <c r="R40" i="6"/>
  <c r="Q22" i="3" s="1"/>
  <c r="K25" i="3"/>
  <c r="L46" i="6"/>
  <c r="K28" i="3" s="1"/>
  <c r="K41" i="6"/>
  <c r="J23" i="3" s="1"/>
  <c r="C31" i="6"/>
  <c r="B13" i="3" s="1"/>
  <c r="H21" i="6"/>
  <c r="H38" i="6" s="1"/>
  <c r="H36" i="6" s="1"/>
  <c r="G18" i="3" s="1"/>
  <c r="Q23" i="6"/>
  <c r="Q48" i="6" s="1"/>
  <c r="P30" i="3" s="1"/>
  <c r="Q20" i="6"/>
  <c r="Q33" i="6" s="1"/>
  <c r="Q32" i="6" s="1"/>
  <c r="P14" i="3" s="1"/>
  <c r="I14" i="8"/>
  <c r="E8" i="5" s="1"/>
  <c r="L32" i="6"/>
  <c r="K14" i="3" s="1"/>
  <c r="E25" i="8"/>
  <c r="D25" i="8" s="1"/>
  <c r="M25" i="8" s="1"/>
  <c r="I8" i="8"/>
  <c r="M8" i="8" s="1"/>
  <c r="E43" i="6"/>
  <c r="C40" i="6"/>
  <c r="B22" i="3" s="1"/>
  <c r="C36" i="6"/>
  <c r="B18" i="3" s="1"/>
  <c r="D32" i="6"/>
  <c r="C14" i="3" s="1"/>
  <c r="C29" i="6"/>
  <c r="B11" i="3" s="1"/>
  <c r="J30" i="3"/>
  <c r="K47" i="6"/>
  <c r="J29" i="3" s="1"/>
  <c r="C25" i="3"/>
  <c r="D45" i="6"/>
  <c r="C27" i="3" s="1"/>
  <c r="D47" i="6"/>
  <c r="D46" i="6"/>
  <c r="C28" i="3" s="1"/>
  <c r="L25" i="3"/>
  <c r="M45" i="6"/>
  <c r="L27" i="3" s="1"/>
  <c r="K20" i="3"/>
  <c r="L42" i="6"/>
  <c r="K24" i="3" s="1"/>
  <c r="F20" i="6"/>
  <c r="F33" i="6" s="1"/>
  <c r="E33" i="6"/>
  <c r="O31" i="6"/>
  <c r="N13" i="3" s="1"/>
  <c r="L20" i="3"/>
  <c r="M40" i="6"/>
  <c r="L22" i="3" s="1"/>
  <c r="M42" i="6"/>
  <c r="L24" i="3" s="1"/>
  <c r="M41" i="6"/>
  <c r="L23" i="3" s="1"/>
  <c r="O11" i="3"/>
  <c r="P32" i="6"/>
  <c r="O14" i="3" s="1"/>
  <c r="P30" i="6"/>
  <c r="O12" i="3" s="1"/>
  <c r="L45" i="6"/>
  <c r="K27" i="3" s="1"/>
  <c r="R44" i="6"/>
  <c r="Q26" i="3" s="1"/>
  <c r="J23" i="6"/>
  <c r="J48" i="6" s="1"/>
  <c r="I30" i="3" s="1"/>
  <c r="I21" i="8"/>
  <c r="O21" i="8" s="1"/>
  <c r="M11" i="8"/>
  <c r="D9" i="8"/>
  <c r="I7" i="8"/>
  <c r="M7" i="8" s="1"/>
  <c r="O47" i="6"/>
  <c r="N29" i="3" s="1"/>
  <c r="C46" i="6"/>
  <c r="B28" i="3" s="1"/>
  <c r="C44" i="6"/>
  <c r="B26" i="3" s="1"/>
  <c r="C42" i="6"/>
  <c r="B24" i="3" s="1"/>
  <c r="R39" i="6"/>
  <c r="Q21" i="3" s="1"/>
  <c r="M35" i="6"/>
  <c r="L17" i="3" s="1"/>
  <c r="K36" i="6"/>
  <c r="J18" i="3" s="1"/>
  <c r="L30" i="6"/>
  <c r="K12" i="3" s="1"/>
  <c r="H18" i="6"/>
  <c r="H28" i="6" s="1"/>
  <c r="G10" i="3" s="1"/>
  <c r="I27" i="8"/>
  <c r="C24" i="8"/>
  <c r="C10" i="8" s="1"/>
  <c r="E12" i="8"/>
  <c r="I9" i="8"/>
  <c r="D42" i="6"/>
  <c r="C24" i="3" s="1"/>
  <c r="E28" i="6"/>
  <c r="D10" i="3" s="1"/>
  <c r="H23" i="6"/>
  <c r="H48" i="6" s="1"/>
  <c r="G30" i="3" s="1"/>
  <c r="C20" i="6"/>
  <c r="M6" i="8"/>
  <c r="N6" i="8" s="1"/>
  <c r="O6" i="8" s="1"/>
  <c r="L47" i="6"/>
  <c r="K29" i="3" s="1"/>
  <c r="C47" i="6"/>
  <c r="B29" i="3" s="1"/>
  <c r="R45" i="6"/>
  <c r="Q27" i="3" s="1"/>
  <c r="C43" i="6"/>
  <c r="B25" i="3" s="1"/>
  <c r="C41" i="6"/>
  <c r="B23" i="3" s="1"/>
  <c r="C39" i="6"/>
  <c r="B21" i="3" s="1"/>
  <c r="M37" i="6"/>
  <c r="L19" i="3" s="1"/>
  <c r="C35" i="6"/>
  <c r="B17" i="3" s="1"/>
  <c r="I31" i="6"/>
  <c r="H13" i="3" s="1"/>
  <c r="C33" i="6"/>
  <c r="B15" i="3" s="1"/>
  <c r="D30" i="6"/>
  <c r="C12" i="3" s="1"/>
  <c r="C23" i="6"/>
  <c r="J20" i="6"/>
  <c r="J33" i="6" s="1"/>
  <c r="J36" i="6" s="1"/>
  <c r="I18" i="3" s="1"/>
  <c r="R48" i="6"/>
  <c r="Q30" i="3" s="1"/>
  <c r="R46" i="6"/>
  <c r="Q28" i="3" s="1"/>
  <c r="R37" i="6"/>
  <c r="Q19" i="3" s="1"/>
  <c r="R34" i="6"/>
  <c r="Q16" i="3" s="1"/>
  <c r="R38" i="6"/>
  <c r="Q20" i="3" s="1"/>
  <c r="C22" i="7"/>
  <c r="B15" i="4" s="1"/>
  <c r="C18" i="7"/>
  <c r="B11" i="4" s="1"/>
  <c r="N26" i="8"/>
  <c r="M26" i="8"/>
  <c r="O26" i="8"/>
  <c r="C15" i="7"/>
  <c r="C17" i="7"/>
  <c r="E17" i="7" s="1"/>
  <c r="C19" i="7"/>
  <c r="D19" i="7" s="1"/>
  <c r="C21" i="7"/>
  <c r="E21" i="7" s="1"/>
  <c r="C23" i="7"/>
  <c r="N7" i="8"/>
  <c r="O25" i="3"/>
  <c r="P44" i="6"/>
  <c r="O26" i="3" s="1"/>
  <c r="P45" i="6"/>
  <c r="O27" i="3" s="1"/>
  <c r="P46" i="6"/>
  <c r="O28" i="3" s="1"/>
  <c r="P47" i="6"/>
  <c r="O29" i="3" s="1"/>
  <c r="M20" i="3"/>
  <c r="N42" i="6"/>
  <c r="M24" i="3" s="1"/>
  <c r="N39" i="6"/>
  <c r="M21" i="3" s="1"/>
  <c r="N40" i="6"/>
  <c r="M22" i="3" s="1"/>
  <c r="N41" i="6"/>
  <c r="M23" i="3" s="1"/>
  <c r="B29" i="5"/>
  <c r="B30" i="5" s="1"/>
  <c r="K12" i="8"/>
  <c r="K24" i="8"/>
  <c r="C24" i="7"/>
  <c r="B17" i="4" s="1"/>
  <c r="C20" i="7"/>
  <c r="B13" i="4" s="1"/>
  <c r="C16" i="7"/>
  <c r="B9" i="4" s="1"/>
  <c r="L12" i="8"/>
  <c r="B88" i="5"/>
  <c r="K23" i="8"/>
  <c r="M15" i="3"/>
  <c r="N35" i="6"/>
  <c r="M17" i="3" s="1"/>
  <c r="N32" i="6"/>
  <c r="M14" i="3" s="1"/>
  <c r="N30" i="6"/>
  <c r="M12" i="3" s="1"/>
  <c r="N34" i="6"/>
  <c r="M16" i="3" s="1"/>
  <c r="N36" i="6"/>
  <c r="M18" i="3" s="1"/>
  <c r="N37" i="6"/>
  <c r="M19" i="3" s="1"/>
  <c r="M46" i="6"/>
  <c r="L28" i="3" s="1"/>
  <c r="I46" i="6"/>
  <c r="H28" i="3" s="1"/>
  <c r="N45" i="6"/>
  <c r="M27" i="3" s="1"/>
  <c r="O44" i="6"/>
  <c r="N26" i="3" s="1"/>
  <c r="K44" i="6"/>
  <c r="J26" i="3" s="1"/>
  <c r="G44" i="6"/>
  <c r="F26" i="3" s="1"/>
  <c r="O40" i="6"/>
  <c r="N22" i="3" s="1"/>
  <c r="K40" i="6"/>
  <c r="J22" i="3" s="1"/>
  <c r="G40" i="6"/>
  <c r="F22" i="3" s="1"/>
  <c r="L39" i="6"/>
  <c r="K21" i="3" s="1"/>
  <c r="D39" i="6"/>
  <c r="O36" i="6"/>
  <c r="N18" i="3" s="1"/>
  <c r="G36" i="6"/>
  <c r="F18" i="3" s="1"/>
  <c r="O35" i="6"/>
  <c r="N17" i="3" s="1"/>
  <c r="I35" i="6"/>
  <c r="H17" i="3" s="1"/>
  <c r="D35" i="6"/>
  <c r="F15" i="3"/>
  <c r="G34" i="6"/>
  <c r="F16" i="3" s="1"/>
  <c r="G31" i="6"/>
  <c r="F13" i="3" s="1"/>
  <c r="P11" i="3"/>
  <c r="M32" i="6"/>
  <c r="L14" i="3" s="1"/>
  <c r="M30" i="6"/>
  <c r="L12" i="3" s="1"/>
  <c r="R28" i="6"/>
  <c r="Q10" i="3" s="1"/>
  <c r="R29" i="6"/>
  <c r="Q11" i="3" s="1"/>
  <c r="K11" i="3"/>
  <c r="L31" i="6"/>
  <c r="K13" i="3" s="1"/>
  <c r="N44" i="6"/>
  <c r="M26" i="3" s="1"/>
  <c r="O39" i="6"/>
  <c r="N21" i="3" s="1"/>
  <c r="K39" i="6"/>
  <c r="J21" i="3" s="1"/>
  <c r="G39" i="6"/>
  <c r="F21" i="3" s="1"/>
  <c r="D34" i="6"/>
  <c r="J15" i="3"/>
  <c r="K34" i="6"/>
  <c r="J16" i="3" s="1"/>
  <c r="J11" i="3"/>
  <c r="K30" i="6"/>
  <c r="J12" i="3" s="1"/>
  <c r="K32" i="6"/>
  <c r="J14" i="3" s="1"/>
  <c r="C10" i="3"/>
  <c r="J25" i="3"/>
  <c r="J14" i="8"/>
  <c r="N47" i="6"/>
  <c r="M29" i="3" s="1"/>
  <c r="O46" i="6"/>
  <c r="N28" i="3" s="1"/>
  <c r="K46" i="6"/>
  <c r="J28" i="3" s="1"/>
  <c r="G46" i="6"/>
  <c r="F28" i="3" s="1"/>
  <c r="M44" i="6"/>
  <c r="L26" i="3" s="1"/>
  <c r="I44" i="6"/>
  <c r="H26" i="3" s="1"/>
  <c r="O42" i="6"/>
  <c r="N24" i="3" s="1"/>
  <c r="K42" i="6"/>
  <c r="J24" i="3" s="1"/>
  <c r="G42" i="6"/>
  <c r="F24" i="3" s="1"/>
  <c r="L41" i="6"/>
  <c r="K23" i="3" s="1"/>
  <c r="D41" i="6"/>
  <c r="L37" i="6"/>
  <c r="K19" i="3" s="1"/>
  <c r="D37" i="6"/>
  <c r="Q36" i="6"/>
  <c r="P18" i="3" s="1"/>
  <c r="M36" i="6"/>
  <c r="L18" i="3" s="1"/>
  <c r="I36" i="6"/>
  <c r="H18" i="3" s="1"/>
  <c r="D36" i="6"/>
  <c r="Q35" i="6"/>
  <c r="P17" i="3" s="1"/>
  <c r="L35" i="6"/>
  <c r="K17" i="3" s="1"/>
  <c r="G35" i="6"/>
  <c r="F17" i="3" s="1"/>
  <c r="M34" i="6"/>
  <c r="L16" i="3" s="1"/>
  <c r="H34" i="6"/>
  <c r="G16" i="3" s="1"/>
  <c r="N15" i="3"/>
  <c r="O34" i="6"/>
  <c r="N16" i="3" s="1"/>
  <c r="K31" i="6"/>
  <c r="J13" i="3" s="1"/>
  <c r="N11" i="3"/>
  <c r="O30" i="6"/>
  <c r="N12" i="3" s="1"/>
  <c r="O32" i="6"/>
  <c r="N14" i="3" s="1"/>
  <c r="I32" i="6"/>
  <c r="H14" i="3" s="1"/>
  <c r="D11" i="3"/>
  <c r="H15" i="3"/>
  <c r="L11" i="3"/>
  <c r="M47" i="6"/>
  <c r="L29" i="3" s="1"/>
  <c r="I47" i="6"/>
  <c r="H29" i="3" s="1"/>
  <c r="N46" i="6"/>
  <c r="M28" i="3" s="1"/>
  <c r="O45" i="6"/>
  <c r="N27" i="3" s="1"/>
  <c r="K45" i="6"/>
  <c r="J27" i="3" s="1"/>
  <c r="G45" i="6"/>
  <c r="F27" i="3" s="1"/>
  <c r="L44" i="6"/>
  <c r="K26" i="3" s="1"/>
  <c r="D44" i="6"/>
  <c r="O41" i="6"/>
  <c r="N23" i="3" s="1"/>
  <c r="G41" i="6"/>
  <c r="F23" i="3" s="1"/>
  <c r="L40" i="6"/>
  <c r="K22" i="3" s="1"/>
  <c r="D40" i="6"/>
  <c r="M39" i="6"/>
  <c r="L21" i="3" s="1"/>
  <c r="I39" i="6"/>
  <c r="H21" i="3" s="1"/>
  <c r="O37" i="6"/>
  <c r="N19" i="3" s="1"/>
  <c r="K37" i="6"/>
  <c r="J19" i="3" s="1"/>
  <c r="G37" i="6"/>
  <c r="F19" i="3" s="1"/>
  <c r="L36" i="6"/>
  <c r="K18" i="3" s="1"/>
  <c r="K35" i="6"/>
  <c r="J17" i="3" s="1"/>
  <c r="L34" i="6"/>
  <c r="K16" i="3" s="1"/>
  <c r="F11" i="3"/>
  <c r="G30" i="6"/>
  <c r="F12" i="3" s="1"/>
  <c r="G32" i="6"/>
  <c r="F14" i="3" s="1"/>
  <c r="E23" i="6"/>
  <c r="E48" i="6" s="1"/>
  <c r="C22" i="6"/>
  <c r="C30" i="6"/>
  <c r="C34" i="6"/>
  <c r="C19" i="6"/>
  <c r="C28" i="6"/>
  <c r="B10" i="3" s="1"/>
  <c r="C21" i="6"/>
  <c r="C32" i="6"/>
  <c r="B14" i="3" s="1"/>
  <c r="H22" i="6"/>
  <c r="H43" i="6" s="1"/>
  <c r="Q22" i="6"/>
  <c r="Q43" i="6" s="1"/>
  <c r="Q39" i="6" s="1"/>
  <c r="P21" i="3" s="1"/>
  <c r="J22" i="6"/>
  <c r="J43" i="6" s="1"/>
  <c r="F19" i="6"/>
  <c r="F29" i="6" s="1"/>
  <c r="H19" i="6"/>
  <c r="H29" i="6" s="1"/>
  <c r="J19" i="6"/>
  <c r="J29" i="6" s="1"/>
  <c r="D31" i="6"/>
  <c r="P31" i="6"/>
  <c r="O13" i="3" s="1"/>
  <c r="J18" i="6"/>
  <c r="J28" i="6" s="1"/>
  <c r="I10" i="3" s="1"/>
  <c r="P18" i="6"/>
  <c r="P28" i="6" s="1"/>
  <c r="O10" i="3" s="1"/>
  <c r="I30" i="6"/>
  <c r="H12" i="3" s="1"/>
  <c r="H11" i="3"/>
  <c r="N31" i="6"/>
  <c r="M13" i="3" s="1"/>
  <c r="B2" i="3"/>
  <c r="N10" i="8" l="1"/>
  <c r="M24" i="8"/>
  <c r="P41" i="6"/>
  <c r="O23" i="3" s="1"/>
  <c r="N24" i="8"/>
  <c r="P36" i="6"/>
  <c r="O18" i="3" s="1"/>
  <c r="P40" i="6"/>
  <c r="O22" i="3" s="1"/>
  <c r="J34" i="6"/>
  <c r="I16" i="3" s="1"/>
  <c r="P34" i="6"/>
  <c r="O16" i="3" s="1"/>
  <c r="P39" i="6"/>
  <c r="O21" i="3" s="1"/>
  <c r="F41" i="6"/>
  <c r="E23" i="3" s="1"/>
  <c r="J35" i="6"/>
  <c r="I17" i="3" s="1"/>
  <c r="E34" i="6"/>
  <c r="D16" i="3" s="1"/>
  <c r="E39" i="6"/>
  <c r="D21" i="3" s="1"/>
  <c r="O5" i="8"/>
  <c r="P37" i="6"/>
  <c r="O19" i="3" s="1"/>
  <c r="P35" i="6"/>
  <c r="O17" i="3" s="1"/>
  <c r="H37" i="6"/>
  <c r="G19" i="3" s="1"/>
  <c r="G20" i="3"/>
  <c r="O10" i="8"/>
  <c r="P42" i="6"/>
  <c r="O24" i="3" s="1"/>
  <c r="E41" i="6"/>
  <c r="D23" i="3" s="1"/>
  <c r="K14" i="8"/>
  <c r="C8" i="5" s="1"/>
  <c r="T30" i="6"/>
  <c r="L14" i="8"/>
  <c r="Q5" i="8" s="1"/>
  <c r="O22" i="8"/>
  <c r="N22" i="8"/>
  <c r="E30" i="6"/>
  <c r="D12" i="3" s="1"/>
  <c r="F40" i="6"/>
  <c r="E22" i="3" s="1"/>
  <c r="F35" i="6"/>
  <c r="E17" i="3" s="1"/>
  <c r="E35" i="6"/>
  <c r="D17" i="3" s="1"/>
  <c r="F42" i="6"/>
  <c r="E24" i="3" s="1"/>
  <c r="D15" i="3"/>
  <c r="F39" i="6"/>
  <c r="E21" i="3" s="1"/>
  <c r="N5" i="8"/>
  <c r="N25" i="8"/>
  <c r="M21" i="8"/>
  <c r="E32" i="6"/>
  <c r="D14" i="3" s="1"/>
  <c r="R5" i="8"/>
  <c r="D16" i="7"/>
  <c r="N21" i="8"/>
  <c r="Q34" i="6"/>
  <c r="P16" i="3" s="1"/>
  <c r="Q30" i="6"/>
  <c r="P12" i="3" s="1"/>
  <c r="L30" i="8"/>
  <c r="R27" i="3"/>
  <c r="Q37" i="6"/>
  <c r="P19" i="3" s="1"/>
  <c r="D24" i="7"/>
  <c r="E20" i="7"/>
  <c r="H40" i="6"/>
  <c r="G22" i="3" s="1"/>
  <c r="Q31" i="6"/>
  <c r="P13" i="3" s="1"/>
  <c r="E36" i="6"/>
  <c r="D18" i="3" s="1"/>
  <c r="D20" i="7"/>
  <c r="F20" i="7" s="1"/>
  <c r="I20" i="7" s="1"/>
  <c r="L15" i="8"/>
  <c r="D7" i="5" s="1"/>
  <c r="J30" i="8"/>
  <c r="B5" i="5" s="1"/>
  <c r="R25" i="3"/>
  <c r="E37" i="6"/>
  <c r="D19" i="3" s="1"/>
  <c r="H35" i="6"/>
  <c r="G17" i="3" s="1"/>
  <c r="J37" i="6"/>
  <c r="I19" i="3" s="1"/>
  <c r="I15" i="3"/>
  <c r="K15" i="8"/>
  <c r="C7" i="5" s="1"/>
  <c r="I15" i="8"/>
  <c r="E7" i="5" s="1"/>
  <c r="I30" i="8"/>
  <c r="E5" i="5" s="1"/>
  <c r="E31" i="6"/>
  <c r="D13" i="3" s="1"/>
  <c r="P15" i="3"/>
  <c r="O24" i="8"/>
  <c r="D22" i="7"/>
  <c r="E22" i="7"/>
  <c r="O7" i="8"/>
  <c r="O25" i="8"/>
  <c r="R30" i="3"/>
  <c r="D25" i="3"/>
  <c r="E40" i="6"/>
  <c r="D22" i="3" s="1"/>
  <c r="E42" i="6"/>
  <c r="D24" i="3" s="1"/>
  <c r="R10" i="3"/>
  <c r="R24" i="3"/>
  <c r="R28" i="3"/>
  <c r="Q6" i="8"/>
  <c r="T42" i="6"/>
  <c r="F37" i="6"/>
  <c r="E19" i="3" s="1"/>
  <c r="F36" i="6"/>
  <c r="E18" i="3" s="1"/>
  <c r="T43" i="6"/>
  <c r="F34" i="6"/>
  <c r="E16" i="3" s="1"/>
  <c r="T38" i="6"/>
  <c r="E15" i="3"/>
  <c r="T48" i="6"/>
  <c r="D18" i="7"/>
  <c r="J15" i="8"/>
  <c r="T32" i="6"/>
  <c r="M9" i="8"/>
  <c r="E23" i="8"/>
  <c r="M23" i="8" s="1"/>
  <c r="O23" i="8" s="1"/>
  <c r="O8" i="8"/>
  <c r="N8" i="8"/>
  <c r="R20" i="3"/>
  <c r="C29" i="3"/>
  <c r="R29" i="3" s="1"/>
  <c r="T47" i="6"/>
  <c r="F23" i="6"/>
  <c r="F48" i="6" s="1"/>
  <c r="F46" i="6" s="1"/>
  <c r="E28" i="3" s="1"/>
  <c r="T45" i="6"/>
  <c r="T46" i="6"/>
  <c r="N11" i="8"/>
  <c r="O11" i="8" s="1"/>
  <c r="E18" i="7"/>
  <c r="B12" i="3"/>
  <c r="R11" i="3" s="1"/>
  <c r="T29" i="6"/>
  <c r="T34" i="6"/>
  <c r="C16" i="3"/>
  <c r="R16" i="3" s="1"/>
  <c r="C17" i="3"/>
  <c r="T35" i="6"/>
  <c r="Q28" i="8"/>
  <c r="B16" i="4"/>
  <c r="E23" i="7"/>
  <c r="B8" i="4"/>
  <c r="E15" i="7"/>
  <c r="G11" i="3"/>
  <c r="H31" i="6"/>
  <c r="G13" i="3" s="1"/>
  <c r="H32" i="6"/>
  <c r="G14" i="3" s="1"/>
  <c r="H30" i="6"/>
  <c r="G12" i="3" s="1"/>
  <c r="P25" i="3"/>
  <c r="Q47" i="6"/>
  <c r="P29" i="3" s="1"/>
  <c r="Q40" i="6"/>
  <c r="P22" i="3" s="1"/>
  <c r="Q44" i="6"/>
  <c r="P26" i="3" s="1"/>
  <c r="Q41" i="6"/>
  <c r="P23" i="3" s="1"/>
  <c r="Q45" i="6"/>
  <c r="P27" i="3" s="1"/>
  <c r="Q42" i="6"/>
  <c r="P24" i="3" s="1"/>
  <c r="Q46" i="6"/>
  <c r="P28" i="3" s="1"/>
  <c r="C23" i="3"/>
  <c r="R23" i="3" s="1"/>
  <c r="T41" i="6"/>
  <c r="B8" i="5"/>
  <c r="B53" i="5" s="1"/>
  <c r="C21" i="3"/>
  <c r="R21" i="3" s="1"/>
  <c r="T39" i="6"/>
  <c r="K30" i="8"/>
  <c r="D21" i="7"/>
  <c r="F21" i="7" s="1"/>
  <c r="B14" i="4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C26" i="3"/>
  <c r="R26" i="3" s="1"/>
  <c r="T44" i="6"/>
  <c r="H41" i="6"/>
  <c r="G23" i="3" s="1"/>
  <c r="H39" i="6"/>
  <c r="G21" i="3" s="1"/>
  <c r="C2" i="8"/>
  <c r="I12" i="8" s="1"/>
  <c r="M12" i="8"/>
  <c r="N23" i="8"/>
  <c r="E19" i="7"/>
  <c r="F19" i="7" s="1"/>
  <c r="B12" i="4"/>
  <c r="C13" i="3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R12" i="3"/>
  <c r="C18" i="3"/>
  <c r="R18" i="3" s="1"/>
  <c r="T36" i="6"/>
  <c r="C19" i="3"/>
  <c r="R19" i="3" s="1"/>
  <c r="T37" i="6"/>
  <c r="T28" i="6"/>
  <c r="R14" i="3"/>
  <c r="R27" i="8"/>
  <c r="E24" i="7"/>
  <c r="E16" i="7"/>
  <c r="D23" i="7"/>
  <c r="D17" i="7"/>
  <c r="F17" i="7" s="1"/>
  <c r="B10" i="4"/>
  <c r="D15" i="7"/>
  <c r="R25" i="8" l="1"/>
  <c r="Q26" i="8"/>
  <c r="R6" i="8"/>
  <c r="O14" i="8" s="1"/>
  <c r="H8" i="5" s="1"/>
  <c r="F24" i="7"/>
  <c r="I24" i="7" s="1"/>
  <c r="N14" i="8"/>
  <c r="G8" i="5" s="1"/>
  <c r="Q22" i="8"/>
  <c r="P6" i="8"/>
  <c r="D8" i="5"/>
  <c r="Q24" i="8"/>
  <c r="R13" i="3"/>
  <c r="P5" i="8"/>
  <c r="M14" i="8" s="1"/>
  <c r="F8" i="5" s="1"/>
  <c r="G20" i="7"/>
  <c r="O20" i="7" s="1"/>
  <c r="Q23" i="8"/>
  <c r="P8" i="8"/>
  <c r="F23" i="7"/>
  <c r="G23" i="7" s="1"/>
  <c r="H20" i="7"/>
  <c r="I13" i="4" s="1"/>
  <c r="Q21" i="8"/>
  <c r="D5" i="5"/>
  <c r="Q25" i="8"/>
  <c r="R10" i="8"/>
  <c r="F16" i="7"/>
  <c r="G16" i="7" s="1"/>
  <c r="R9" i="8"/>
  <c r="Q10" i="8"/>
  <c r="Q9" i="8"/>
  <c r="Q27" i="8"/>
  <c r="P24" i="8"/>
  <c r="E30" i="3"/>
  <c r="B7" i="5"/>
  <c r="R28" i="8"/>
  <c r="P7" i="8"/>
  <c r="F22" i="7"/>
  <c r="R26" i="8"/>
  <c r="F47" i="6"/>
  <c r="E29" i="3" s="1"/>
  <c r="P10" i="8"/>
  <c r="P9" i="8"/>
  <c r="F15" i="7"/>
  <c r="H15" i="7" s="1"/>
  <c r="I8" i="4" s="1"/>
  <c r="F45" i="6"/>
  <c r="E27" i="3" s="1"/>
  <c r="R23" i="8"/>
  <c r="R17" i="3"/>
  <c r="R8" i="8"/>
  <c r="Q7" i="8"/>
  <c r="T50" i="6"/>
  <c r="F18" i="7"/>
  <c r="F44" i="6"/>
  <c r="E26" i="3" s="1"/>
  <c r="Q8" i="8"/>
  <c r="R7" i="8"/>
  <c r="N9" i="8"/>
  <c r="O9" i="8"/>
  <c r="H16" i="7"/>
  <c r="I9" i="4" s="1"/>
  <c r="O12" i="8"/>
  <c r="K16" i="8"/>
  <c r="N12" i="8"/>
  <c r="J16" i="8"/>
  <c r="L16" i="8"/>
  <c r="I16" i="8"/>
  <c r="P22" i="8"/>
  <c r="C5" i="5"/>
  <c r="P25" i="8"/>
  <c r="P28" i="8"/>
  <c r="P21" i="8"/>
  <c r="P27" i="8"/>
  <c r="R24" i="8"/>
  <c r="P26" i="8"/>
  <c r="R22" i="8"/>
  <c r="G19" i="7"/>
  <c r="H19" i="7"/>
  <c r="I12" i="4" s="1"/>
  <c r="I19" i="7"/>
  <c r="L20" i="7"/>
  <c r="N20" i="7" s="1"/>
  <c r="J20" i="7"/>
  <c r="K20" i="7"/>
  <c r="H13" i="4" s="1"/>
  <c r="G17" i="7"/>
  <c r="I17" i="7"/>
  <c r="H17" i="7"/>
  <c r="I10" i="4" s="1"/>
  <c r="G21" i="7"/>
  <c r="I21" i="7"/>
  <c r="H21" i="7"/>
  <c r="I14" i="4" s="1"/>
  <c r="R21" i="8"/>
  <c r="P23" i="8"/>
  <c r="G24" i="7" l="1"/>
  <c r="H24" i="7"/>
  <c r="I17" i="4" s="1"/>
  <c r="I23" i="7"/>
  <c r="J23" i="7" s="1"/>
  <c r="R32" i="3"/>
  <c r="B109" i="5" s="1"/>
  <c r="C13" i="4"/>
  <c r="I16" i="7"/>
  <c r="K16" i="7" s="1"/>
  <c r="H9" i="4" s="1"/>
  <c r="Q12" i="8"/>
  <c r="N30" i="8"/>
  <c r="G5" i="5" s="1"/>
  <c r="H23" i="7"/>
  <c r="I16" i="4" s="1"/>
  <c r="M15" i="8"/>
  <c r="F7" i="5" s="1"/>
  <c r="I15" i="7"/>
  <c r="L15" i="7" s="1"/>
  <c r="N15" i="7" s="1"/>
  <c r="O15" i="7"/>
  <c r="O15" i="8"/>
  <c r="H7" i="5" s="1"/>
  <c r="H22" i="7"/>
  <c r="I15" i="4" s="1"/>
  <c r="G22" i="7"/>
  <c r="I22" i="7"/>
  <c r="O30" i="8"/>
  <c r="H5" i="5" s="1"/>
  <c r="P12" i="8"/>
  <c r="I18" i="7"/>
  <c r="H18" i="7"/>
  <c r="I11" i="4" s="1"/>
  <c r="G18" i="7"/>
  <c r="N15" i="8"/>
  <c r="G7" i="5" s="1"/>
  <c r="M20" i="7"/>
  <c r="E13" i="4" s="1"/>
  <c r="D13" i="4"/>
  <c r="D6" i="5"/>
  <c r="Q11" i="8"/>
  <c r="O23" i="7"/>
  <c r="C16" i="4"/>
  <c r="J16" i="7"/>
  <c r="K17" i="7"/>
  <c r="H10" i="4" s="1"/>
  <c r="J17" i="7"/>
  <c r="L17" i="7"/>
  <c r="N17" i="7" s="1"/>
  <c r="O19" i="7"/>
  <c r="C12" i="4"/>
  <c r="O21" i="7"/>
  <c r="C14" i="4"/>
  <c r="M30" i="8"/>
  <c r="F5" i="5" s="1"/>
  <c r="C6" i="5"/>
  <c r="P11" i="8"/>
  <c r="K23" i="7"/>
  <c r="H16" i="4" s="1"/>
  <c r="C9" i="4"/>
  <c r="O16" i="7"/>
  <c r="K21" i="7"/>
  <c r="H14" i="4" s="1"/>
  <c r="J21" i="7"/>
  <c r="L21" i="7"/>
  <c r="N21" i="7" s="1"/>
  <c r="J13" i="4"/>
  <c r="K13" i="4"/>
  <c r="O24" i="7"/>
  <c r="C17" i="4"/>
  <c r="O17" i="7"/>
  <c r="C10" i="4"/>
  <c r="B6" i="5"/>
  <c r="R11" i="8"/>
  <c r="K19" i="7"/>
  <c r="H12" i="4" s="1"/>
  <c r="J19" i="7"/>
  <c r="L19" i="7"/>
  <c r="N19" i="7" s="1"/>
  <c r="E6" i="5"/>
  <c r="K17" i="8"/>
  <c r="L17" i="8"/>
  <c r="I17" i="8"/>
  <c r="J17" i="8"/>
  <c r="R12" i="8"/>
  <c r="L24" i="7"/>
  <c r="N24" i="7" s="1"/>
  <c r="J24" i="7"/>
  <c r="K24" i="7"/>
  <c r="H17" i="4" s="1"/>
  <c r="J15" i="7" l="1"/>
  <c r="L23" i="7"/>
  <c r="N23" i="7" s="1"/>
  <c r="K15" i="7"/>
  <c r="H8" i="4" s="1"/>
  <c r="N16" i="8"/>
  <c r="G6" i="5" s="1"/>
  <c r="L16" i="7"/>
  <c r="N16" i="7" s="1"/>
  <c r="K9" i="4" s="1"/>
  <c r="B110" i="5"/>
  <c r="B111" i="5" s="1"/>
  <c r="M16" i="8"/>
  <c r="F6" i="5" s="1"/>
  <c r="C8" i="4"/>
  <c r="C15" i="4"/>
  <c r="O22" i="7"/>
  <c r="K22" i="7"/>
  <c r="H15" i="4" s="1"/>
  <c r="L22" i="7"/>
  <c r="N22" i="7" s="1"/>
  <c r="J22" i="7"/>
  <c r="O18" i="7"/>
  <c r="O26" i="7" s="1"/>
  <c r="B112" i="5" s="1"/>
  <c r="C11" i="4"/>
  <c r="J18" i="7"/>
  <c r="L18" i="7"/>
  <c r="N18" i="7" s="1"/>
  <c r="K18" i="7"/>
  <c r="H11" i="4" s="1"/>
  <c r="I31" i="8"/>
  <c r="L31" i="8"/>
  <c r="J31" i="8"/>
  <c r="K31" i="8"/>
  <c r="J9" i="4"/>
  <c r="K17" i="4"/>
  <c r="J17" i="4"/>
  <c r="D12" i="4"/>
  <c r="M19" i="7"/>
  <c r="E12" i="4" s="1"/>
  <c r="O16" i="8"/>
  <c r="H6" i="5" s="1"/>
  <c r="J10" i="4"/>
  <c r="K10" i="4"/>
  <c r="J12" i="4"/>
  <c r="K12" i="4"/>
  <c r="D16" i="4"/>
  <c r="M23" i="7"/>
  <c r="E16" i="4" s="1"/>
  <c r="J14" i="4"/>
  <c r="K14" i="4"/>
  <c r="D10" i="4"/>
  <c r="M17" i="7"/>
  <c r="E10" i="4" s="1"/>
  <c r="M24" i="7"/>
  <c r="E17" i="4" s="1"/>
  <c r="D17" i="4"/>
  <c r="D8" i="4"/>
  <c r="M15" i="7"/>
  <c r="E8" i="4" s="1"/>
  <c r="J8" i="4"/>
  <c r="K8" i="4"/>
  <c r="D14" i="4"/>
  <c r="M21" i="7"/>
  <c r="E14" i="4" s="1"/>
  <c r="J16" i="4"/>
  <c r="K16" i="4"/>
  <c r="M16" i="7"/>
  <c r="E9" i="4" s="1"/>
  <c r="D9" i="4"/>
  <c r="J15" i="4" l="1"/>
  <c r="K15" i="4"/>
  <c r="D15" i="4"/>
  <c r="M22" i="7"/>
  <c r="E15" i="4" s="1"/>
  <c r="K11" i="4"/>
  <c r="J11" i="4"/>
  <c r="M18" i="7"/>
  <c r="E11" i="4" s="1"/>
  <c r="D11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<sst xmlns="http://schemas.openxmlformats.org/spreadsheetml/2006/main" count="764" uniqueCount="513">
  <si>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</si>
  <si>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</si>
  <si>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</si>
  <si>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</si>
  <si>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</si>
  <si>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</si>
  <si>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</si>
  <si>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</si>
  <si>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</si>
  <si>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</si>
  <si>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</si>
  <si>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</si>
  <si>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</si>
  <si>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</si>
  <si>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</si>
  <si>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</si>
  <si>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</si>
  <si>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</si>
  <si>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</si>
  <si>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</si>
  <si>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</si>
  <si>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</si>
  <si>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</si>
  <si>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</si>
  <si>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</si>
  <si>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</si>
  <si>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</si>
  <si>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</si>
  <si>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</si>
  <si>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</si>
  <si>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</si>
  <si>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</si>
  <si>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</si>
  <si>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</si>
  <si>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</si>
  <si>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</si>
  <si>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</si>
  <si>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</si>
  <si>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</si>
  <si>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</si>
  <si>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</si>
  <si>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</si>
  <si>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</si>
  <si>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</si>
  <si>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</si>
  <si>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</si>
  <si>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</si>
  <si>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</si>
  <si>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</si>
  <si>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</si>
  <si>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</si>
  <si>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</si>
  <si>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</si>
  <si>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</si>
  <si>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</si>
  <si>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</si>
  <si>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</si>
  <si>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</si>
  <si>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</si>
  <si>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</si>
  <si>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</si>
  <si>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</si>
  <si>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</si>
  <si>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</si>
  <si>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</si>
  <si>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</si>
  <si>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</si>
  <si>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</si>
  <si>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</si>
  <si>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</si>
  <si>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</si>
  <si>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</si>
  <si>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</si>
  <si>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</si>
  <si>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</si>
  <si>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</si>
  <si>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</si>
  <si>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</si>
  <si>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</si>
  <si>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</si>
  <si>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</si>
  <si>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</si>
  <si>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</si>
  <si>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</si>
  <si>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</si>
  <si>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</si>
  <si>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</si>
  <si>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</si>
  <si>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</si>
  <si>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</si>
  <si>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</si>
  <si>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</si>
  <si>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</si>
  <si>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</si>
  <si>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</si>
  <si>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</si>
  <si>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</si>
  <si>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</si>
  <si>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</si>
  <si>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</si>
  <si>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</si>
  <si>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</si>
  <si>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</si>
  <si>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</si>
  <si>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</si>
  <si>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</si>
  <si>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</si>
  <si>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</si>
  <si>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</si>
  <si>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</si>
  <si>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</si>
  <si>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</si>
  <si>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</si>
  <si>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</si>
  <si>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</si>
  <si>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</si>
  <si>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</si>
  <si>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</si>
  <si>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</si>
  <si>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</si>
  <si>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</si>
  <si>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</si>
  <si>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</si>
  <si>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</si>
  <si>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</si>
  <si>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</si>
  <si>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</si>
  <si>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</si>
  <si>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</si>
  <si>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</si>
  <si>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</si>
  <si>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</si>
  <si>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</si>
  <si>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</si>
  <si>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</si>
  <si>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</si>
  <si>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</si>
  <si>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</si>
  <si>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</si>
  <si>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</si>
  <si>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</si>
  <si>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</si>
  <si>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</si>
  <si>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</si>
  <si>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</si>
  <si>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</si>
  <si>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</si>
  <si>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</si>
  <si>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</si>
  <si>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</si>
  <si>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</si>
  <si>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</si>
  <si>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</si>
  <si>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</si>
  <si>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</si>
  <si>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</si>
  <si>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</si>
  <si>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</si>
  <si>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</si>
  <si>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</si>
  <si>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</si>
  <si>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</si>
  <si>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</si>
  <si>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</si>
  <si>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</si>
  <si>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</si>
  <si>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</si>
  <si>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</si>
  <si>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</si>
  <si>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</si>
  <si>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</si>
  <si>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</si>
  <si>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</si>
  <si>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</si>
  <si>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</si>
  <si>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</si>
  <si>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</si>
  <si>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</si>
  <si>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</si>
  <si>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</si>
  <si>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</si>
  <si>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</si>
  <si>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</si>
  <si>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</si>
  <si>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</si>
  <si>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</si>
  <si>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</si>
  <si>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</si>
  <si>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</si>
  <si>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</si>
  <si>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</si>
  <si>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</si>
  <si>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</si>
  <si>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</si>
  <si>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</si>
  <si>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</si>
  <si>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</si>
  <si>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</si>
  <si>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</si>
  <si>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</si>
  <si>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</si>
  <si>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</si>
  <si>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</si>
  <si>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</si>
  <si>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</si>
  <si>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</si>
  <si>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</si>
  <si>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</si>
  <si>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</si>
  <si>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</si>
  <si>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</si>
  <si>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</si>
  <si>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</si>
  <si>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</si>
  <si>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</si>
  <si>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</si>
  <si>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</si>
  <si>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</si>
  <si>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</si>
  <si>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</si>
  <si>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</si>
  <si>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</si>
  <si>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</si>
  <si>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</si>
  <si>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</si>
  <si>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</si>
  <si>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</si>
  <si>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</si>
  <si>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</si>
  <si>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</si>
  <si>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</si>
  <si>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</si>
  <si>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</si>
  <si>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</si>
  <si>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</si>
  <si>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</si>
  <si>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</si>
  <si>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</si>
  <si>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</si>
  <si>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</si>
  <si>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</si>
  <si>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</si>
  <si>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</si>
  <si>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</si>
  <si>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</si>
  <si>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</si>
  <si>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</si>
  <si>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</si>
  <si>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</si>
  <si>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</si>
  <si>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</si>
  <si>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</si>
  <si>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</si>
  <si>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</si>
  <si>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</si>
  <si>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</si>
  <si>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</si>
  <si>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</si>
  <si>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</si>
  <si>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</si>
  <si>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</si>
  <si>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</si>
  <si>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</si>
  <si>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</si>
  <si>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</si>
  <si>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</si>
  <si>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</si>
  <si>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</si>
  <si>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</si>
  <si>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</si>
  <si>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</si>
  <si>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</si>
  <si>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</si>
  <si>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</si>
  <si>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</si>
  <si>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</si>
  <si>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</si>
  <si>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</si>
  <si>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</si>
  <si>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</si>
  <si>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</si>
  <si>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</si>
  <si>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</si>
  <si>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</si>
  <si>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</si>
  <si>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</si>
  <si>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</si>
  <si>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</si>
  <si>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</si>
  <si>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</si>
  <si>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</si>
  <si>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</si>
  <si>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</si>
  <si>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</si>
  <si>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</si>
  <si>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</si>
  <si>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</si>
  <si>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</si>
  <si>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</si>
  <si>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</si>
  <si>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</si>
  <si>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</si>
  <si>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</si>
  <si>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</si>
  <si>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</si>
  <si>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</si>
  <si>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</si>
  <si>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</si>
  <si>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</si>
  <si>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</si>
  <si>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</si>
  <si>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</si>
  <si>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</si>
  <si>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</si>
  <si>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</si>
  <si>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</si>
  <si>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</si>
  <si>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</si>
  <si>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</si>
  <si>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</si>
  <si>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</si>
  <si>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</si>
  <si>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</si>
  <si>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</si>
  <si>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</si>
  <si>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</si>
  <si>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</si>
  <si>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</si>
  <si>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</si>
  <si>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</si>
  <si>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</si>
  <si>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</si>
  <si>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</si>
  <si>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</si>
  <si>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</si>
  <si>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</si>
  <si>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</si>
  <si>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</si>
  <si>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</si>
  <si>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</si>
  <si>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</si>
  <si>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</si>
  <si>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</si>
  <si>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</si>
  <si>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</si>
  <si>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</si>
  <si>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</si>
  <si>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</si>
  <si>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</si>
  <si>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</si>
  <si>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</si>
  <si>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</si>
  <si>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</si>
  <si>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</si>
  <si>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</si>
  <si>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</si>
  <si>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</si>
  <si>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</si>
  <si>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</si>
  <si>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</si>
  <si>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</si>
  <si>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</si>
  <si>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</si>
  <si>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</si>
  <si>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</si>
  <si>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</si>
  <si>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</si>
  <si>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</si>
  <si>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</si>
  <si>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</si>
  <si>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</si>
  <si>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</si>
  <si>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</si>
  <si>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</si>
  <si>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</si>
  <si>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</si>
  <si>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</si>
  <si>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</si>
  <si>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</si>
  <si>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</si>
  <si>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</si>
  <si>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</si>
  <si>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</si>
  <si>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</si>
  <si>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</si>
  <si>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</si>
  <si>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</si>
  <si>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</si>
  <si>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</si>
  <si>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</si>
  <si>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</si>
  <si>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</si>
  <si>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</si>
  <si>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</si>
  <si>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</si>
  <si>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</si>
  <si>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</si>
  <si>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</si>
  <si>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</si>
  <si>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</si>
  <si>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</si>
  <si>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</si>
  <si>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</si>
  <si>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</si>
  <si>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</si>
  <si>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</si>
  <si>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</si>
  <si>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</si>
  <si>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</si>
  <si>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</si>
  <si>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</si>
  <si>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</si>
  <si>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</si>
  <si>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</si>
  <si>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</si>
  <si>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</si>
  <si>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</si>
  <si>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</si>
  <si>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</si>
  <si>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</si>
  <si>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</si>
  <si>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</si>
  <si>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</si>
  <si>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</si>
  <si>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</si>
  <si>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</si>
  <si>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</si>
  <si>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</si>
  <si>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</si>
  <si>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</si>
  <si>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</si>
  <si>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</si>
  <si>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</si>
  <si>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</si>
  <si>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</si>
  <si>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</si>
  <si>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</si>
  <si>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</si>
  <si>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</si>
  <si>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</si>
  <si>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</si>
  <si>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</si>
  <si>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</si>
  <si>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</si>
  <si>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</si>
  <si>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</si>
  <si>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</si>
  <si>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</si>
  <si>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</si>
  <si>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</si>
  <si>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</si>
  <si>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</si>
  <si>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</si>
  <si>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</si>
  <si>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</si>
  <si>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</si>
  <si>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</si>
  <si>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</si>
  <si>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</si>
  <si>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</si>
  <si>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</si>
  <si>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</si>
  <si>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</si>
  <si>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</si>
  <si>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</si>
  <si>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</si>
  <si>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</si>
  <si>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</si>
  <si>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</si>
  <si>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</si>
  <si>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</si>
  <si>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</si>
  <si>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</si>
  <si>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</si>
  <si>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</si>
  <si>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</si>
  <si>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</si>
  <si>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</si>
  <si>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</si>
  <si>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</si>
  <si>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</si>
  <si>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</si>
  <si>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</si>
  <si>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</si>
  <si>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</si>
  <si>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</si>
  <si>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>VS_RtGnSp</t>
  </si>
  <si>
    <t>N-m</t>
  </si>
  <si>
    <t>VS_RtTq</t>
  </si>
  <si>
    <t>N-m/HSSrpm^2</t>
  </si>
  <si>
    <t>VS_Rgn2K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</si>
  <si>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</si>
  <si>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</si>
  <si>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</si>
  <si>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</si>
  <si>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</si>
  <si>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</si>
  <si>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</si>
  <si>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</si>
  <si>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</si>
  <si>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</si>
  <si>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</si>
  <si>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</si>
  <si>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</si>
  <si>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</si>
  <si>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</si>
  <si>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</si>
  <si>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</si>
  <si>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</si>
  <si>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P2P_Num</t>
  </si>
  <si>
    <t>numerator blade pitch actuator TF</t>
  </si>
  <si>
    <t>P2P_Den</t>
  </si>
  <si>
    <t>denominator blade pitch actuator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</si>
</sst>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0000"/>
    <numFmt numFmtId="170" formatCode="0.0000000000"/>
    <numFmt numFmtId="171" formatCode="0.000000"/>
    <numFmt numFmtId="172" formatCode="0.00000000E+00"/>
    <numFmt numFmtId="173" formatCode="0.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5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5" fillId="0" borderId="0" xfId="0" applyFont="1"/>
    <xf numFmtId="167" fontId="0" fillId="0" borderId="0" xfId="0" applyNumberFormat="1" applyFill="1"/>
    <xf numFmtId="11" fontId="2" fillId="0" borderId="1" xfId="0" applyNumberFormat="1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11" fontId="0" fillId="0" borderId="0" xfId="0" applyNumberFormat="1"/>
    <xf numFmtId="172" fontId="0" fillId="0" borderId="0" xfId="0" applyNumberFormat="1"/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3" fontId="0" fillId="0" borderId="0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1104"/>
        <c:axId val="108197376"/>
      </c:scatterChart>
      <c:valAx>
        <c:axId val="108191104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97376"/>
        <c:crossesAt val="-10"/>
        <c:crossBetween val="midCat"/>
      </c:valAx>
      <c:valAx>
        <c:axId val="10819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9110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24434</xdr:colOff>
      <xdr:row>26</xdr:row>
      <xdr:rowOff>117613</xdr:rowOff>
    </xdr:from>
    <xdr:to>
      <xdr:col>15</xdr:col>
      <xdr:colOff>398393</xdr:colOff>
      <xdr:row>34</xdr:row>
      <xdr:rowOff>117613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33956" y="4921526"/>
          <a:ext cx="4440720" cy="12258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246408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35</xdr:row>
      <xdr:rowOff>123825</xdr:rowOff>
    </xdr:from>
    <xdr:to>
      <xdr:col>14</xdr:col>
      <xdr:colOff>219075</xdr:colOff>
      <xdr:row>65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40" zoomScale="115" zoomScaleNormal="115" workbookViewId="0">
      <selection activeCell="D47" sqref="D47"/>
    </sheetView>
  </sheetViews>
  <sheetFormatPr defaultRowHeight="11.25"/>
  <cols>
    <col min="1" max="1" width="34.83203125" customWidth="1"/>
    <col min="2" max="2" width="12.3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6" t="s">
        <v>399</v>
      </c>
      <c r="C1" s="398" t="s">
        <v>385</v>
      </c>
      <c r="D1" s="399"/>
      <c r="E1" s="399"/>
      <c r="F1" s="399"/>
      <c r="G1" s="399"/>
      <c r="H1" s="400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2" t="s">
        <v>119</v>
      </c>
      <c r="C3" s="393"/>
      <c r="D3" s="394"/>
      <c r="E3" s="35"/>
      <c r="F3" s="395" t="s">
        <v>18</v>
      </c>
      <c r="G3" s="396"/>
      <c r="H3" s="397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-4.8486976644878561E-2</v>
      </c>
      <c r="C5" s="143">
        <f>GECdrivetrain!K30</f>
        <v>0</v>
      </c>
      <c r="D5" s="143">
        <f>GECdrivetrain!L30</f>
        <v>-0.52645086193788293</v>
      </c>
      <c r="E5" s="146">
        <f>GECdrivetrain!I30</f>
        <v>102786.44161128539</v>
      </c>
      <c r="F5" s="149">
        <f>GECdrivetrain!M30</f>
        <v>130673.04565261773</v>
      </c>
      <c r="G5" s="149">
        <f>GECdrivetrain!N30</f>
        <v>198481.06291465583</v>
      </c>
      <c r="H5" s="149">
        <f>GECdrivetrain!O30</f>
        <v>165551.24539459011</v>
      </c>
    </row>
    <row r="6" spans="1:8">
      <c r="A6" s="22" t="s">
        <v>10</v>
      </c>
      <c r="B6" s="144">
        <f>GECdrivetrain!J16</f>
        <v>1.0773880066628185</v>
      </c>
      <c r="C6" s="144">
        <f>GECdrivetrain!K16</f>
        <v>0</v>
      </c>
      <c r="D6" s="144">
        <f>GECdrivetrain!L16</f>
        <v>0</v>
      </c>
      <c r="E6" s="147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4">
        <f>GECdrivetrain!J15</f>
        <v>-1.1379470512289973</v>
      </c>
      <c r="C7" s="144">
        <f>GECdrivetrain!K15</f>
        <v>0</v>
      </c>
      <c r="D7" s="144">
        <f>GECdrivetrain!L15</f>
        <v>0</v>
      </c>
      <c r="E7" s="147">
        <f>GECdrivetrain!I15</f>
        <v>25757.476347075215</v>
      </c>
      <c r="F7" s="150">
        <f>GECdrivetrain!M15</f>
        <v>3567.6908297602122</v>
      </c>
      <c r="G7" s="150">
        <f>GECdrivetrain!N15</f>
        <v>44271.918683397555</v>
      </c>
      <c r="H7" s="150">
        <f>GECdrivetrain!O15</f>
        <v>44271.918683397555</v>
      </c>
    </row>
    <row r="8" spans="1:8" ht="12" thickBot="1">
      <c r="A8" s="23" t="s">
        <v>12</v>
      </c>
      <c r="B8" s="145">
        <f>GECdrivetrain!J14</f>
        <v>-4.6500000000000004</v>
      </c>
      <c r="C8" s="145">
        <f>GECdrivetrain!K14</f>
        <v>0</v>
      </c>
      <c r="D8" s="145">
        <f>GECdrivetrain!L14</f>
        <v>0</v>
      </c>
      <c r="E8" s="148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2" thickBot="1">
      <c r="A9" s="106" t="s">
        <v>120</v>
      </c>
      <c r="B9" s="273">
        <v>119</v>
      </c>
    </row>
    <row r="10" spans="1:8">
      <c r="A10" s="77" t="s">
        <v>28</v>
      </c>
      <c r="B10" s="274">
        <v>3</v>
      </c>
    </row>
    <row r="11" spans="1:8">
      <c r="A11" s="54" t="s">
        <v>39</v>
      </c>
      <c r="B11" s="275">
        <v>5</v>
      </c>
      <c r="C11" t="s">
        <v>69</v>
      </c>
    </row>
    <row r="12" spans="1:8">
      <c r="A12" s="54" t="s">
        <v>29</v>
      </c>
      <c r="B12" s="275" t="s">
        <v>118</v>
      </c>
    </row>
    <row r="13" spans="1:8">
      <c r="A13" s="107" t="s">
        <v>121</v>
      </c>
      <c r="B13" s="275">
        <v>99</v>
      </c>
    </row>
    <row r="14" spans="1:8" ht="22.5">
      <c r="A14" s="61" t="s">
        <v>43</v>
      </c>
      <c r="B14" s="374">
        <f>PI()*(B67^4-B68^4)/32/(GECdrivetrain!C7)*GECtwrdata!F7</f>
        <v>1039402035.9271445</v>
      </c>
      <c r="D14" s="347" t="s">
        <v>418</v>
      </c>
      <c r="E14" s="348"/>
    </row>
    <row r="15" spans="1:8">
      <c r="A15" s="61" t="s">
        <v>420</v>
      </c>
      <c r="B15" s="375">
        <v>5</v>
      </c>
      <c r="D15" s="347" t="s">
        <v>403</v>
      </c>
      <c r="E15" s="348"/>
    </row>
    <row r="16" spans="1:8">
      <c r="A16" s="61" t="s">
        <v>419</v>
      </c>
      <c r="B16" s="375">
        <v>18562372</v>
      </c>
      <c r="D16" s="347" t="s">
        <v>403</v>
      </c>
      <c r="E16" s="348"/>
      <c r="H16" s="103"/>
    </row>
    <row r="17" spans="1:21" ht="23.45" customHeight="1">
      <c r="A17" s="61" t="s">
        <v>42</v>
      </c>
      <c r="B17" s="275">
        <v>1.2250000000000001</v>
      </c>
    </row>
    <row r="18" spans="1:21" ht="13.15" customHeight="1">
      <c r="A18" s="61" t="s">
        <v>38</v>
      </c>
      <c r="B18" s="275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5">
        <v>0.95</v>
      </c>
      <c r="C19" s="329">
        <v>1.4999999999999999E-2</v>
      </c>
      <c r="D19" s="401" t="s">
        <v>374</v>
      </c>
      <c r="E19" s="400"/>
      <c r="F19" s="400"/>
    </row>
    <row r="20" spans="1:21" ht="25.5" customHeight="1">
      <c r="A20" s="268" t="s">
        <v>372</v>
      </c>
      <c r="B20" s="274">
        <v>5.0000000000000001E-3</v>
      </c>
      <c r="C20" s="329">
        <v>5.0000000000000001E-3</v>
      </c>
      <c r="D20" s="401" t="s">
        <v>373</v>
      </c>
      <c r="E20" s="400"/>
      <c r="F20" s="400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5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0">
        <f>B89</f>
        <v>14.468631190172303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1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1">
        <f>B92</f>
        <v>3000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14.468631190172303</v>
      </c>
    </row>
    <row r="30" spans="1:21" ht="9.75" customHeight="1">
      <c r="A30" s="100" t="s">
        <v>376</v>
      </c>
      <c r="B30" s="269">
        <f>B92*1000/(B29*PI()/30)/(B19-C19-B20-C20)</f>
        <v>2140540.5405405406</v>
      </c>
    </row>
    <row r="31" spans="1:21" ht="9.75" customHeight="1">
      <c r="A31" s="350" t="s">
        <v>404</v>
      </c>
      <c r="B31" s="269">
        <f>B92*1000/(B87*PI()/30)/(B19)</f>
        <v>16753.151904410039</v>
      </c>
      <c r="D31" s="347" t="s">
        <v>405</v>
      </c>
      <c r="E31" s="348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5">
        <v>2.6</v>
      </c>
    </row>
    <row r="35" spans="1:5">
      <c r="A35" s="100" t="s">
        <v>82</v>
      </c>
      <c r="B35" s="275">
        <v>90</v>
      </c>
    </row>
    <row r="36" spans="1:5" ht="12" customHeight="1">
      <c r="A36" s="100" t="s">
        <v>83</v>
      </c>
      <c r="B36" s="275">
        <v>10</v>
      </c>
    </row>
    <row r="37" spans="1:5" ht="12" customHeight="1">
      <c r="A37" s="376" t="s">
        <v>421</v>
      </c>
      <c r="B37" s="275">
        <v>2.6</v>
      </c>
      <c r="D37" s="347" t="s">
        <v>422</v>
      </c>
      <c r="E37" s="348"/>
    </row>
    <row r="38" spans="1:5" ht="12" customHeight="1">
      <c r="A38" s="376" t="s">
        <v>423</v>
      </c>
      <c r="B38" s="275">
        <v>30</v>
      </c>
      <c r="D38" s="347" t="s">
        <v>422</v>
      </c>
      <c r="E38" s="348"/>
    </row>
    <row r="39" spans="1:5" ht="12" customHeight="1">
      <c r="A39" s="376" t="s">
        <v>424</v>
      </c>
      <c r="B39" s="275">
        <v>-0.5</v>
      </c>
      <c r="D39" s="347" t="s">
        <v>422</v>
      </c>
      <c r="E39" s="348"/>
    </row>
    <row r="40" spans="1:5" ht="12" customHeight="1">
      <c r="A40" s="376" t="s">
        <v>425</v>
      </c>
      <c r="B40" s="275">
        <v>2.5000000000000001E-2</v>
      </c>
      <c r="D40" s="347" t="s">
        <v>422</v>
      </c>
      <c r="E40" s="348"/>
    </row>
    <row r="41" spans="1:5" ht="12" customHeight="1">
      <c r="A41" s="349"/>
      <c r="B41" s="351"/>
    </row>
    <row r="42" spans="1:5" ht="12" customHeight="1">
      <c r="A42" s="109" t="s">
        <v>406</v>
      </c>
      <c r="B42" s="29"/>
      <c r="D42" s="347" t="s">
        <v>403</v>
      </c>
      <c r="E42" s="348"/>
    </row>
    <row r="43" spans="1:5" ht="12" customHeight="1">
      <c r="A43" s="376" t="s">
        <v>426</v>
      </c>
      <c r="B43" s="275">
        <f>B31/B87^2</f>
        <v>5.170725896422851E-3</v>
      </c>
      <c r="D43" s="347" t="s">
        <v>427</v>
      </c>
      <c r="E43" s="348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6">
        <v>2.2690000000000001</v>
      </c>
    </row>
    <row r="47" spans="1:5">
      <c r="A47" s="100" t="s">
        <v>123</v>
      </c>
      <c r="B47" s="277">
        <v>3.7</v>
      </c>
    </row>
    <row r="48" spans="1:5" ht="15" customHeight="1">
      <c r="A48" s="100" t="s">
        <v>124</v>
      </c>
      <c r="B48" s="277">
        <v>11.9</v>
      </c>
    </row>
    <row r="49" spans="1:4" ht="11.25" customHeight="1">
      <c r="A49" s="100" t="s">
        <v>125</v>
      </c>
      <c r="B49" s="277">
        <v>8.0020000000000007</v>
      </c>
    </row>
    <row r="50" spans="1:4" ht="13.5" customHeight="1">
      <c r="A50" s="100" t="s">
        <v>126</v>
      </c>
      <c r="B50" s="277">
        <v>26.1</v>
      </c>
    </row>
    <row r="51" spans="1:4" ht="12" customHeight="1">
      <c r="A51" s="330" t="s">
        <v>386</v>
      </c>
      <c r="B51" s="329">
        <v>5</v>
      </c>
    </row>
    <row r="52" spans="1:4" ht="18" customHeight="1">
      <c r="A52" s="109" t="s">
        <v>383</v>
      </c>
      <c r="B52" s="63"/>
    </row>
    <row r="53" spans="1:4" ht="13.5" customHeight="1">
      <c r="A53" s="100" t="s">
        <v>384</v>
      </c>
      <c r="B53" s="105">
        <f>ABS(B8)+B13/2*(B11+B18)/57.3-0.5*(B47+B13/2/B9*(B49-B47))</f>
        <v>6.2246280302696988</v>
      </c>
    </row>
    <row r="55" spans="1:4">
      <c r="A55" s="2" t="s">
        <v>12</v>
      </c>
      <c r="C55" s="5"/>
    </row>
    <row r="56" spans="1:4">
      <c r="A56" s="110" t="s">
        <v>127</v>
      </c>
      <c r="B56" s="278">
        <v>4.95</v>
      </c>
      <c r="C56" t="s">
        <v>85</v>
      </c>
      <c r="D56" t="s">
        <v>128</v>
      </c>
    </row>
    <row r="57" spans="1:4">
      <c r="A57" s="110" t="s">
        <v>129</v>
      </c>
      <c r="B57" s="278">
        <v>2.6685800000000004</v>
      </c>
      <c r="C57" t="s">
        <v>85</v>
      </c>
      <c r="D57" s="272" t="s">
        <v>381</v>
      </c>
    </row>
    <row r="58" spans="1:4" ht="10.9" customHeight="1">
      <c r="A58" s="110" t="s">
        <v>130</v>
      </c>
      <c r="B58" s="278">
        <v>2.3540000000000001</v>
      </c>
      <c r="C58" t="s">
        <v>85</v>
      </c>
      <c r="D58" t="s">
        <v>131</v>
      </c>
    </row>
    <row r="59" spans="1:4">
      <c r="A59" s="110" t="s">
        <v>132</v>
      </c>
      <c r="B59" s="278">
        <v>8.295000000000001E-2</v>
      </c>
      <c r="C59" t="s">
        <v>85</v>
      </c>
      <c r="D59" s="272" t="s">
        <v>377</v>
      </c>
    </row>
    <row r="60" spans="1:4">
      <c r="A60" s="18" t="s">
        <v>133</v>
      </c>
      <c r="B60" s="279">
        <v>7850</v>
      </c>
      <c r="C60" t="s">
        <v>102</v>
      </c>
    </row>
    <row r="61" spans="1:4">
      <c r="A61" s="18" t="s">
        <v>134</v>
      </c>
      <c r="B61" s="278">
        <v>-4.6500000000000004</v>
      </c>
      <c r="C61" t="s">
        <v>85</v>
      </c>
      <c r="D61" t="s">
        <v>135</v>
      </c>
    </row>
    <row r="62" spans="1:4">
      <c r="A62" s="18" t="s">
        <v>136</v>
      </c>
      <c r="B62" s="278">
        <v>0</v>
      </c>
      <c r="C62" t="s">
        <v>85</v>
      </c>
    </row>
    <row r="63" spans="1:4">
      <c r="A63" s="18" t="s">
        <v>137</v>
      </c>
      <c r="B63" s="278">
        <v>0</v>
      </c>
      <c r="C63" t="s">
        <v>85</v>
      </c>
    </row>
    <row r="64" spans="1:4">
      <c r="A64" s="18"/>
      <c r="B64" s="124"/>
    </row>
    <row r="65" spans="1:4">
      <c r="A65" s="111" t="s">
        <v>138</v>
      </c>
      <c r="B65" s="125"/>
    </row>
    <row r="66" spans="1:4">
      <c r="A66" s="18" t="s">
        <v>139</v>
      </c>
      <c r="B66" s="278">
        <v>2.79</v>
      </c>
      <c r="C66" t="s">
        <v>85</v>
      </c>
      <c r="D66" t="s">
        <v>380</v>
      </c>
    </row>
    <row r="67" spans="1:4">
      <c r="A67" s="18" t="s">
        <v>140</v>
      </c>
      <c r="B67" s="278">
        <v>0.8</v>
      </c>
      <c r="C67" t="s">
        <v>85</v>
      </c>
    </row>
    <row r="68" spans="1:4">
      <c r="A68" s="18" t="s">
        <v>141</v>
      </c>
      <c r="B68" s="278">
        <v>0.4</v>
      </c>
      <c r="C68" t="s">
        <v>85</v>
      </c>
      <c r="D68" t="s">
        <v>142</v>
      </c>
    </row>
    <row r="69" spans="1:4">
      <c r="A69" s="18" t="s">
        <v>133</v>
      </c>
      <c r="B69" s="279">
        <v>7850</v>
      </c>
      <c r="C69" t="s">
        <v>102</v>
      </c>
    </row>
    <row r="70" spans="1:4">
      <c r="A70" s="18" t="s">
        <v>136</v>
      </c>
      <c r="B70" s="278">
        <v>0</v>
      </c>
      <c r="C70" t="s">
        <v>85</v>
      </c>
      <c r="D70" t="s">
        <v>143</v>
      </c>
    </row>
    <row r="71" spans="1:4">
      <c r="A71" s="18" t="s">
        <v>137</v>
      </c>
      <c r="B71" s="278">
        <v>0</v>
      </c>
      <c r="C71" t="s">
        <v>85</v>
      </c>
    </row>
    <row r="72" spans="1:4">
      <c r="A72" s="18"/>
      <c r="B72" s="124"/>
    </row>
    <row r="73" spans="1:4">
      <c r="A73" s="111" t="s">
        <v>144</v>
      </c>
      <c r="B73" s="125"/>
    </row>
    <row r="74" spans="1:4">
      <c r="A74" s="18" t="s">
        <v>145</v>
      </c>
      <c r="B74" s="278">
        <v>-3.2549999999999999</v>
      </c>
      <c r="C74" t="s">
        <v>85</v>
      </c>
      <c r="D74" t="s">
        <v>146</v>
      </c>
    </row>
    <row r="75" spans="1:4">
      <c r="A75" s="18" t="s">
        <v>147</v>
      </c>
      <c r="B75" s="278">
        <v>0</v>
      </c>
      <c r="C75" t="s">
        <v>85</v>
      </c>
    </row>
    <row r="76" spans="1:4">
      <c r="A76" s="18" t="s">
        <v>148</v>
      </c>
      <c r="B76" s="278">
        <v>0</v>
      </c>
      <c r="C76" t="s">
        <v>85</v>
      </c>
    </row>
    <row r="77" spans="1:4">
      <c r="A77" s="18" t="s">
        <v>149</v>
      </c>
      <c r="B77" s="278">
        <v>-0.93</v>
      </c>
      <c r="C77" t="s">
        <v>85</v>
      </c>
      <c r="D77" t="s">
        <v>150</v>
      </c>
    </row>
    <row r="78" spans="1:4">
      <c r="A78" s="18" t="s">
        <v>151</v>
      </c>
      <c r="B78" s="278">
        <v>0</v>
      </c>
      <c r="C78" t="s">
        <v>85</v>
      </c>
    </row>
    <row r="79" spans="1:4">
      <c r="A79" s="18" t="s">
        <v>152</v>
      </c>
      <c r="B79" s="278">
        <v>0</v>
      </c>
      <c r="C79" t="s">
        <v>85</v>
      </c>
    </row>
    <row r="80" spans="1:4">
      <c r="A80" s="18"/>
      <c r="B80" s="125"/>
    </row>
    <row r="81" spans="1:4">
      <c r="A81" s="111" t="s">
        <v>153</v>
      </c>
      <c r="B81" s="125"/>
    </row>
    <row r="82" spans="1:4">
      <c r="A82" s="18" t="s">
        <v>154</v>
      </c>
      <c r="B82" s="280">
        <v>23500</v>
      </c>
      <c r="C82" t="s">
        <v>117</v>
      </c>
      <c r="D82" t="s">
        <v>155</v>
      </c>
    </row>
    <row r="83" spans="1:4">
      <c r="A83" s="18" t="s">
        <v>134</v>
      </c>
      <c r="B83" s="278">
        <v>0</v>
      </c>
      <c r="C83" t="s">
        <v>85</v>
      </c>
      <c r="D83" t="s">
        <v>156</v>
      </c>
    </row>
    <row r="84" spans="1:4">
      <c r="A84" s="18" t="s">
        <v>136</v>
      </c>
      <c r="B84" s="278">
        <v>0</v>
      </c>
      <c r="C84" t="s">
        <v>85</v>
      </c>
    </row>
    <row r="85" spans="1:4">
      <c r="A85" s="18" t="s">
        <v>137</v>
      </c>
      <c r="B85" s="278">
        <v>0</v>
      </c>
      <c r="C85" t="s">
        <v>85</v>
      </c>
    </row>
    <row r="86" spans="1:4">
      <c r="A86" s="18" t="s">
        <v>389</v>
      </c>
      <c r="B86" s="278">
        <v>75</v>
      </c>
      <c r="C86" t="s">
        <v>390</v>
      </c>
    </row>
    <row r="87" spans="1:4">
      <c r="A87" s="18" t="s">
        <v>391</v>
      </c>
      <c r="B87" s="278">
        <v>1800</v>
      </c>
      <c r="C87" t="s">
        <v>392</v>
      </c>
    </row>
    <row r="88" spans="1:4">
      <c r="A88" s="18" t="s">
        <v>157</v>
      </c>
      <c r="B88" s="332">
        <f>1800/B89</f>
        <v>124.40706908215581</v>
      </c>
    </row>
    <row r="89" spans="1:4">
      <c r="A89" s="18" t="s">
        <v>158</v>
      </c>
      <c r="B89" s="332">
        <f>B86/B13*2*30/PI()</f>
        <v>14.468631190172303</v>
      </c>
    </row>
    <row r="90" spans="1:4">
      <c r="A90" s="18"/>
      <c r="B90" s="123"/>
    </row>
    <row r="91" spans="1:4" ht="15" customHeight="1">
      <c r="A91" s="111" t="s">
        <v>159</v>
      </c>
      <c r="B91" s="125"/>
    </row>
    <row r="92" spans="1:4">
      <c r="A92" s="18" t="s">
        <v>160</v>
      </c>
      <c r="B92" s="281">
        <v>3000</v>
      </c>
      <c r="C92" t="s">
        <v>161</v>
      </c>
    </row>
    <row r="93" spans="1:4">
      <c r="A93" s="18" t="s">
        <v>134</v>
      </c>
      <c r="B93" s="278">
        <v>1.163</v>
      </c>
      <c r="C93" t="s">
        <v>85</v>
      </c>
      <c r="D93" t="s">
        <v>162</v>
      </c>
    </row>
    <row r="94" spans="1:4">
      <c r="A94" s="18" t="s">
        <v>136</v>
      </c>
      <c r="B94" s="282">
        <v>0</v>
      </c>
      <c r="C94" t="s">
        <v>85</v>
      </c>
    </row>
    <row r="95" spans="1:4">
      <c r="A95" s="18" t="s">
        <v>137</v>
      </c>
      <c r="B95" s="282">
        <v>0</v>
      </c>
      <c r="C95" t="s">
        <v>85</v>
      </c>
    </row>
    <row r="96" spans="1:4">
      <c r="A96" s="18"/>
      <c r="B96" s="126"/>
    </row>
    <row r="97" spans="1:4">
      <c r="A97" s="111" t="s">
        <v>163</v>
      </c>
      <c r="B97" s="126"/>
    </row>
    <row r="98" spans="1:4">
      <c r="A98" s="18" t="s">
        <v>139</v>
      </c>
      <c r="B98" s="282">
        <v>3.2549999999999999</v>
      </c>
      <c r="C98" t="s">
        <v>85</v>
      </c>
      <c r="D98" t="s">
        <v>164</v>
      </c>
    </row>
    <row r="99" spans="1:4">
      <c r="A99" s="18" t="s">
        <v>165</v>
      </c>
      <c r="B99" s="278">
        <v>3.1392000000000002</v>
      </c>
      <c r="C99" t="s">
        <v>85</v>
      </c>
      <c r="D99" t="s">
        <v>166</v>
      </c>
    </row>
    <row r="100" spans="1:4">
      <c r="A100" s="18" t="s">
        <v>167</v>
      </c>
      <c r="B100" s="278">
        <v>1.732</v>
      </c>
      <c r="C100" t="s">
        <v>85</v>
      </c>
    </row>
    <row r="101" spans="1:4">
      <c r="A101" s="18" t="s">
        <v>168</v>
      </c>
      <c r="B101" s="278">
        <v>0.3024</v>
      </c>
      <c r="C101" t="s">
        <v>85</v>
      </c>
    </row>
    <row r="102" spans="1:4">
      <c r="A102" s="18" t="s">
        <v>169</v>
      </c>
      <c r="B102" s="278">
        <v>0.27400000000000002</v>
      </c>
      <c r="C102" t="s">
        <v>85</v>
      </c>
    </row>
    <row r="103" spans="1:4">
      <c r="A103" s="18" t="s">
        <v>133</v>
      </c>
      <c r="B103" s="279">
        <v>7850</v>
      </c>
      <c r="C103" t="s">
        <v>85</v>
      </c>
    </row>
    <row r="104" spans="1:4">
      <c r="A104" s="18" t="s">
        <v>134</v>
      </c>
      <c r="B104" s="282">
        <v>0</v>
      </c>
      <c r="C104" t="s">
        <v>85</v>
      </c>
    </row>
    <row r="105" spans="1:4">
      <c r="A105" s="18" t="s">
        <v>136</v>
      </c>
      <c r="B105" s="282">
        <v>0</v>
      </c>
      <c r="C105" t="s">
        <v>85</v>
      </c>
    </row>
    <row r="106" spans="1:4">
      <c r="A106" s="18" t="s">
        <v>137</v>
      </c>
      <c r="B106" s="282">
        <v>-1.135</v>
      </c>
      <c r="C106" t="s">
        <v>85</v>
      </c>
      <c r="D106" t="s">
        <v>170</v>
      </c>
    </row>
    <row r="108" spans="1:4">
      <c r="A108" s="111" t="s">
        <v>393</v>
      </c>
    </row>
    <row r="109" spans="1:4">
      <c r="A109" s="333" t="s">
        <v>394</v>
      </c>
      <c r="B109" s="334">
        <f>'Blade Data'!R32*B10+E8</f>
        <v>101319.14928558786</v>
      </c>
      <c r="C109" t="s">
        <v>117</v>
      </c>
    </row>
    <row r="110" spans="1:4">
      <c r="A110" s="333" t="s">
        <v>395</v>
      </c>
      <c r="B110" s="334">
        <f>E5+E6+E7</f>
        <v>132597.74759930788</v>
      </c>
      <c r="C110" t="s">
        <v>117</v>
      </c>
    </row>
    <row r="111" spans="1:4">
      <c r="A111" s="333" t="s">
        <v>396</v>
      </c>
      <c r="B111" s="334">
        <f>B109+B110</f>
        <v>233916.89688489574</v>
      </c>
      <c r="C111" t="s">
        <v>117</v>
      </c>
    </row>
    <row r="112" spans="1:4">
      <c r="A112" s="18" t="s">
        <v>398</v>
      </c>
      <c r="B112" s="334">
        <f>GECtwrdata!O26</f>
        <v>336721.06544120744</v>
      </c>
      <c r="C112" t="s">
        <v>117</v>
      </c>
    </row>
    <row r="113" spans="1:13">
      <c r="A113" t="s">
        <v>348</v>
      </c>
      <c r="H113" t="s">
        <v>320</v>
      </c>
      <c r="I113" s="183"/>
      <c r="J113" s="183"/>
    </row>
    <row r="114" spans="1:13" ht="14.25">
      <c r="A114" s="184"/>
      <c r="B114" s="185"/>
      <c r="C114" s="186" t="s">
        <v>321</v>
      </c>
      <c r="D114" s="187"/>
      <c r="E114" s="185"/>
      <c r="F114" s="188" t="s">
        <v>322</v>
      </c>
      <c r="G114" s="189"/>
      <c r="H114" s="184"/>
      <c r="I114" s="190" t="s">
        <v>333</v>
      </c>
      <c r="J114" s="190" t="s">
        <v>334</v>
      </c>
      <c r="K114" s="191" t="s">
        <v>335</v>
      </c>
    </row>
    <row r="115" spans="1:13" ht="13.5">
      <c r="A115" s="192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3" t="s">
        <v>341</v>
      </c>
      <c r="H115" s="192" t="s">
        <v>87</v>
      </c>
      <c r="I115" s="176" t="s">
        <v>342</v>
      </c>
      <c r="J115" s="176" t="s">
        <v>342</v>
      </c>
      <c r="K115" s="194" t="s">
        <v>342</v>
      </c>
    </row>
    <row r="116" spans="1:13" ht="12">
      <c r="A116" s="283">
        <v>7.0000000000000007E-2</v>
      </c>
      <c r="B116" s="284">
        <v>1348.87465938283</v>
      </c>
      <c r="C116" s="285">
        <v>13403574.332548277</v>
      </c>
      <c r="D116" s="286">
        <v>3620</v>
      </c>
      <c r="E116" s="287">
        <v>3620</v>
      </c>
      <c r="F116" s="285">
        <v>13403574.332548277</v>
      </c>
      <c r="G116" s="288">
        <v>3620</v>
      </c>
      <c r="H116" s="289">
        <v>7.0000000000000007E-2</v>
      </c>
      <c r="I116" s="290">
        <v>2.7007721300201633E-4</v>
      </c>
      <c r="J116" s="290">
        <v>2.7007721300201633E-4</v>
      </c>
      <c r="K116" s="291">
        <v>2.7007721300201633E-4</v>
      </c>
    </row>
    <row r="117" spans="1:13" ht="12">
      <c r="A117" s="292">
        <v>0.25</v>
      </c>
      <c r="B117" s="284">
        <v>630.2384589044766</v>
      </c>
      <c r="C117" s="285">
        <v>8362000</v>
      </c>
      <c r="D117" s="286">
        <v>3620</v>
      </c>
      <c r="E117" s="287">
        <v>3886.2892744173614</v>
      </c>
      <c r="F117" s="285">
        <v>1457409.4413835965</v>
      </c>
      <c r="G117" s="288">
        <v>952.22125095074227</v>
      </c>
      <c r="H117" s="293">
        <v>0.25</v>
      </c>
      <c r="I117" s="285">
        <v>4.329107868930878E-4</v>
      </c>
      <c r="J117" s="285">
        <v>4.6475595245364283E-4</v>
      </c>
      <c r="K117" s="294">
        <v>6.5336563899760921E-4</v>
      </c>
    </row>
    <row r="118" spans="1:13" ht="12">
      <c r="A118" s="292">
        <v>0.5</v>
      </c>
      <c r="B118" s="284">
        <v>355.98755758790423</v>
      </c>
      <c r="C118" s="285">
        <v>3683800</v>
      </c>
      <c r="D118" s="286">
        <v>3620</v>
      </c>
      <c r="E118" s="287">
        <v>3790.2346685209886</v>
      </c>
      <c r="F118" s="285">
        <v>471021.474559661</v>
      </c>
      <c r="G118" s="288">
        <v>952.22125095074227</v>
      </c>
      <c r="H118" s="293">
        <v>0.5</v>
      </c>
      <c r="I118" s="285">
        <v>9.8268092730332819E-4</v>
      </c>
      <c r="J118" s="285">
        <v>1.0288926294915546E-3</v>
      </c>
      <c r="K118" s="294">
        <v>2.0216089974261484E-3</v>
      </c>
    </row>
    <row r="119" spans="1:13" ht="12">
      <c r="A119" s="295">
        <v>0.75</v>
      </c>
      <c r="B119" s="296">
        <v>216.65259804245323</v>
      </c>
      <c r="C119" s="297">
        <v>933380</v>
      </c>
      <c r="D119" s="298">
        <v>3620</v>
      </c>
      <c r="E119" s="299">
        <v>3792.4944639958362</v>
      </c>
      <c r="F119" s="297">
        <v>168325.07803241245</v>
      </c>
      <c r="G119" s="300">
        <v>952.22125095074227</v>
      </c>
      <c r="H119" s="301">
        <v>0.75</v>
      </c>
      <c r="I119" s="297">
        <v>3.8783775096959436E-3</v>
      </c>
      <c r="J119" s="297">
        <v>4.0631837665214988E-3</v>
      </c>
      <c r="K119" s="302">
        <v>5.6570373356213972E-3</v>
      </c>
    </row>
    <row r="121" spans="1:13">
      <c r="A121" t="s">
        <v>349</v>
      </c>
    </row>
    <row r="122" spans="1:13" ht="13.5">
      <c r="A122" s="184"/>
      <c r="B122" s="188" t="s">
        <v>88</v>
      </c>
      <c r="C122" s="188" t="s">
        <v>323</v>
      </c>
      <c r="D122" s="188" t="s">
        <v>89</v>
      </c>
      <c r="E122" s="195" t="s">
        <v>324</v>
      </c>
      <c r="F122" s="188" t="s">
        <v>325</v>
      </c>
      <c r="G122" s="188" t="s">
        <v>326</v>
      </c>
      <c r="H122" s="188" t="s">
        <v>327</v>
      </c>
      <c r="I122" s="188" t="s">
        <v>343</v>
      </c>
      <c r="J122" s="188" t="s">
        <v>344</v>
      </c>
      <c r="K122" s="188" t="s">
        <v>113</v>
      </c>
      <c r="L122" s="188" t="s">
        <v>112</v>
      </c>
      <c r="M122" s="196" t="s">
        <v>345</v>
      </c>
    </row>
    <row r="123" spans="1:13" ht="13.5">
      <c r="A123" s="192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4" t="s">
        <v>357</v>
      </c>
    </row>
    <row r="124" spans="1:13">
      <c r="A124" s="303">
        <v>0.05</v>
      </c>
      <c r="B124" s="304">
        <v>2.6729794259588524</v>
      </c>
      <c r="C124" s="305">
        <v>1</v>
      </c>
      <c r="D124" s="305" t="s">
        <v>378</v>
      </c>
      <c r="E124" s="346">
        <v>0.25</v>
      </c>
      <c r="F124" s="304">
        <v>0.5</v>
      </c>
      <c r="G124" s="304">
        <v>0.5</v>
      </c>
      <c r="H124" s="307">
        <v>2514.2728793945694</v>
      </c>
      <c r="I124" s="308">
        <v>25915847780.81815</v>
      </c>
      <c r="J124" s="308">
        <v>25915847780.81815</v>
      </c>
      <c r="K124" s="308">
        <v>28944438488.483387</v>
      </c>
      <c r="L124" s="308">
        <v>8966505090.0080204</v>
      </c>
      <c r="M124" s="309">
        <v>4490.9882032550131</v>
      </c>
    </row>
    <row r="125" spans="1:13">
      <c r="A125" s="283">
        <v>7.0000000000000007E-2</v>
      </c>
      <c r="B125" s="310">
        <v>2.6729794259588524</v>
      </c>
      <c r="C125" s="311">
        <v>1</v>
      </c>
      <c r="D125" s="311" t="s">
        <v>378</v>
      </c>
      <c r="E125" s="346">
        <v>0.25</v>
      </c>
      <c r="F125" s="310">
        <v>0.5</v>
      </c>
      <c r="G125" s="310">
        <v>0.5</v>
      </c>
      <c r="H125" s="312">
        <v>378.46476436784059</v>
      </c>
      <c r="I125" s="313">
        <v>4995749732.6391211</v>
      </c>
      <c r="J125" s="313">
        <v>4995749732.6391211</v>
      </c>
      <c r="K125" s="313">
        <v>5635228554.6241884</v>
      </c>
      <c r="L125" s="313">
        <v>1745703465.4624267</v>
      </c>
      <c r="M125" s="314">
        <v>676.01285685941104</v>
      </c>
    </row>
    <row r="126" spans="1:13">
      <c r="A126" s="292">
        <v>0.25</v>
      </c>
      <c r="B126" s="310">
        <v>3.9601219202438407</v>
      </c>
      <c r="C126" s="311">
        <v>0.33</v>
      </c>
      <c r="D126" s="311">
        <v>4.2105075887228658</v>
      </c>
      <c r="E126" s="306">
        <v>0.34</v>
      </c>
      <c r="F126" s="310">
        <v>0.40616627838474717</v>
      </c>
      <c r="G126" s="310">
        <v>0.32779911806110856</v>
      </c>
      <c r="H126" s="312">
        <v>405.46483412508888</v>
      </c>
      <c r="I126" s="313">
        <v>1456208344.9209256</v>
      </c>
      <c r="J126" s="313">
        <v>3906180885.0486031</v>
      </c>
      <c r="K126" s="315">
        <v>5337777876.7804203</v>
      </c>
      <c r="L126" s="315">
        <v>63313292.734555714</v>
      </c>
      <c r="M126" s="316">
        <v>354.86371029702843</v>
      </c>
    </row>
    <row r="127" spans="1:13">
      <c r="A127" s="292">
        <v>0.5</v>
      </c>
      <c r="B127" s="310">
        <v>3.0363220726441456</v>
      </c>
      <c r="C127" s="311">
        <v>0.24</v>
      </c>
      <c r="D127" s="311">
        <v>8.8087131153173708</v>
      </c>
      <c r="E127" s="306">
        <v>0.31</v>
      </c>
      <c r="F127" s="310">
        <v>0.37631882650896054</v>
      </c>
      <c r="G127" s="310">
        <v>0.32332040963124214</v>
      </c>
      <c r="H127" s="312">
        <v>319.61717485509803</v>
      </c>
      <c r="I127" s="313">
        <v>362359217.52206236</v>
      </c>
      <c r="J127" s="313">
        <v>988006806.05798388</v>
      </c>
      <c r="K127" s="315">
        <v>4226064069.1209292</v>
      </c>
      <c r="L127" s="315">
        <v>25481782.397363089</v>
      </c>
      <c r="M127" s="316">
        <v>117.08485674451724</v>
      </c>
    </row>
    <row r="128" spans="1:13">
      <c r="A128" s="292">
        <v>0.75</v>
      </c>
      <c r="B128" s="310">
        <v>2.1125222250444504</v>
      </c>
      <c r="C128" s="311">
        <v>0.21</v>
      </c>
      <c r="D128" s="311">
        <v>8.3824243344618559</v>
      </c>
      <c r="E128" s="306">
        <v>0.28000000000000003</v>
      </c>
      <c r="F128" s="310">
        <v>0.38906004871333283</v>
      </c>
      <c r="G128" s="310">
        <v>0.32617688943581796</v>
      </c>
      <c r="H128" s="312">
        <v>139.35911643347461</v>
      </c>
      <c r="I128" s="313">
        <v>55876712.03553623</v>
      </c>
      <c r="J128" s="313">
        <v>242833001.70445472</v>
      </c>
      <c r="K128" s="315">
        <v>1782574562.629951</v>
      </c>
      <c r="L128" s="315">
        <v>5108455.3661101973</v>
      </c>
      <c r="M128" s="316">
        <v>25.985344618591107</v>
      </c>
    </row>
    <row r="129" spans="1:13">
      <c r="A129" s="317">
        <v>1</v>
      </c>
      <c r="B129" s="318">
        <v>1.2811785623571248</v>
      </c>
      <c r="C129" s="319">
        <v>0.16</v>
      </c>
      <c r="D129" s="319">
        <v>0</v>
      </c>
      <c r="E129" s="318">
        <v>0.25</v>
      </c>
      <c r="F129" s="318">
        <v>0.49249999999999999</v>
      </c>
      <c r="G129" s="318">
        <v>0.35780000000000001</v>
      </c>
      <c r="H129" s="320">
        <v>16.681593270259139</v>
      </c>
      <c r="I129" s="321">
        <v>691951.30059363274</v>
      </c>
      <c r="J129" s="321">
        <v>23689722.908686247</v>
      </c>
      <c r="K129" s="322">
        <v>175855044.44087556</v>
      </c>
      <c r="L129" s="322">
        <v>543766.85724921024</v>
      </c>
      <c r="M129" s="323">
        <v>2.3638269206409808</v>
      </c>
    </row>
    <row r="131" spans="1:13">
      <c r="B131" s="18" t="s">
        <v>350</v>
      </c>
      <c r="C131" s="199"/>
      <c r="D131" t="s">
        <v>351</v>
      </c>
      <c r="H131" t="s">
        <v>407</v>
      </c>
    </row>
    <row r="133" spans="1:13">
      <c r="A133" t="s">
        <v>369</v>
      </c>
    </row>
    <row r="134" spans="1:13">
      <c r="A134" s="184"/>
      <c r="B134" s="230" t="s">
        <v>364</v>
      </c>
      <c r="C134" s="352" t="s">
        <v>408</v>
      </c>
      <c r="D134" s="189"/>
    </row>
    <row r="135" spans="1:13" ht="12">
      <c r="A135" s="192" t="s">
        <v>87</v>
      </c>
      <c r="B135" s="233" t="s">
        <v>367</v>
      </c>
      <c r="C135" s="225"/>
      <c r="D135" s="226"/>
    </row>
    <row r="136" spans="1:13">
      <c r="A136" s="236">
        <f t="shared" ref="A136:A141" si="0">A124</f>
        <v>0.05</v>
      </c>
      <c r="B136" s="256">
        <v>10.5</v>
      </c>
      <c r="C136" s="324"/>
      <c r="D136" s="342">
        <v>1</v>
      </c>
    </row>
    <row r="137" spans="1:13">
      <c r="A137" s="241">
        <f t="shared" si="0"/>
        <v>7.0000000000000007E-2</v>
      </c>
      <c r="B137" s="257">
        <v>10.5</v>
      </c>
      <c r="C137" s="325"/>
      <c r="D137" s="344">
        <v>1</v>
      </c>
    </row>
    <row r="138" spans="1:13">
      <c r="A138" s="241">
        <f t="shared" si="0"/>
        <v>0.25</v>
      </c>
      <c r="B138" s="327">
        <v>10.5</v>
      </c>
      <c r="C138" s="353"/>
      <c r="D138" s="344">
        <v>2</v>
      </c>
    </row>
    <row r="139" spans="1:13">
      <c r="A139" s="241">
        <f t="shared" si="0"/>
        <v>0.5</v>
      </c>
      <c r="B139" s="327">
        <v>2.5</v>
      </c>
      <c r="C139" s="325"/>
      <c r="D139" s="344">
        <v>2.5</v>
      </c>
    </row>
    <row r="140" spans="1:13">
      <c r="A140" s="241">
        <f t="shared" si="0"/>
        <v>0.75</v>
      </c>
      <c r="B140" s="327">
        <v>0</v>
      </c>
      <c r="C140" s="325"/>
      <c r="D140" s="344">
        <v>3</v>
      </c>
    </row>
    <row r="141" spans="1:13">
      <c r="A141" s="247">
        <f t="shared" si="0"/>
        <v>1</v>
      </c>
      <c r="B141" s="328">
        <v>-0.6</v>
      </c>
      <c r="C141" s="326"/>
      <c r="D141" s="354">
        <v>4</v>
      </c>
    </row>
    <row r="143" spans="1:13" ht="12">
      <c r="A143" s="337" t="s">
        <v>400</v>
      </c>
      <c r="B143" s="338" t="s">
        <v>401</v>
      </c>
      <c r="C143" s="339"/>
    </row>
    <row r="144" spans="1:13">
      <c r="A144" s="340">
        <v>1</v>
      </c>
      <c r="B144" s="341"/>
      <c r="C144" s="342" t="s">
        <v>379</v>
      </c>
      <c r="E144" s="355"/>
    </row>
    <row r="145" spans="1:7">
      <c r="A145" s="340">
        <v>2</v>
      </c>
      <c r="B145" s="343"/>
      <c r="C145" s="344" t="s">
        <v>409</v>
      </c>
      <c r="E145" s="347" t="s">
        <v>410</v>
      </c>
      <c r="F145" s="348"/>
      <c r="G145" s="348"/>
    </row>
    <row r="146" spans="1:7">
      <c r="A146" s="340">
        <v>3</v>
      </c>
      <c r="B146" s="343"/>
      <c r="C146" s="344" t="s">
        <v>411</v>
      </c>
      <c r="E146" s="347" t="s">
        <v>410</v>
      </c>
      <c r="F146" s="348"/>
      <c r="G146" s="348"/>
    </row>
    <row r="147" spans="1:7">
      <c r="A147" s="345">
        <v>4</v>
      </c>
      <c r="B147" s="356"/>
      <c r="C147" s="354" t="s">
        <v>412</v>
      </c>
      <c r="E147" s="347" t="s">
        <v>410</v>
      </c>
      <c r="F147" s="348"/>
      <c r="G147" s="348"/>
    </row>
    <row r="148" spans="1:7" ht="12" thickBot="1"/>
    <row r="149" spans="1:7" ht="12" thickBot="1">
      <c r="A149" s="388" t="s">
        <v>402</v>
      </c>
      <c r="B149" s="390"/>
      <c r="C149" s="391"/>
      <c r="E149" s="347" t="s">
        <v>403</v>
      </c>
      <c r="F149" s="348"/>
    </row>
    <row r="150" spans="1:7" ht="12" thickBot="1">
      <c r="A150" s="357" t="s">
        <v>35</v>
      </c>
      <c r="B150" s="358" t="s">
        <v>36</v>
      </c>
      <c r="C150" s="358" t="s">
        <v>37</v>
      </c>
      <c r="E150" s="347" t="s">
        <v>403</v>
      </c>
      <c r="F150" s="348"/>
    </row>
    <row r="151" spans="1:7" ht="12" thickBot="1">
      <c r="A151" s="359">
        <v>3.882E-2</v>
      </c>
      <c r="B151" s="360">
        <v>3.882E-2</v>
      </c>
      <c r="C151" s="361">
        <v>5.8999999999999997E-2</v>
      </c>
      <c r="E151" s="347" t="s">
        <v>403</v>
      </c>
      <c r="F151" s="348"/>
    </row>
    <row r="152" spans="1:7" ht="12" thickBot="1"/>
    <row r="153" spans="1:7" ht="12" thickBot="1">
      <c r="A153" s="388" t="s">
        <v>413</v>
      </c>
      <c r="B153" s="389"/>
      <c r="C153" s="362"/>
      <c r="E153" s="347" t="s">
        <v>403</v>
      </c>
      <c r="F153" s="348"/>
    </row>
    <row r="154" spans="1:7">
      <c r="A154" s="363" t="s">
        <v>50</v>
      </c>
      <c r="B154" s="364">
        <v>3.4349999999999999E-2</v>
      </c>
      <c r="C154" s="365"/>
      <c r="E154" s="347" t="s">
        <v>403</v>
      </c>
      <c r="F154" s="348"/>
    </row>
    <row r="155" spans="1:7">
      <c r="A155" s="366" t="s">
        <v>51</v>
      </c>
      <c r="B155" s="367">
        <v>3.4349999999999999E-2</v>
      </c>
      <c r="C155" s="368"/>
      <c r="E155" s="347" t="s">
        <v>403</v>
      </c>
      <c r="F155" s="348"/>
    </row>
    <row r="156" spans="1:7">
      <c r="A156" s="369" t="s">
        <v>52</v>
      </c>
      <c r="B156" s="367">
        <v>3.4349999999999999E-2</v>
      </c>
      <c r="E156" s="347" t="s">
        <v>403</v>
      </c>
      <c r="F156" s="348"/>
    </row>
    <row r="157" spans="1:7" ht="12" thickBot="1">
      <c r="A157" s="370" t="s">
        <v>53</v>
      </c>
      <c r="B157" s="371">
        <v>3.4349999999999999E-2</v>
      </c>
      <c r="E157" s="347" t="s">
        <v>403</v>
      </c>
      <c r="F157" s="348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B1" workbookViewId="0">
      <selection activeCell="H7" sqref="H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119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116.73099999999999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8.0020000000000007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3.7</v>
      </c>
      <c r="D8" t="s">
        <v>85</v>
      </c>
    </row>
    <row r="9" spans="2:15">
      <c r="B9" t="s">
        <v>99</v>
      </c>
      <c r="C9" s="154">
        <f>'Main Page'!B50</f>
        <v>26.1</v>
      </c>
      <c r="D9" t="s">
        <v>97</v>
      </c>
      <c r="F9" s="331"/>
    </row>
    <row r="10" spans="2:15">
      <c r="B10" t="s">
        <v>100</v>
      </c>
      <c r="C10" s="154">
        <f>'Main Page'!B48</f>
        <v>11.9</v>
      </c>
      <c r="D10" t="s">
        <v>97</v>
      </c>
      <c r="F10" s="331"/>
    </row>
    <row r="11" spans="2:15">
      <c r="B11" t="s">
        <v>387</v>
      </c>
      <c r="C11" s="331">
        <f>'Main Page'!B51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382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8.0020000000000007</v>
      </c>
      <c r="E15" s="156">
        <f>C$9-(C$9-C$10)*C15/C$6</f>
        <v>26.1</v>
      </c>
      <c r="F15" s="154">
        <f>PI()*D15*E15/1000</f>
        <v>0.65612853720606634</v>
      </c>
      <c r="G15" s="156">
        <f>F15*F$5*(1+C$11/1000)</f>
        <v>5176.3620621529581</v>
      </c>
      <c r="H15" s="157">
        <f t="shared" ref="H15:H24" si="0">F15*F$6</f>
        <v>131225707441.21327</v>
      </c>
      <c r="I15" s="154">
        <f t="shared" ref="I15:I24" si="1">F15*D15^2/4</f>
        <v>10.503306279723249</v>
      </c>
      <c r="J15" s="156">
        <f t="shared" ref="J15:J24" si="2">I15*F$5</f>
        <v>82450.954295827512</v>
      </c>
      <c r="K15" s="157">
        <f t="shared" ref="K15:K24" si="3">I15*F$7</f>
        <v>807946636901.78833</v>
      </c>
      <c r="L15" s="154">
        <f>I15/2</f>
        <v>5.2516531398616246</v>
      </c>
      <c r="M15" s="156">
        <f>J15/2</f>
        <v>41225.477147913756</v>
      </c>
      <c r="N15" s="157">
        <f t="shared" ref="N15:N24" si="4">L15*F$6</f>
        <v>1050330627972.325</v>
      </c>
      <c r="O15" s="334">
        <f>G15*(C16-C15)/2</f>
        <v>33568.995548732055</v>
      </c>
    </row>
    <row r="16" spans="2:15">
      <c r="B16">
        <f>B15+1</f>
        <v>1</v>
      </c>
      <c r="C16" s="154">
        <f t="shared" ref="C16:C24" si="5">C$6/B$24*B16</f>
        <v>12.970111111111111</v>
      </c>
      <c r="D16" s="155">
        <f t="shared" ref="D16:D24" si="6">C$7-(C$7-C$8)*C16/C$6</f>
        <v>7.5240000000000009</v>
      </c>
      <c r="E16" s="156">
        <f t="shared" ref="E16:E24" si="7">C$9-(C$9-C$10)*C16/C$6</f>
        <v>24.522222222222222</v>
      </c>
      <c r="F16" s="154">
        <f t="shared" ref="F16:F24" si="8">PI()*D16*E16/1000</f>
        <v>0.57964018086911562</v>
      </c>
      <c r="G16" s="156">
        <f t="shared" ref="G16:G24" si="9">F16*F$5*(1+C$11/1000)</f>
        <v>4572.9262969216697</v>
      </c>
      <c r="H16" s="157">
        <f t="shared" si="0"/>
        <v>115928036173.82312</v>
      </c>
      <c r="I16" s="154">
        <f t="shared" si="1"/>
        <v>8.2034411279362054</v>
      </c>
      <c r="J16" s="156">
        <f t="shared" si="2"/>
        <v>64397.01285429921</v>
      </c>
      <c r="K16" s="157">
        <f t="shared" si="3"/>
        <v>631033932918.16956</v>
      </c>
      <c r="L16" s="154">
        <f t="shared" ref="L16:L24" si="10">I16/2</f>
        <v>4.1017205639681027</v>
      </c>
      <c r="M16" s="156">
        <f t="shared" ref="M16:M24" si="11">J16/2</f>
        <v>32198.506427149605</v>
      </c>
      <c r="N16" s="157">
        <f t="shared" si="4"/>
        <v>820344112793.62048</v>
      </c>
      <c r="O16" s="334">
        <f>G16*(C17-C15)/2</f>
        <v>59311.362173995934</v>
      </c>
    </row>
    <row r="17" spans="2:15">
      <c r="B17">
        <f t="shared" ref="B17:B24" si="12">B16+1</f>
        <v>2</v>
      </c>
      <c r="C17" s="154">
        <f t="shared" si="5"/>
        <v>25.940222222222221</v>
      </c>
      <c r="D17" s="155">
        <f t="shared" si="6"/>
        <v>7.0460000000000003</v>
      </c>
      <c r="E17" s="156">
        <f t="shared" si="7"/>
        <v>22.944444444444446</v>
      </c>
      <c r="F17" s="154">
        <f t="shared" si="8"/>
        <v>0.50789046326449949</v>
      </c>
      <c r="G17" s="156">
        <f t="shared" si="9"/>
        <v>4006.8748373094522</v>
      </c>
      <c r="H17" s="157">
        <f t="shared" si="0"/>
        <v>101578092652.8999</v>
      </c>
      <c r="I17" s="154">
        <f t="shared" si="1"/>
        <v>6.3036972136307705</v>
      </c>
      <c r="J17" s="156">
        <f t="shared" si="2"/>
        <v>49484.02312700155</v>
      </c>
      <c r="K17" s="157">
        <f t="shared" si="3"/>
        <v>484899785663.9054</v>
      </c>
      <c r="L17" s="154">
        <f t="shared" si="10"/>
        <v>3.1518486068153853</v>
      </c>
      <c r="M17" s="156">
        <f t="shared" si="11"/>
        <v>24742.011563500775</v>
      </c>
      <c r="N17" s="157">
        <f t="shared" si="4"/>
        <v>630369721363.07703</v>
      </c>
      <c r="O17" s="334">
        <f t="shared" ref="O17:O23" si="13">G17*(C18-C16)/2</f>
        <v>51969.611848218854</v>
      </c>
    </row>
    <row r="18" spans="2:15">
      <c r="B18">
        <f t="shared" si="12"/>
        <v>3</v>
      </c>
      <c r="C18" s="154">
        <f t="shared" si="5"/>
        <v>38.910333333333334</v>
      </c>
      <c r="D18" s="155">
        <f t="shared" si="6"/>
        <v>6.5680000000000005</v>
      </c>
      <c r="E18" s="156">
        <f t="shared" si="7"/>
        <v>21.366666666666667</v>
      </c>
      <c r="F18" s="154">
        <f t="shared" si="8"/>
        <v>0.44087938439221824</v>
      </c>
      <c r="G18" s="156">
        <f t="shared" si="9"/>
        <v>3478.2076833163073</v>
      </c>
      <c r="H18" s="157">
        <f t="shared" si="0"/>
        <v>88175876878.443649</v>
      </c>
      <c r="I18" s="154">
        <f t="shared" si="1"/>
        <v>4.754732498161844</v>
      </c>
      <c r="J18" s="156">
        <f t="shared" si="2"/>
        <v>37324.650110570474</v>
      </c>
      <c r="K18" s="157">
        <f t="shared" si="3"/>
        <v>365748653704.7572</v>
      </c>
      <c r="L18" s="154">
        <f t="shared" si="10"/>
        <v>2.377366249080922</v>
      </c>
      <c r="M18" s="156">
        <f t="shared" si="11"/>
        <v>18662.325055285237</v>
      </c>
      <c r="N18" s="157">
        <f t="shared" si="4"/>
        <v>475473249816.18439</v>
      </c>
      <c r="O18" s="334">
        <f t="shared" si="13"/>
        <v>45112.740120132876</v>
      </c>
    </row>
    <row r="19" spans="2:15">
      <c r="B19">
        <f t="shared" si="12"/>
        <v>4</v>
      </c>
      <c r="C19" s="154">
        <f t="shared" si="5"/>
        <v>51.880444444444443</v>
      </c>
      <c r="D19" s="155">
        <f t="shared" si="6"/>
        <v>6.09</v>
      </c>
      <c r="E19" s="156">
        <f t="shared" si="7"/>
        <v>19.788888888888891</v>
      </c>
      <c r="F19" s="154">
        <f t="shared" si="8"/>
        <v>0.37860694425227159</v>
      </c>
      <c r="G19" s="156">
        <f t="shared" si="9"/>
        <v>2986.9248349422332</v>
      </c>
      <c r="H19" s="157">
        <f t="shared" si="0"/>
        <v>75721388850.454315</v>
      </c>
      <c r="I19" s="154">
        <f t="shared" si="1"/>
        <v>3.5104530522806683</v>
      </c>
      <c r="J19" s="156">
        <f t="shared" si="2"/>
        <v>27557.056460403244</v>
      </c>
      <c r="K19" s="157">
        <f t="shared" si="3"/>
        <v>270034850175.436</v>
      </c>
      <c r="L19" s="154">
        <f t="shared" si="10"/>
        <v>1.7552265261403341</v>
      </c>
      <c r="M19" s="156">
        <f t="shared" si="11"/>
        <v>13778.528230201622</v>
      </c>
      <c r="N19" s="157">
        <f t="shared" si="4"/>
        <v>351045305228.06683</v>
      </c>
      <c r="O19" s="334">
        <f t="shared" si="13"/>
        <v>38740.746989737985</v>
      </c>
    </row>
    <row r="20" spans="2:15">
      <c r="B20">
        <f t="shared" si="12"/>
        <v>5</v>
      </c>
      <c r="C20" s="154">
        <f t="shared" si="5"/>
        <v>64.850555555555559</v>
      </c>
      <c r="D20" s="155">
        <f t="shared" si="6"/>
        <v>5.6120000000000001</v>
      </c>
      <c r="E20" s="156">
        <f t="shared" si="7"/>
        <v>18.211111111111109</v>
      </c>
      <c r="F20" s="154">
        <f t="shared" si="8"/>
        <v>0.3210731428446596</v>
      </c>
      <c r="G20" s="156">
        <f t="shared" si="9"/>
        <v>2533.0262921872304</v>
      </c>
      <c r="H20" s="157">
        <f t="shared" si="0"/>
        <v>64214628568.931923</v>
      </c>
      <c r="I20" s="154">
        <f t="shared" si="1"/>
        <v>2.5280130561348542</v>
      </c>
      <c r="J20" s="156">
        <f t="shared" si="2"/>
        <v>19844.902490658606</v>
      </c>
      <c r="K20" s="157">
        <f t="shared" si="3"/>
        <v>194462542779.60416</v>
      </c>
      <c r="L20" s="154">
        <f t="shared" si="10"/>
        <v>1.2640065280674271</v>
      </c>
      <c r="M20" s="156">
        <f t="shared" si="11"/>
        <v>9922.4512453293028</v>
      </c>
      <c r="N20" s="157">
        <f t="shared" si="4"/>
        <v>252801305613.48541</v>
      </c>
      <c r="O20" s="334">
        <f t="shared" si="13"/>
        <v>32853.632457034182</v>
      </c>
    </row>
    <row r="21" spans="2:15">
      <c r="B21">
        <f t="shared" si="12"/>
        <v>6</v>
      </c>
      <c r="C21" s="154">
        <f t="shared" si="5"/>
        <v>77.820666666666668</v>
      </c>
      <c r="D21" s="155">
        <f t="shared" si="6"/>
        <v>5.1340000000000003</v>
      </c>
      <c r="E21" s="156">
        <f t="shared" si="7"/>
        <v>16.633333333333333</v>
      </c>
      <c r="F21" s="154">
        <f t="shared" si="8"/>
        <v>0.26827798016938231</v>
      </c>
      <c r="G21" s="156">
        <f t="shared" si="9"/>
        <v>2116.5120550512988</v>
      </c>
      <c r="H21" s="157">
        <f t="shared" si="0"/>
        <v>53655596033.876465</v>
      </c>
      <c r="I21" s="154">
        <f t="shared" si="1"/>
        <v>1.7678147992683633</v>
      </c>
      <c r="J21" s="156">
        <f t="shared" si="2"/>
        <v>13877.346174256652</v>
      </c>
      <c r="K21" s="157">
        <f t="shared" si="3"/>
        <v>135985753789.87408</v>
      </c>
      <c r="L21" s="154">
        <f t="shared" si="10"/>
        <v>0.88390739963418163</v>
      </c>
      <c r="M21" s="156">
        <f t="shared" si="11"/>
        <v>6938.6730871283262</v>
      </c>
      <c r="N21" s="157">
        <f t="shared" si="4"/>
        <v>176781479926.83633</v>
      </c>
      <c r="O21" s="334">
        <f t="shared" si="13"/>
        <v>27451.39652202146</v>
      </c>
    </row>
    <row r="22" spans="2:15">
      <c r="B22">
        <f t="shared" si="12"/>
        <v>7</v>
      </c>
      <c r="C22" s="154">
        <f t="shared" si="5"/>
        <v>90.790777777777777</v>
      </c>
      <c r="D22" s="155">
        <f t="shared" si="6"/>
        <v>4.6560000000000006</v>
      </c>
      <c r="E22" s="156">
        <f t="shared" si="7"/>
        <v>15.055555555555555</v>
      </c>
      <c r="F22" s="154">
        <f t="shared" si="8"/>
        <v>0.22022145622643974</v>
      </c>
      <c r="G22" s="156">
        <f t="shared" si="9"/>
        <v>1737.3821235344394</v>
      </c>
      <c r="H22" s="157">
        <f t="shared" si="0"/>
        <v>44044291245.287949</v>
      </c>
      <c r="I22" s="154">
        <f t="shared" si="1"/>
        <v>1.1935086806215134</v>
      </c>
      <c r="J22" s="156">
        <f t="shared" si="2"/>
        <v>9369.0431428788797</v>
      </c>
      <c r="K22" s="157">
        <f t="shared" si="3"/>
        <v>91808360047.808716</v>
      </c>
      <c r="L22" s="154">
        <f t="shared" si="10"/>
        <v>0.59675434031075669</v>
      </c>
      <c r="M22" s="156">
        <f t="shared" si="11"/>
        <v>4684.5215714394399</v>
      </c>
      <c r="N22" s="157">
        <f t="shared" si="4"/>
        <v>119350868062.15134</v>
      </c>
      <c r="O22" s="334">
        <f t="shared" si="13"/>
        <v>22534.039184699846</v>
      </c>
    </row>
    <row r="23" spans="2:15">
      <c r="B23">
        <f t="shared" si="12"/>
        <v>8</v>
      </c>
      <c r="C23" s="154">
        <f t="shared" si="5"/>
        <v>103.76088888888889</v>
      </c>
      <c r="D23" s="155">
        <f t="shared" si="6"/>
        <v>4.1779999999999999</v>
      </c>
      <c r="E23" s="156">
        <f t="shared" si="7"/>
        <v>13.477777777777778</v>
      </c>
      <c r="F23" s="154">
        <f t="shared" si="8"/>
        <v>0.17690357101583179</v>
      </c>
      <c r="G23" s="156">
        <f t="shared" si="9"/>
        <v>1395.6364976366508</v>
      </c>
      <c r="H23" s="157">
        <f t="shared" si="0"/>
        <v>35380714203.166359</v>
      </c>
      <c r="I23" s="154">
        <f t="shared" si="1"/>
        <v>0.77199320853097964</v>
      </c>
      <c r="J23" s="156">
        <f t="shared" si="2"/>
        <v>6060.1466869681899</v>
      </c>
      <c r="K23" s="157">
        <f t="shared" si="3"/>
        <v>59384092963.921509</v>
      </c>
      <c r="L23" s="154">
        <f t="shared" si="10"/>
        <v>0.38599660426548982</v>
      </c>
      <c r="M23" s="156">
        <f t="shared" si="11"/>
        <v>3030.0733434840949</v>
      </c>
      <c r="N23" s="157">
        <f t="shared" si="4"/>
        <v>77199320853.097961</v>
      </c>
      <c r="O23" s="334">
        <f t="shared" si="13"/>
        <v>18101.560445069317</v>
      </c>
    </row>
    <row r="24" spans="2:15">
      <c r="B24">
        <f t="shared" si="12"/>
        <v>9</v>
      </c>
      <c r="C24" s="154">
        <f t="shared" si="5"/>
        <v>116.73099999999999</v>
      </c>
      <c r="D24" s="155">
        <f t="shared" si="6"/>
        <v>3.7</v>
      </c>
      <c r="E24" s="156">
        <f t="shared" si="7"/>
        <v>11.9</v>
      </c>
      <c r="F24" s="154">
        <f t="shared" si="8"/>
        <v>0.13832432453755861</v>
      </c>
      <c r="G24" s="156">
        <f t="shared" si="9"/>
        <v>1091.2751773579341</v>
      </c>
      <c r="H24" s="157">
        <f t="shared" si="0"/>
        <v>27664864907.511723</v>
      </c>
      <c r="I24" s="154">
        <f t="shared" si="1"/>
        <v>0.47341500072979437</v>
      </c>
      <c r="J24" s="156">
        <f t="shared" si="2"/>
        <v>3716.3077557288857</v>
      </c>
      <c r="K24" s="157">
        <f t="shared" si="3"/>
        <v>36416538517.676491</v>
      </c>
      <c r="L24" s="154">
        <f t="shared" si="10"/>
        <v>0.23670750036489718</v>
      </c>
      <c r="M24" s="156">
        <f t="shared" si="11"/>
        <v>1858.1538778644428</v>
      </c>
      <c r="N24" s="157">
        <f t="shared" si="4"/>
        <v>47341500072.979439</v>
      </c>
      <c r="O24" s="334">
        <f>G24*(C24-C23)/2</f>
        <v>7076.9801515649433</v>
      </c>
    </row>
    <row r="25" spans="2:15">
      <c r="O25" s="334"/>
    </row>
    <row r="26" spans="2:15">
      <c r="O26" s="334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171</v>
      </c>
      <c r="C1" s="127">
        <f>'Main Page'!B13</f>
        <v>99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4.95</v>
      </c>
      <c r="F5" s="132">
        <f>'Main Page'!B59</f>
        <v>8.295000000000001E-2</v>
      </c>
      <c r="G5" s="131"/>
      <c r="H5" s="135">
        <f>'Main Page'!B60</f>
        <v>7850</v>
      </c>
      <c r="I5" s="136">
        <f>H5*F5*PI()*E5^2</f>
        <v>50124.068828128278</v>
      </c>
      <c r="J5" s="132">
        <f>'Main Page'!B61</f>
        <v>-4.6500000000000004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197987.08806417006</v>
      </c>
      <c r="N5" s="160">
        <f>M5</f>
        <v>197987.08806417006</v>
      </c>
      <c r="O5" s="160">
        <f>M5</f>
        <v>197987.08806417006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11546.5581</v>
      </c>
      <c r="J6" s="132">
        <f>'Main Page'!B61</f>
        <v>-4.6500000000000004</v>
      </c>
      <c r="K6" s="132">
        <f>'Main Page'!B62</f>
        <v>0</v>
      </c>
      <c r="L6" s="132">
        <f>'Main Page'!B63</f>
        <v>0</v>
      </c>
      <c r="M6" s="160">
        <f>I6*E5^2/4</f>
        <v>70729.884961312506</v>
      </c>
      <c r="N6" s="160">
        <f>M6</f>
        <v>70729.884961312506</v>
      </c>
      <c r="O6" s="160">
        <f>N6</f>
        <v>70729.884961312506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Page'!B66</f>
        <v>2.79</v>
      </c>
      <c r="D7" s="132">
        <f>'Main Page'!B68</f>
        <v>0.4</v>
      </c>
      <c r="E7" s="132">
        <f>'Main Page'!B67</f>
        <v>0.8</v>
      </c>
      <c r="F7" s="131"/>
      <c r="G7" s="136"/>
      <c r="H7" s="135">
        <f>'Main Page'!B69</f>
        <v>7850</v>
      </c>
      <c r="I7" s="136">
        <f>0.25*PI()*(E7^2-D7^2)*H7*C7</f>
        <v>8256.6709803116246</v>
      </c>
      <c r="J7" s="132">
        <f>0.5*('Main Page'!B74+'Main Page'!B77)</f>
        <v>-2.0924999999999998</v>
      </c>
      <c r="K7" s="132">
        <f>'Main Page'!B70</f>
        <v>0</v>
      </c>
      <c r="L7" s="132">
        <f>'Main Page'!B71</f>
        <v>0</v>
      </c>
      <c r="M7" s="160">
        <f>I7*(E7^2+D7^2)/8</f>
        <v>825.6670980311626</v>
      </c>
      <c r="N7" s="160">
        <f>I7*(E7^2+D7^2+4*C7^2/3)/16</f>
        <v>5768.7295971692247</v>
      </c>
      <c r="O7" s="160">
        <f>I7*(E7^2+D7^2+4*C7^2/3)/16</f>
        <v>5768.7295971692247</v>
      </c>
      <c r="P7" s="160">
        <f>$I7*((K7-K$15)^2+(L7-L$15)^2)</f>
        <v>0</v>
      </c>
      <c r="Q7" s="160">
        <f>$I7*((L7-L$15)^2+(J7-J$15)^2)</f>
        <v>7523.2418950775209</v>
      </c>
      <c r="R7" s="160">
        <f>$I7*((J7-J$15)^2+(K7-K$15)^2)</f>
        <v>7523.2418950775209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0.8</v>
      </c>
      <c r="F8" s="131"/>
      <c r="G8" s="131"/>
      <c r="H8" s="138"/>
      <c r="I8" s="136">
        <f>0.00002613*(1000*E7)^2.77</f>
        <v>2875.4026833817952</v>
      </c>
      <c r="J8" s="132">
        <f>'Main Page'!B74</f>
        <v>-3.2549999999999999</v>
      </c>
      <c r="K8" s="132">
        <f>'Main Page'!B75</f>
        <v>0</v>
      </c>
      <c r="L8" s="132">
        <f>'Main Page'!B76</f>
        <v>0</v>
      </c>
      <c r="M8" s="160">
        <f>I8*D8^2/4</f>
        <v>460.0644293410873</v>
      </c>
      <c r="N8" s="160">
        <f>M8/2</f>
        <v>230.03221467054365</v>
      </c>
      <c r="O8" s="160">
        <f>M8/2</f>
        <v>230.03221467054365</v>
      </c>
      <c r="P8" s="160">
        <f>$I8*((K8-K$15)^2+(L8-L$15)^2)</f>
        <v>0</v>
      </c>
      <c r="Q8" s="160">
        <f>$I8*((L8-L$15)^2+(J8-J$15)^2)</f>
        <v>12887.305207171907</v>
      </c>
      <c r="R8" s="160">
        <f>$I8*((J8-J$15)^2+(K8-K$15)^2)</f>
        <v>12887.305207171907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0.8</v>
      </c>
      <c r="F9" s="131"/>
      <c r="G9" s="131"/>
      <c r="H9" s="138"/>
      <c r="I9" s="136">
        <f>0.00002613*(1000*E7)^2.77</f>
        <v>2875.4026833817952</v>
      </c>
      <c r="J9" s="132">
        <f>'Main Page'!B77</f>
        <v>-0.93</v>
      </c>
      <c r="K9" s="132">
        <f>'Main Page'!B78</f>
        <v>0</v>
      </c>
      <c r="L9" s="132">
        <f>'Main Page'!B79</f>
        <v>0</v>
      </c>
      <c r="M9" s="160">
        <f>I9*D9^2/4</f>
        <v>460.0644293410873</v>
      </c>
      <c r="N9" s="160">
        <f>M9/2</f>
        <v>230.03221467054365</v>
      </c>
      <c r="O9" s="160">
        <f>M9/2</f>
        <v>230.03221467054365</v>
      </c>
      <c r="P9" s="160">
        <f>$I9*((K9-K$15)^2+(L9-L$15)^2)</f>
        <v>0</v>
      </c>
      <c r="Q9" s="160">
        <f>$I9*((L9-L$15)^2+(J9-J$15)^2)</f>
        <v>124.33809415532866</v>
      </c>
      <c r="R9" s="160">
        <f>$I9*((J9-J$15)^2+(K9-K$15)^2)</f>
        <v>124.33809415532866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1.1879999999999999</v>
      </c>
      <c r="D10" s="131"/>
      <c r="E10" s="131">
        <f>D24</f>
        <v>1.11375</v>
      </c>
      <c r="F10" s="128"/>
      <c r="G10" s="128"/>
      <c r="H10" s="137"/>
      <c r="I10" s="136">
        <f>'Main Page'!B82/2</f>
        <v>11750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1821.8948730468751</v>
      </c>
      <c r="N10" s="160">
        <f>I10*(3*E10^2/4+C10^2)/12</f>
        <v>2292.8884365234376</v>
      </c>
      <c r="O10" s="160">
        <f>I10*(3*E10^2/4+C10^2)/12</f>
        <v>2292.8884365234376</v>
      </c>
      <c r="P10" s="160">
        <f>$I10*((K10-K$15)^2+(L10-L$15)^2)</f>
        <v>0</v>
      </c>
      <c r="Q10" s="160">
        <f>$I10*((L10-L$15)^2+(J10-J$15)^2)</f>
        <v>15215.351023959049</v>
      </c>
      <c r="R10" s="160">
        <f>$I10*((J10-J$15)^2+(K10-K$15)^2)</f>
        <v>15215.351023959049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2.3759999999999999</v>
      </c>
      <c r="D11" s="128"/>
      <c r="E11" s="128"/>
      <c r="F11" s="128"/>
      <c r="G11" s="128"/>
      <c r="H11" s="137"/>
      <c r="I11" s="139">
        <f>(3.3*'Main Page'!B92+471)/3</f>
        <v>3457</v>
      </c>
      <c r="J11" s="132">
        <f>'Main Page'!B93</f>
        <v>1.163</v>
      </c>
      <c r="K11" s="132">
        <f>'Main Page'!B94</f>
        <v>0</v>
      </c>
      <c r="L11" s="132">
        <f>'Main Page'!B95</f>
        <v>0</v>
      </c>
      <c r="M11" s="160">
        <f>0.0000486*C1^5.333</f>
        <v>2134807.7072140705</v>
      </c>
      <c r="N11" s="160">
        <f>M11/2/('Main Page'!B88^2)+I11*C11^2/12</f>
        <v>1695.3053094822067</v>
      </c>
      <c r="O11" s="160">
        <f>N11</f>
        <v>1695.3053094822067</v>
      </c>
      <c r="P11" s="160">
        <f>$I11*((K11-K$16)^2+(L11-L$16)^2)</f>
        <v>0</v>
      </c>
      <c r="Q11" s="160">
        <f>$I11*((L11-L$16)^2+(J11-J$16)^2)</f>
        <v>25.337782134743513</v>
      </c>
      <c r="R11" s="160">
        <f>$I11*((J11-J$16)^2+(K11-K$16)^2)</f>
        <v>25.337782134743513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1.2000000000000002</v>
      </c>
      <c r="F12" s="131"/>
      <c r="G12" s="131"/>
      <c r="H12" s="169">
        <v>7850</v>
      </c>
      <c r="I12" s="139">
        <f>1.5*0.025*1000*'Main Page'!B92/0.10472/C2</f>
        <v>596.82964094728811</v>
      </c>
      <c r="J12" s="132">
        <f>0.5*(J10+J11)</f>
        <v>0.58150000000000002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618336.183703296</v>
      </c>
      <c r="N12" s="160">
        <f>I12*(3*E12^2/4+C12^2)/12</f>
        <v>53.745752562388617</v>
      </c>
      <c r="O12" s="160">
        <f>I12*(3*E12^2/4+C12^2)/12</f>
        <v>53.745752562388617</v>
      </c>
      <c r="P12" s="160">
        <f>$I12*((K12-K$16)^2+(L12-L$16)^2)</f>
        <v>0</v>
      </c>
      <c r="Q12" s="160">
        <f>$I12*((L12-L$16)^2+(J12-J$16)^2)</f>
        <v>146.76334221735556</v>
      </c>
      <c r="R12" s="160">
        <f>$I12*((J12-J$16)^2+(K12-K$16)^2)</f>
        <v>146.76334221735556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61670.62692812828</v>
      </c>
      <c r="J14" s="132">
        <f>SUMPRODUCT($I5:$I6,J5:J6)/SUM($I5:$I6)</f>
        <v>-4.6500000000000004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268716.97302548256</v>
      </c>
      <c r="N14" s="161">
        <f>N5+N6+Q5+Q6</f>
        <v>268716.97302548256</v>
      </c>
      <c r="O14" s="161">
        <f>O5+O6+R5+R6</f>
        <v>268716.97302548256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25757.476347075215</v>
      </c>
      <c r="J15" s="132">
        <f>SUMPRODUCT($I7:$I10,J7:J10)/SUM($I7:$I10)</f>
        <v>-1.1379470512289973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3567.6908297602122</v>
      </c>
      <c r="N15" s="160">
        <f>SUM(N7:N10,Q7:Q10)</f>
        <v>44271.918683397555</v>
      </c>
      <c r="O15" s="160">
        <f>SUM(O7:O10,R7:R10)</f>
        <v>44271.918683397555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4053.8296409472882</v>
      </c>
      <c r="J16" s="132">
        <f>SUMPRODUCT($I11:$I12,J11:J12)/SUM($I11:$I12)</f>
        <v>1.0773880066628185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2753143.8909173664</v>
      </c>
      <c r="N16" s="160">
        <f>SUM(N11:N12,Q11:Q12)</f>
        <v>1921.1521863966943</v>
      </c>
      <c r="O16" s="160">
        <f>SUM(O11:O12,R11:R12)</f>
        <v>1921.1521863966943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91481.932916150778</v>
      </c>
      <c r="J17" s="132">
        <f>SUMPRODUCT($I14:$I16,J14:J16)/SUM($I14:$I16)</f>
        <v>-3.4073559893137007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5" t="s">
        <v>240</v>
      </c>
      <c r="E19" s="405"/>
      <c r="F19" s="405"/>
      <c r="G19" s="405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Page'!B98</f>
        <v>3.2549999999999999</v>
      </c>
      <c r="D21" s="132">
        <f>'Main Page'!B99</f>
        <v>3.1392000000000002</v>
      </c>
      <c r="E21" s="132">
        <f>'Main Page'!B100</f>
        <v>1.732</v>
      </c>
      <c r="F21" s="132">
        <f>'Main Page'!B101</f>
        <v>0.3024</v>
      </c>
      <c r="G21" s="132">
        <f>'Main Page'!B102</f>
        <v>0.27400000000000002</v>
      </c>
      <c r="H21" s="136">
        <f>'Main Page'!B103</f>
        <v>7850</v>
      </c>
      <c r="I21" s="139">
        <f>1.5*H21*(0.00000042875*C1^3-(0.00030625*F21+0.00003675*D21+0.0000735*E21)*C1^2+(0.035*F21*D21+0.07*E21*F21)*C1)</f>
        <v>47675.780424483768</v>
      </c>
      <c r="J21" s="132">
        <f>'Main Page'!B104</f>
        <v>0</v>
      </c>
      <c r="K21" s="132">
        <f>'Main Page'!B105</f>
        <v>0</v>
      </c>
      <c r="L21" s="132">
        <f>'Main Page'!B106</f>
        <v>-1.135</v>
      </c>
      <c r="M21" s="160">
        <f>I21*(E21^2+D21^2)/8</f>
        <v>76605.447800122958</v>
      </c>
      <c r="N21" s="160">
        <f>I21*(E21^2+D21^2+4*C21^2/3)/16</f>
        <v>80396.564357721159</v>
      </c>
      <c r="O21" s="160">
        <f>I21*(E21^2+D21^2+4*C21^2/3)/16</f>
        <v>80396.564357721159</v>
      </c>
      <c r="P21" s="160">
        <f>$I21*((K21-K$30)^2+(L21-L$30)^2)</f>
        <v>17655.869663769867</v>
      </c>
      <c r="Q21" s="160">
        <f>$I21*((L21-L$30)^2+(J21-J$30)^2)</f>
        <v>17767.954799193485</v>
      </c>
      <c r="R21" s="160">
        <f>$I21*((J21-J$30)^2+(K21-K$30)^2)</f>
        <v>112.08513542361665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1.2000000000000002</v>
      </c>
      <c r="F22" s="133"/>
      <c r="G22" s="136"/>
      <c r="H22" s="133"/>
      <c r="I22" s="140">
        <f>0.00006744*(1000*E7)^2.64</f>
        <v>3112.254669968117</v>
      </c>
      <c r="J22" s="132">
        <f t="shared" ref="J22:L25" si="0">J8</f>
        <v>-3.2549999999999999</v>
      </c>
      <c r="K22" s="132">
        <f t="shared" si="0"/>
        <v>0</v>
      </c>
      <c r="L22" s="132">
        <f t="shared" si="0"/>
        <v>0</v>
      </c>
      <c r="M22" s="160">
        <f>I22*E22^2/4</f>
        <v>1120.4116811885224</v>
      </c>
      <c r="N22" s="160">
        <f>M22/2</f>
        <v>560.20584059426119</v>
      </c>
      <c r="O22" s="160">
        <f>M22/2</f>
        <v>560.20584059426119</v>
      </c>
      <c r="P22" s="160">
        <f t="shared" ref="P22:P28" si="1">$I22*((K22-K$30)^2+(L22-L$30)^2)</f>
        <v>862.56296914090944</v>
      </c>
      <c r="Q22" s="160">
        <f t="shared" ref="Q22:Q28" si="2">$I22*((L22-L$30)^2+(J22-J$30)^2)</f>
        <v>32861.912008874628</v>
      </c>
      <c r="R22" s="160">
        <f t="shared" ref="R22:R28" si="3">$I22*((J22-J$30)^2+(K22-K$30)^2)</f>
        <v>31999.349039733719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1.2000000000000002</v>
      </c>
      <c r="F23" s="133"/>
      <c r="G23" s="136"/>
      <c r="H23" s="133"/>
      <c r="I23" s="140">
        <f>0.00006744*(1000*E7)^2.64</f>
        <v>3112.254669968117</v>
      </c>
      <c r="J23" s="132">
        <f t="shared" si="0"/>
        <v>-0.93</v>
      </c>
      <c r="K23" s="132">
        <f t="shared" si="0"/>
        <v>0</v>
      </c>
      <c r="L23" s="132">
        <f t="shared" si="0"/>
        <v>0</v>
      </c>
      <c r="M23" s="160">
        <f>I23*E23^2/4</f>
        <v>1120.4116811885224</v>
      </c>
      <c r="N23" s="160">
        <f>M23/2</f>
        <v>560.20584059426119</v>
      </c>
      <c r="O23" s="160">
        <f>M23/2</f>
        <v>560.20584059426119</v>
      </c>
      <c r="P23" s="160">
        <f t="shared" si="1"/>
        <v>862.56296914090944</v>
      </c>
      <c r="Q23" s="160">
        <f t="shared" si="2"/>
        <v>3280.9877989059187</v>
      </c>
      <c r="R23" s="160">
        <f t="shared" si="3"/>
        <v>2418.4248297650092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1.1879999999999999</v>
      </c>
      <c r="D24" s="132">
        <f>0.75*E24</f>
        <v>1.11375</v>
      </c>
      <c r="E24" s="132">
        <f>0.015*C1</f>
        <v>1.4849999999999999</v>
      </c>
      <c r="F24" s="129"/>
      <c r="G24" s="130"/>
      <c r="H24" s="129"/>
      <c r="I24" s="140">
        <f>'Main Page'!B82/2</f>
        <v>11750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5060.8190917968741</v>
      </c>
      <c r="N24" s="160">
        <f>I24*(D24^2+E24^2+4*C24^2/3)/16</f>
        <v>3912.3505458984373</v>
      </c>
      <c r="O24" s="160">
        <f>I24*(E24^2+D24^2+4*C24^2/3)/16</f>
        <v>3912.3505458984373</v>
      </c>
      <c r="P24" s="160">
        <f t="shared" si="1"/>
        <v>3256.5184929128932</v>
      </c>
      <c r="Q24" s="160">
        <f t="shared" si="2"/>
        <v>3284.1425890367855</v>
      </c>
      <c r="R24" s="160">
        <f t="shared" si="3"/>
        <v>27.624096123891736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2.3759999999999999</v>
      </c>
      <c r="D25" s="132">
        <f>0.5*E25</f>
        <v>0.74249999999999994</v>
      </c>
      <c r="E25" s="132">
        <f>0.015*C1</f>
        <v>1.4849999999999999</v>
      </c>
      <c r="F25" s="129"/>
      <c r="G25" s="130"/>
      <c r="H25" s="129"/>
      <c r="I25" s="139">
        <f>2*(3.3*'Main Page'!B92+471)/3</f>
        <v>6914</v>
      </c>
      <c r="J25" s="132">
        <f t="shared" si="0"/>
        <v>1.163</v>
      </c>
      <c r="K25" s="132">
        <f t="shared" si="0"/>
        <v>0</v>
      </c>
      <c r="L25" s="132">
        <f t="shared" si="0"/>
        <v>0</v>
      </c>
      <c r="M25" s="160">
        <f>I25*(D25^2+E25^2)/8</f>
        <v>2382.3321328124994</v>
      </c>
      <c r="N25" s="160">
        <f>I25*(D25^2+E25^2+4*C25^2/3)/16</f>
        <v>4443.8435384062495</v>
      </c>
      <c r="O25" s="160">
        <f>I25*(E25^2+D25^2+4*C25^2/3)/16</f>
        <v>4443.8435384062495</v>
      </c>
      <c r="P25" s="160">
        <f t="shared" si="1"/>
        <v>1916.2186263829569</v>
      </c>
      <c r="Q25" s="160">
        <f t="shared" si="2"/>
        <v>12063.901228710105</v>
      </c>
      <c r="R25" s="160">
        <f t="shared" si="3"/>
        <v>10147.682602327146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6.51</v>
      </c>
      <c r="D26" s="132">
        <f>E21</f>
        <v>1.732</v>
      </c>
      <c r="E26" s="132">
        <f>D21</f>
        <v>3.1392000000000002</v>
      </c>
      <c r="F26" s="133"/>
      <c r="G26" s="136"/>
      <c r="H26" s="133"/>
      <c r="I26" s="140">
        <f>84.1*2*C26^2</f>
        <v>7128.3328199999996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11453.805745442627</v>
      </c>
      <c r="N26" s="160">
        <f>I26*(E26^2+D26^2+4*C26^2/3)/16</f>
        <v>30901.85768479481</v>
      </c>
      <c r="O26" s="160">
        <f>I26*(E26^2+D26^2+4*C26^2/3)/16</f>
        <v>30901.85768479481</v>
      </c>
      <c r="P26" s="160">
        <f t="shared" si="1"/>
        <v>1975.6210767632267</v>
      </c>
      <c r="Q26" s="160">
        <f t="shared" si="2"/>
        <v>1992.3796938715479</v>
      </c>
      <c r="R26" s="160">
        <f t="shared" si="3"/>
        <v>16.758617108321044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21019.619026865395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5825.598134040074</v>
      </c>
      <c r="Q27" s="160">
        <f t="shared" si="2"/>
        <v>5875.0149831026883</v>
      </c>
      <c r="R27" s="160">
        <f t="shared" si="3"/>
        <v>49.416849062613906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2074.2000000000003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574.8655879148871</v>
      </c>
      <c r="Q28" s="160">
        <f t="shared" si="2"/>
        <v>579.74200495149796</v>
      </c>
      <c r="R28" s="160">
        <f t="shared" si="3"/>
        <v>4.8764170366107447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102786.44161128539</v>
      </c>
      <c r="J30" s="132">
        <f>SUMPRODUCT($I21:$I28,J21:J28)/SUM($I21:$I28)</f>
        <v>-4.8486976644878561E-2</v>
      </c>
      <c r="K30" s="132">
        <f>SUMPRODUCT($I21:$I28,K21:K28)/SUM($I21:$I28)</f>
        <v>0</v>
      </c>
      <c r="L30" s="132">
        <f>SUMPRODUCT($I21:$I28,L21:L28)/SUM($I21:$I28)</f>
        <v>-0.52645086193788293</v>
      </c>
      <c r="M30" s="160">
        <f>SUM(M21:M28,P21:P28)</f>
        <v>130673.04565261773</v>
      </c>
      <c r="N30" s="160">
        <f>SUM(N21:N28,Q21:Q28)</f>
        <v>198481.06291465583</v>
      </c>
      <c r="O30" s="160">
        <f>SUM(O21:O28,R21:R28)</f>
        <v>165551.24539459011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194268.37452743616</v>
      </c>
      <c r="J31" s="132">
        <f>($I17*J17+$I30*J30)/($I17+$I30)</f>
        <v>-1.6301949125792004</v>
      </c>
      <c r="K31" s="132">
        <f>($I17*K17+$I30*K30)/($I17+$I30)</f>
        <v>0</v>
      </c>
      <c r="L31" s="132">
        <f>($I17*L17+$I30*L30)/($I17+$I30)</f>
        <v>-0.27854256213044565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B1" workbookViewId="0">
      <selection activeCell="C27" sqref="C27"/>
    </sheetView>
  </sheetViews>
  <sheetFormatPr defaultRowHeight="11.25"/>
  <cols>
    <col min="2" max="7" width="15.83203125" customWidth="1"/>
  </cols>
  <sheetData>
    <row r="1" spans="1:7">
      <c r="A1" t="s">
        <v>440</v>
      </c>
      <c r="B1" t="s">
        <v>441</v>
      </c>
      <c r="C1" t="s">
        <v>442</v>
      </c>
    </row>
    <row r="3" spans="1:7">
      <c r="A3" t="s">
        <v>102</v>
      </c>
      <c r="B3" t="s">
        <v>443</v>
      </c>
      <c r="C3" s="18">
        <f>'Main Page'!B17</f>
        <v>1.2250000000000001</v>
      </c>
    </row>
    <row r="4" spans="1:7">
      <c r="A4" t="s">
        <v>444</v>
      </c>
      <c r="B4" t="s">
        <v>445</v>
      </c>
      <c r="C4">
        <v>5.0000000000000001E-3</v>
      </c>
    </row>
    <row r="5" spans="1:7">
      <c r="A5" t="s">
        <v>446</v>
      </c>
      <c r="B5" t="s">
        <v>447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446</v>
      </c>
      <c r="B6" t="s">
        <v>448</v>
      </c>
      <c r="C6" s="18">
        <v>15</v>
      </c>
      <c r="D6" s="18"/>
      <c r="E6" s="18"/>
      <c r="F6" s="18"/>
    </row>
    <row r="7" spans="1:7">
      <c r="B7" t="s">
        <v>449</v>
      </c>
      <c r="C7" t="s">
        <v>450</v>
      </c>
      <c r="D7" t="s">
        <v>451</v>
      </c>
      <c r="E7" t="s">
        <v>452</v>
      </c>
      <c r="F7" t="s">
        <v>88</v>
      </c>
      <c r="G7" t="s">
        <v>453</v>
      </c>
    </row>
    <row r="8" spans="1:7">
      <c r="C8" s="380">
        <f>C37*('Main Page'!B$13/2-'Main Page'!B$56/2) + 'Main Page'!B$56/2</f>
        <v>4.0425000000000004</v>
      </c>
      <c r="D8" s="381">
        <f>(F39-F38)/($D39-$D38)*($C8-$D39)+F38</f>
        <v>11.1</v>
      </c>
      <c r="E8">
        <f>(1/$C$6)*('Main Page'!B$13/2-'Main Page'!B$56/2)</f>
        <v>3.1349999999999998</v>
      </c>
      <c r="F8" s="381">
        <f>(E$39-E$38)/(D$39-D$38)*(C8-D$38)+E$38</f>
        <v>2.7564053283662129</v>
      </c>
      <c r="G8">
        <f>ROUND((G$39-G$38)/(D$39-D$38)*(C8-D$38)+G$38,0)</f>
        <v>1</v>
      </c>
    </row>
    <row r="9" spans="1:7">
      <c r="C9" s="380">
        <f>C38*('Main Page'!B$13/2-'Main Page'!B$56/2) + 'Main Page'!B$56/2</f>
        <v>7.1775000000000002</v>
      </c>
      <c r="D9" s="381">
        <f>(F39-F38)/($D39-$D38)*($C9-$D39)+F38</f>
        <v>11.1</v>
      </c>
      <c r="E9">
        <f>(1/$C$6)*('Main Page'!B$13/2-'Main Page'!B$56/2)</f>
        <v>3.1349999999999998</v>
      </c>
      <c r="F9" s="381">
        <f t="shared" ref="F9" si="0">(E$39-E$38)/(D$39-D$38)*(C9-D$38)+E$38</f>
        <v>3.2092887985775977</v>
      </c>
      <c r="G9">
        <f>ROUNDUP((G$39-G$38)/(D$39-D$38)*(C9-D$38)+G$38,0)</f>
        <v>2</v>
      </c>
    </row>
    <row r="10" spans="1:7">
      <c r="C10" s="380">
        <f>C39*('Main Page'!B$13/2-'Main Page'!B$56/2) + 'Main Page'!B$56/2</f>
        <v>10.3125</v>
      </c>
      <c r="D10" s="381">
        <f>(F39-F38)/($D39-$D38)*($C10-$D39)+F38</f>
        <v>11.1</v>
      </c>
      <c r="E10">
        <f>(1/$C$6)*('Main Page'!B$13/2-'Main Page'!B$56/2)</f>
        <v>3.1349999999999998</v>
      </c>
      <c r="F10" s="381">
        <f>(E$39-E$38)/(D$39-D$38)*(C10-D$38)+E$38</f>
        <v>3.6621722687889822</v>
      </c>
      <c r="G10">
        <f>ROUND((G$39-G$38)/(D$39-D$38)*(C10-D$38)+G$38,0)</f>
        <v>2</v>
      </c>
    </row>
    <row r="11" spans="1:7">
      <c r="C11" s="380">
        <f>C40*('Main Page'!B$13/2-'Main Page'!B$56/2) + 'Main Page'!B$56/2</f>
        <v>13.4475</v>
      </c>
      <c r="D11" s="381">
        <f>(F40-F39)/($D40-$D39)*($C11-$D39)+F39</f>
        <v>10.406666666666666</v>
      </c>
      <c r="E11">
        <f>(1/$C$6)*('Main Page'!B$13/2-'Main Page'!B$56/2)</f>
        <v>3.1349999999999998</v>
      </c>
      <c r="F11" s="381">
        <f>(E$40-E$39)/(D$40-D$39)*(C11-D$39)+E$39</f>
        <v>3.8800592667852003</v>
      </c>
      <c r="G11">
        <f>ROUND((G$40-G$39)/(D$40-D$39)*(C11-D$39)+G$39,0)</f>
        <v>2</v>
      </c>
    </row>
    <row r="12" spans="1:7">
      <c r="C12" s="380">
        <f>C41*('Main Page'!B$13/2-'Main Page'!B$56/2) + 'Main Page'!B$56/2</f>
        <v>16.5825</v>
      </c>
      <c r="D12" s="381">
        <f>(F40-F39)/($D40-$D39)*($C12-$D39)+F39</f>
        <v>8.379999999999999</v>
      </c>
      <c r="E12">
        <f>(1/$C$6)*('Main Page'!B$13/2-'Main Page'!B$56/2)</f>
        <v>3.1349999999999998</v>
      </c>
      <c r="F12" s="381">
        <f t="shared" ref="F12:F13" si="1">(E$40-E$39)/(D$40-D$39)*(C12-D$39)+E$39</f>
        <v>3.6460299720599445</v>
      </c>
      <c r="G12">
        <f t="shared" ref="G12:G14" si="2">ROUND((G$40-G$39)/(D$40-D$39)*(C12-D$39)+G$39,0)</f>
        <v>2</v>
      </c>
    </row>
    <row r="13" spans="1:7">
      <c r="C13" s="380">
        <f>C42*('Main Page'!B$13/2-'Main Page'!B$56/2) + 'Main Page'!B$56/2</f>
        <v>19.717500000000001</v>
      </c>
      <c r="D13" s="381">
        <f>(F40-F39)/($D40-$D39)*($C13-$D39)+F39</f>
        <v>6.3533333333333317</v>
      </c>
      <c r="E13">
        <f>(1/$C$6)*('Main Page'!B$13/2-'Main Page'!B$56/2)</f>
        <v>3.1349999999999998</v>
      </c>
      <c r="F13" s="381">
        <f t="shared" si="1"/>
        <v>3.4120006773346883</v>
      </c>
      <c r="G13">
        <f t="shared" si="2"/>
        <v>2</v>
      </c>
    </row>
    <row r="14" spans="1:7">
      <c r="C14" s="380">
        <f>C43*('Main Page'!B$13/2-'Main Page'!B$56/2) + 'Main Page'!B$56/2</f>
        <v>22.852500000000003</v>
      </c>
      <c r="D14" s="381">
        <f>(F40-F39)/($D40-$D39)*($C14-$D39)+F39</f>
        <v>4.3266666666666636</v>
      </c>
      <c r="E14">
        <f>(1/$C$6)*('Main Page'!B$13/2-'Main Page'!B$56/2)</f>
        <v>3.1349999999999998</v>
      </c>
      <c r="F14" s="381">
        <f>(E$40-E$39)/(D$40-D$39)*(C14-D$39)+E$39</f>
        <v>3.177971382609432</v>
      </c>
      <c r="G14">
        <f t="shared" si="2"/>
        <v>2</v>
      </c>
    </row>
    <row r="15" spans="1:7">
      <c r="C15" s="380">
        <f>C44*('Main Page'!B$13/2-'Main Page'!B$56/2) + 'Main Page'!B$56/2</f>
        <v>25.987500000000001</v>
      </c>
      <c r="D15" s="381">
        <f>(F41-F40)/($D41-$D40)*($C15-$D40)+F40</f>
        <v>2.85</v>
      </c>
      <c r="E15">
        <f>(1/$C$6)*('Main Page'!B$13/2-'Main Page'!B$56/2)</f>
        <v>3.1349999999999998</v>
      </c>
      <c r="F15" s="381">
        <f>(E$41-E$40)/(D$41-D$40)*(C15-D$40)+E$40</f>
        <v>2.9439420878841762</v>
      </c>
      <c r="G15">
        <f>ROUND((G$41-G$40)/(D$41-D$40)*(C15-D$40)+G$40,0)</f>
        <v>3</v>
      </c>
    </row>
    <row r="16" spans="1:7">
      <c r="C16" s="380">
        <f>C45*('Main Page'!B$13/2-'Main Page'!B$56/2) + 'Main Page'!B$56/2</f>
        <v>29.122499999999999</v>
      </c>
      <c r="D16" s="381">
        <f>(F41-F40)/($D41-$D40)*($C16-$D40)+F40</f>
        <v>2.2166666666666668</v>
      </c>
      <c r="E16">
        <f>(1/$C$6)*('Main Page'!B$13/2-'Main Page'!B$56/2)</f>
        <v>3.1349999999999998</v>
      </c>
      <c r="F16" s="381">
        <f t="shared" ref="F16:F18" si="3">(E$41-E$40)/(D$41-D$40)*(C16-D$40)+E$40</f>
        <v>2.70991279315892</v>
      </c>
      <c r="G16">
        <f t="shared" ref="G16:G18" si="4">ROUND((G$41-G$40)/(D$41-D$40)*(C16-D$40)+G$40,0)</f>
        <v>3</v>
      </c>
    </row>
    <row r="17" spans="3:7">
      <c r="C17" s="380">
        <f>C46*('Main Page'!B$13/2-'Main Page'!B$56/2) + 'Main Page'!B$56/2</f>
        <v>32.2575</v>
      </c>
      <c r="D17" s="381">
        <f>(F41-F40)/($D41-$D40)*($C17-$D40)+F40</f>
        <v>1.5833333333333335</v>
      </c>
      <c r="E17">
        <f>(1/$C$6)*('Main Page'!B$13/2-'Main Page'!B$56/2)</f>
        <v>3.1349999999999998</v>
      </c>
      <c r="F17" s="381">
        <f t="shared" si="3"/>
        <v>2.4758834984336637</v>
      </c>
      <c r="G17">
        <f t="shared" si="4"/>
        <v>3</v>
      </c>
    </row>
    <row r="18" spans="3:7">
      <c r="C18" s="380">
        <f>C47*('Main Page'!B$13/2-'Main Page'!B$56/2) + 'Main Page'!B$56/2</f>
        <v>35.392499999999998</v>
      </c>
      <c r="D18" s="381">
        <f>(F41-F40)/($D41-$D40)*($C18-$D40)+F40</f>
        <v>0.95000000000000062</v>
      </c>
      <c r="E18">
        <f>(1/$C$6)*('Main Page'!B$13/2-'Main Page'!B$56/2)</f>
        <v>3.1349999999999998</v>
      </c>
      <c r="F18" s="381">
        <f t="shared" si="3"/>
        <v>2.2418542037084079</v>
      </c>
      <c r="G18">
        <f t="shared" si="4"/>
        <v>3</v>
      </c>
    </row>
    <row r="19" spans="3:7">
      <c r="C19" s="380">
        <f>C48*('Main Page'!B$13/2-'Main Page'!B$56/2) + 'Main Page'!B$56/2</f>
        <v>38.527500000000003</v>
      </c>
      <c r="D19" s="381">
        <f>(F42-F41)/($D42-$D41)*($C19-$D41)+F41</f>
        <v>0.53199999999999981</v>
      </c>
      <c r="E19">
        <f>(1/$C$6)*('Main Page'!B$13/2-'Main Page'!B$56/2)</f>
        <v>3.1349999999999998</v>
      </c>
      <c r="F19" s="381">
        <f>(E$42-E$41)/(D$42-D$41)*(C19-D$41)+E$41</f>
        <v>2.0183032766065532</v>
      </c>
      <c r="G19">
        <f>ROUND((G$42-G$41)/(D$42-D$41)*(C19-D$41)+G$41,0)</f>
        <v>3</v>
      </c>
    </row>
    <row r="20" spans="3:7">
      <c r="C20" s="380">
        <f>C49*('Main Page'!B$13/2-'Main Page'!B$56/2) + 'Main Page'!B$56/2</f>
        <v>41.662500000000001</v>
      </c>
      <c r="D20" s="381">
        <f>(F42-F41)/($D42-$D41)*($C20-$D41)+F41</f>
        <v>0.37999999999999989</v>
      </c>
      <c r="E20">
        <f>(1/$C$6)*('Main Page'!B$13/2-'Main Page'!B$56/2)</f>
        <v>3.1349999999999998</v>
      </c>
      <c r="F20" s="381">
        <f t="shared" ref="F20:F22" si="5">(E$42-E$41)/(D$42-D$41)*(C20-D$41)+E$41</f>
        <v>1.807696215392431</v>
      </c>
      <c r="G20">
        <f t="shared" ref="G20:G22" si="6">ROUND((G$42-G$41)/(D$42-D$41)*(C20-D$41)+G$41,0)</f>
        <v>3</v>
      </c>
    </row>
    <row r="21" spans="3:7">
      <c r="C21" s="380">
        <f>C50*('Main Page'!B$13/2-'Main Page'!B$56/2) + 'Main Page'!B$56/2</f>
        <v>44.797499999999999</v>
      </c>
      <c r="D21" s="381">
        <f>(F42-F41)/($D42-$D41)*($C21-$D41)+F41</f>
        <v>0.22799999999999998</v>
      </c>
      <c r="E21">
        <f>(1/$C$6)*('Main Page'!B$13/2-'Main Page'!B$56/2)</f>
        <v>3.1349999999999998</v>
      </c>
      <c r="F21" s="381">
        <f t="shared" si="5"/>
        <v>1.5970891541783085</v>
      </c>
      <c r="G21">
        <f t="shared" si="6"/>
        <v>4</v>
      </c>
    </row>
    <row r="22" spans="3:7">
      <c r="C22" s="380">
        <f>C51*('Main Page'!B$13/2-'Main Page'!B$56/2) + 'Main Page'!B$56/2</f>
        <v>47.932499999999997</v>
      </c>
      <c r="D22" s="381">
        <f>(F42-F41)/($D42-$D41)*($C22-$D41)+F41</f>
        <v>7.6000000000000068E-2</v>
      </c>
      <c r="E22">
        <f>(1/$C$6)*('Main Page'!B$13/2-'Main Page'!B$56/2)</f>
        <v>3.1349999999999998</v>
      </c>
      <c r="F22" s="381">
        <f t="shared" si="5"/>
        <v>1.3864820929641861</v>
      </c>
      <c r="G22">
        <f t="shared" si="6"/>
        <v>4</v>
      </c>
    </row>
    <row r="36" spans="2:7">
      <c r="B36" t="s">
        <v>454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82">
        <f>B37/C$6</f>
        <v>3.3333333333333333E-2</v>
      </c>
      <c r="D37" s="102">
        <f>GECbladedata!$B5*('Main Page'!B$13/2)</f>
        <v>2.4750000000000001</v>
      </c>
      <c r="E37">
        <f>GECbladedata!$C5</f>
        <v>2.6729794259588524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2">
        <f t="shared" ref="C38:C51" si="7">B38/C$6</f>
        <v>0.1</v>
      </c>
      <c r="D38" s="102">
        <f>GECbladedata!$B6*('Main Page'!B$13/2)</f>
        <v>3.4650000000000003</v>
      </c>
      <c r="E38">
        <f>GECbladedata!$C6</f>
        <v>2.6729794259588524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2">
        <f t="shared" si="7"/>
        <v>0.16666666666666666</v>
      </c>
      <c r="D39" s="102">
        <f>GECbladedata!$B7*('Main Page'!B$13/2)</f>
        <v>12.375</v>
      </c>
      <c r="E39">
        <f>GECbladedata!$C7</f>
        <v>3.9601219202438407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2">
        <f t="shared" si="7"/>
        <v>0.23333333333333334</v>
      </c>
      <c r="D40" s="102">
        <f>GECbladedata!$B8*('Main Page'!B$13/2)</f>
        <v>24.75</v>
      </c>
      <c r="E40">
        <f>GECbladedata!$C8</f>
        <v>3.0363220726441456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2">
        <f t="shared" si="7"/>
        <v>0.3</v>
      </c>
      <c r="D41" s="102">
        <f>GECbladedata!$B9*('Main Page'!B$13/2)</f>
        <v>37.125</v>
      </c>
      <c r="E41">
        <f>GECbladedata!$C9</f>
        <v>2.1125222250444504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2">
        <f t="shared" si="7"/>
        <v>0.36666666666666664</v>
      </c>
      <c r="D42" s="102">
        <f>GECbladedata!$B10*('Main Page'!B$13/2)</f>
        <v>49.5</v>
      </c>
      <c r="E42">
        <f>GECbladedata!$C10</f>
        <v>1.2811785623571248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2">
        <f t="shared" si="7"/>
        <v>0.43333333333333335</v>
      </c>
    </row>
    <row r="44" spans="2:7">
      <c r="B44">
        <v>7.5</v>
      </c>
      <c r="C44" s="382">
        <f t="shared" si="7"/>
        <v>0.5</v>
      </c>
    </row>
    <row r="45" spans="2:7">
      <c r="B45">
        <v>8.5</v>
      </c>
      <c r="C45" s="382">
        <f t="shared" si="7"/>
        <v>0.56666666666666665</v>
      </c>
    </row>
    <row r="46" spans="2:7">
      <c r="B46">
        <v>9.5</v>
      </c>
      <c r="C46" s="382">
        <f t="shared" si="7"/>
        <v>0.6333333333333333</v>
      </c>
    </row>
    <row r="47" spans="2:7">
      <c r="B47">
        <v>10.5</v>
      </c>
      <c r="C47" s="382">
        <f t="shared" si="7"/>
        <v>0.7</v>
      </c>
    </row>
    <row r="48" spans="2:7">
      <c r="B48">
        <v>11.5</v>
      </c>
      <c r="C48" s="382">
        <f t="shared" si="7"/>
        <v>0.76666666666666672</v>
      </c>
    </row>
    <row r="49" spans="2:3">
      <c r="B49">
        <v>12.5</v>
      </c>
      <c r="C49" s="382">
        <f t="shared" si="7"/>
        <v>0.83333333333333337</v>
      </c>
    </row>
    <row r="50" spans="2:3">
      <c r="B50">
        <v>13.5</v>
      </c>
      <c r="C50" s="382">
        <f t="shared" si="7"/>
        <v>0.9</v>
      </c>
    </row>
    <row r="51" spans="2:3">
      <c r="B51">
        <v>14.5</v>
      </c>
      <c r="C51" s="382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E1" zoomScaleNormal="100" workbookViewId="0">
      <selection activeCell="D26" sqref="D26"/>
    </sheetView>
  </sheetViews>
  <sheetFormatPr defaultRowHeight="11.25"/>
  <cols>
    <col min="1" max="1" width="6.5" customWidth="1"/>
    <col min="2" max="2" width="13.83203125" bestFit="1" customWidth="1"/>
    <col min="3" max="3" width="14.1640625" bestFit="1" customWidth="1"/>
    <col min="4" max="4" width="16.5" bestFit="1" customWidth="1"/>
    <col min="5" max="5" width="17.83203125" bestFit="1" customWidth="1"/>
    <col min="6" max="6" width="16.6640625" bestFit="1" customWidth="1"/>
    <col min="7" max="7" width="18.6640625" bestFit="1" customWidth="1"/>
    <col min="8" max="8" width="19.1640625" bestFit="1" customWidth="1"/>
    <col min="9" max="9" width="18.1640625" bestFit="1" customWidth="1"/>
    <col min="10" max="10" width="20.1640625" bestFit="1" customWidth="1"/>
    <col min="11" max="18" width="11.83203125" bestFit="1" customWidth="1"/>
    <col min="19" max="23" width="9.6640625" bestFit="1" customWidth="1"/>
  </cols>
  <sheetData>
    <row r="1" spans="1:25">
      <c r="A1" t="s">
        <v>440</v>
      </c>
      <c r="B1" t="s">
        <v>441</v>
      </c>
      <c r="C1" t="s">
        <v>442</v>
      </c>
    </row>
    <row r="3" spans="1:25">
      <c r="A3" t="s">
        <v>85</v>
      </c>
      <c r="B3" t="s">
        <v>428</v>
      </c>
      <c r="C3" s="18">
        <f>'Main Page'!B13/2</f>
        <v>49.5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414</v>
      </c>
    </row>
    <row r="4" spans="1:25">
      <c r="A4" t="s">
        <v>85</v>
      </c>
      <c r="B4" t="s">
        <v>429</v>
      </c>
      <c r="C4" s="18">
        <f>'Main Page'!B56/2</f>
        <v>2.4750000000000001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415</v>
      </c>
    </row>
    <row r="5" spans="1:25">
      <c r="A5" t="s">
        <v>388</v>
      </c>
      <c r="B5" t="s">
        <v>430</v>
      </c>
      <c r="C5" s="18">
        <f>'Main Page'!A151*100</f>
        <v>3.8820000000000001</v>
      </c>
      <c r="D5" s="18">
        <f>'Main Page'!B151*100</f>
        <v>3.8820000000000001</v>
      </c>
      <c r="E5" s="377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2" t="s">
        <v>416</v>
      </c>
    </row>
    <row r="6" spans="1:25">
      <c r="B6" t="s">
        <v>431</v>
      </c>
      <c r="C6" s="378" t="s">
        <v>432</v>
      </c>
      <c r="D6" s="378" t="s">
        <v>433</v>
      </c>
      <c r="E6" s="378" t="s">
        <v>434</v>
      </c>
      <c r="F6" s="378" t="s">
        <v>435</v>
      </c>
      <c r="G6" s="378" t="s">
        <v>436</v>
      </c>
      <c r="H6" s="378" t="s">
        <v>437</v>
      </c>
      <c r="I6" s="378" t="s">
        <v>438</v>
      </c>
      <c r="J6" s="378" t="s">
        <v>439</v>
      </c>
      <c r="K6" s="378"/>
      <c r="L6" s="37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2" t="s">
        <v>417</v>
      </c>
    </row>
    <row r="7" spans="1:25">
      <c r="C7" s="385">
        <f>GECbladedata!$C28</f>
        <v>0</v>
      </c>
      <c r="D7" s="385">
        <f>0.25+GECbladedata!$Q28/GECbladedata!$P28</f>
        <v>0.25</v>
      </c>
      <c r="E7" s="385">
        <f>GECbladedata!$K28</f>
        <v>11.1</v>
      </c>
      <c r="F7" s="386">
        <f>GECbladedata!$D28</f>
        <v>2514.2728793945694</v>
      </c>
      <c r="G7" s="387">
        <f>GECbladedata!$O28</f>
        <v>25915847780.81815</v>
      </c>
      <c r="H7" s="386">
        <f>GECbladedata!$N28</f>
        <v>25915847780.81815</v>
      </c>
      <c r="I7" s="386">
        <f>GECbladedata!$L28</f>
        <v>8966505090.0080204</v>
      </c>
      <c r="J7" s="386">
        <f>GECbladedata!$M28</f>
        <v>28944438488.483387</v>
      </c>
      <c r="K7" s="378"/>
      <c r="L7" s="37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85">
        <f>GECbladedata!$C29</f>
        <v>2.1052631578947371E-2</v>
      </c>
      <c r="D8" s="385">
        <f>0.25+GECbladedata!$Q29/GECbladedata!$P29</f>
        <v>0.25</v>
      </c>
      <c r="E8" s="385">
        <f>GECbladedata!$K29</f>
        <v>11.1</v>
      </c>
      <c r="F8" s="386">
        <f>GECbladedata!$D29</f>
        <v>378.46476436784059</v>
      </c>
      <c r="G8" s="387">
        <f>GECbladedata!$O29</f>
        <v>4995749732.6391211</v>
      </c>
      <c r="H8" s="386">
        <f>GECbladedata!$N29</f>
        <v>4995749732.6391211</v>
      </c>
      <c r="I8" s="386">
        <f>GECbladedata!$L29</f>
        <v>1745703465.4624267</v>
      </c>
      <c r="J8" s="386">
        <f>GECbladedata!$M29</f>
        <v>5635228554.6241884</v>
      </c>
      <c r="K8" s="378"/>
      <c r="L8" s="37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85">
        <f>GECbladedata!$C30</f>
        <v>5.2631578947368411E-2</v>
      </c>
      <c r="D9" s="385">
        <f>0.25+GECbladedata!$Q30/GECbladedata!$P30</f>
        <v>0.22942796069703819</v>
      </c>
      <c r="E9" s="385">
        <f>GECbladedata!$K30</f>
        <v>11.1</v>
      </c>
      <c r="F9" s="386">
        <f>GECbladedata!$D30</f>
        <v>382.96477599404864</v>
      </c>
      <c r="G9" s="387">
        <f>GECbladedata!$O30</f>
        <v>4405826168.0194216</v>
      </c>
      <c r="H9" s="386">
        <f>GECbladedata!$N30</f>
        <v>4814154924.7073679</v>
      </c>
      <c r="I9" s="386">
        <f>GECbladedata!$L30</f>
        <v>1465305103.3411148</v>
      </c>
      <c r="J9" s="386">
        <f>GECbladedata!$M30</f>
        <v>5585653441.6502266</v>
      </c>
      <c r="K9" s="378"/>
      <c r="L9" s="37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85">
        <f>GECbladedata!$C31</f>
        <v>0.10526315789473684</v>
      </c>
      <c r="D10" s="385">
        <f>0.25+GECbladedata!$Q31/GECbladedata!$P31</f>
        <v>0.20118558099730738</v>
      </c>
      <c r="E10" s="385">
        <f>GECbladedata!$K31</f>
        <v>11.1</v>
      </c>
      <c r="F10" s="386">
        <f>GECbladedata!$D31</f>
        <v>390.46479537106205</v>
      </c>
      <c r="G10" s="387">
        <f>GECbladedata!$O31</f>
        <v>3422620226.9865899</v>
      </c>
      <c r="H10" s="386">
        <f>GECbladedata!$N31</f>
        <v>4511496911.4877796</v>
      </c>
      <c r="I10" s="386">
        <f>GECbladedata!$L31</f>
        <v>997974499.80559528</v>
      </c>
      <c r="J10" s="386">
        <f>GECbladedata!$M31</f>
        <v>5503028253.3602915</v>
      </c>
      <c r="K10" s="378"/>
      <c r="L10" s="37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85">
        <f>GECbladedata!$C32</f>
        <v>0.15789473684210525</v>
      </c>
      <c r="D11" s="385">
        <f>0.25+GECbladedata!$Q32/GECbladedata!$P32</f>
        <v>0.17854905158859785</v>
      </c>
      <c r="E11" s="385">
        <f>GECbladedata!$K32</f>
        <v>11.1</v>
      </c>
      <c r="F11" s="386">
        <f>GECbladedata!$D32</f>
        <v>397.96481474807547</v>
      </c>
      <c r="G11" s="387">
        <f>GECbladedata!$O32</f>
        <v>2439414285.9537573</v>
      </c>
      <c r="H11" s="386">
        <f>GECbladedata!$N32</f>
        <v>4208838898.2681913</v>
      </c>
      <c r="I11" s="386">
        <f>GECbladedata!$L32</f>
        <v>530643896.27007532</v>
      </c>
      <c r="J11" s="386">
        <f>GECbladedata!$M32</f>
        <v>5420403065.0703554</v>
      </c>
      <c r="K11" s="378"/>
      <c r="L11" s="37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85">
        <f>GECbladedata!$C33</f>
        <v>0.21052631578947367</v>
      </c>
      <c r="D12" s="385">
        <f>0.25+GECbladedata!$Q33/GECbladedata!$P33</f>
        <v>0.15999999999999998</v>
      </c>
      <c r="E12" s="385">
        <f>GECbladedata!$K33</f>
        <v>11.1</v>
      </c>
      <c r="F12" s="386">
        <f>GECbladedata!$D33</f>
        <v>405.46483412508888</v>
      </c>
      <c r="G12" s="387">
        <f>GECbladedata!$O33</f>
        <v>1456208344.9209256</v>
      </c>
      <c r="H12" s="386">
        <f>GECbladedata!$N33</f>
        <v>3906180885.0486031</v>
      </c>
      <c r="I12" s="386">
        <f>GECbladedata!$L33</f>
        <v>63313292.734555714</v>
      </c>
      <c r="J12" s="386">
        <f>GECbladedata!$M33</f>
        <v>5337777876.7804203</v>
      </c>
      <c r="K12" s="378"/>
      <c r="L12" s="37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85">
        <f>GECbladedata!$C34</f>
        <v>0.26315789473684209</v>
      </c>
      <c r="D13" s="385">
        <f>0.25+GECbladedata!$Q34/GECbladedata!$P34</f>
        <v>0.16482547969536315</v>
      </c>
      <c r="E13" s="385">
        <f>GECbladedata!$K34</f>
        <v>9.5</v>
      </c>
      <c r="F13" s="386">
        <f>GECbladedata!$D34</f>
        <v>388.29530227109069</v>
      </c>
      <c r="G13" s="387">
        <f>GECbladedata!$O34</f>
        <v>1237438519.441153</v>
      </c>
      <c r="H13" s="386">
        <f>GECbladedata!$N34</f>
        <v>3322546069.2504792</v>
      </c>
      <c r="I13" s="386">
        <f>GECbladedata!$L34</f>
        <v>55746990.667117193</v>
      </c>
      <c r="J13" s="386">
        <f>GECbladedata!$M34</f>
        <v>5115435115.2485218</v>
      </c>
    </row>
    <row r="14" spans="1:25">
      <c r="C14" s="385">
        <f>GECbladedata!$C35</f>
        <v>0.31578947368421051</v>
      </c>
      <c r="D14" s="385">
        <f>0.25+GECbladedata!$Q35/GECbladedata!$P35</f>
        <v>0.17014756440910567</v>
      </c>
      <c r="E14" s="385">
        <f>GECbladedata!$K35</f>
        <v>7.9</v>
      </c>
      <c r="F14" s="386">
        <f>GECbladedata!$D35</f>
        <v>371.12577041709255</v>
      </c>
      <c r="G14" s="387">
        <f>GECbladedata!$O35</f>
        <v>1018668693.9613804</v>
      </c>
      <c r="H14" s="386">
        <f>GECbladedata!$N35</f>
        <v>2738911253.4523554</v>
      </c>
      <c r="I14" s="386">
        <f>GECbladedata!$L35</f>
        <v>48180688.599678665</v>
      </c>
      <c r="J14" s="386">
        <f>GECbladedata!$M35</f>
        <v>4893092353.7166243</v>
      </c>
    </row>
    <row r="15" spans="1:25">
      <c r="C15" s="385">
        <f>GECbladedata!$C36</f>
        <v>0.36842105263157893</v>
      </c>
      <c r="D15" s="385">
        <f>0.25+GECbladedata!$Q36/GECbladedata!$P36</f>
        <v>0.17604707356362986</v>
      </c>
      <c r="E15" s="385">
        <f>GECbladedata!$K36</f>
        <v>6.2999999999999989</v>
      </c>
      <c r="F15" s="386">
        <f>GECbladedata!$D36</f>
        <v>353.95623856309436</v>
      </c>
      <c r="G15" s="387">
        <f>GECbladedata!$O36</f>
        <v>799898868.48160756</v>
      </c>
      <c r="H15" s="386">
        <f>GECbladedata!$N36</f>
        <v>2155276437.6542311</v>
      </c>
      <c r="I15" s="386">
        <f>GECbladedata!$L36</f>
        <v>40614386.532240137</v>
      </c>
      <c r="J15" s="386">
        <f>GECbladedata!$M36</f>
        <v>4670749592.1847258</v>
      </c>
    </row>
    <row r="16" spans="1:25">
      <c r="C16" s="385">
        <f>GECbladedata!$C37</f>
        <v>0.42105263157894735</v>
      </c>
      <c r="D16" s="385">
        <f>0.25+GECbladedata!$Q37/GECbladedata!$P37</f>
        <v>0.18262336965950132</v>
      </c>
      <c r="E16" s="385">
        <f>GECbladedata!$K37</f>
        <v>4.6999999999999993</v>
      </c>
      <c r="F16" s="386">
        <f>GECbladedata!$D37</f>
        <v>336.78670670909617</v>
      </c>
      <c r="G16" s="387">
        <f>GECbladedata!$O37</f>
        <v>581129043.00183487</v>
      </c>
      <c r="H16" s="386">
        <f>GECbladedata!$N37</f>
        <v>1571641621.8561077</v>
      </c>
      <c r="I16" s="386">
        <f>GECbladedata!$L37</f>
        <v>33048084.464801613</v>
      </c>
      <c r="J16" s="386">
        <f>GECbladedata!$M37</f>
        <v>4448406830.6528273</v>
      </c>
    </row>
    <row r="17" spans="2:23">
      <c r="C17" s="385">
        <f>GECbladedata!$C38</f>
        <v>0.47368421052631576</v>
      </c>
      <c r="D17" s="385">
        <f>0.25+GECbladedata!$Q38/GECbladedata!$P38</f>
        <v>0.19</v>
      </c>
      <c r="E17" s="385">
        <f>GECbladedata!$K38</f>
        <v>3.1</v>
      </c>
      <c r="F17" s="386">
        <f>GECbladedata!$D38</f>
        <v>319.61717485509803</v>
      </c>
      <c r="G17" s="387">
        <f>GECbladedata!$O38</f>
        <v>362359217.52206236</v>
      </c>
      <c r="H17" s="386">
        <f>GECbladedata!$N38</f>
        <v>988006806.05798388</v>
      </c>
      <c r="I17" s="386">
        <f>GECbladedata!$L38</f>
        <v>25481782.397363089</v>
      </c>
      <c r="J17" s="386">
        <f>GECbladedata!$M38</f>
        <v>4226064069.1209292</v>
      </c>
    </row>
    <row r="18" spans="2:23">
      <c r="C18" s="385">
        <f>GECbladedata!$C39</f>
        <v>0.52631578947368418</v>
      </c>
      <c r="D18" s="385">
        <f>0.25+GECbladedata!$Q39/GECbladedata!$P39</f>
        <v>0.19444497888942333</v>
      </c>
      <c r="E18" s="385">
        <f>GECbladedata!$K39</f>
        <v>2.5999999999999996</v>
      </c>
      <c r="F18" s="386">
        <f>GECbladedata!$D39</f>
        <v>283.56556317077332</v>
      </c>
      <c r="G18" s="387">
        <f>GECbladedata!$O39</f>
        <v>301062716.42475706</v>
      </c>
      <c r="H18" s="386">
        <f>GECbladedata!$N39</f>
        <v>838972045.18727791</v>
      </c>
      <c r="I18" s="386">
        <f>GECbladedata!$L39</f>
        <v>21407116.991112508</v>
      </c>
      <c r="J18" s="386">
        <f>GECbladedata!$M39</f>
        <v>3737366167.8227329</v>
      </c>
    </row>
    <row r="19" spans="2:23">
      <c r="C19" s="385">
        <f>GECbladedata!$C40</f>
        <v>0.57894736842105254</v>
      </c>
      <c r="D19" s="385">
        <f>0.25+GECbladedata!$Q40/GECbladedata!$P40</f>
        <v>0.19950586711368484</v>
      </c>
      <c r="E19" s="385">
        <f>GECbladedata!$K40</f>
        <v>2.1000000000000005</v>
      </c>
      <c r="F19" s="386">
        <f>GECbladedata!$D40</f>
        <v>247.51395148644866</v>
      </c>
      <c r="G19" s="387">
        <f>GECbladedata!$O40</f>
        <v>239766215.32745194</v>
      </c>
      <c r="H19" s="386">
        <f>GECbladedata!$N40</f>
        <v>689937284.31657219</v>
      </c>
      <c r="I19" s="386">
        <f>GECbladedata!$L40</f>
        <v>17332451.584861934</v>
      </c>
      <c r="J19" s="386">
        <f>GECbladedata!$M40</f>
        <v>3248668266.524538</v>
      </c>
    </row>
    <row r="20" spans="2:23">
      <c r="B20" s="372"/>
      <c r="C20" s="385">
        <f>GECbladedata!$C41</f>
        <v>0.63157894736842102</v>
      </c>
      <c r="D20" s="385">
        <f>0.25+GECbladedata!$Q41/GECbladedata!$P41</f>
        <v>0.20532020712662968</v>
      </c>
      <c r="E20" s="385">
        <f>GECbladedata!$K41</f>
        <v>1.5999999999999999</v>
      </c>
      <c r="F20" s="386">
        <f>GECbladedata!$D41</f>
        <v>211.46233980212395</v>
      </c>
      <c r="G20" s="387">
        <f>GECbladedata!$O41</f>
        <v>178469714.23014665</v>
      </c>
      <c r="H20" s="386">
        <f>GECbladedata!$N41</f>
        <v>540902523.44586635</v>
      </c>
      <c r="I20" s="386">
        <f>GECbladedata!$L41</f>
        <v>13257786.178611353</v>
      </c>
      <c r="J20" s="386">
        <f>GECbladedata!$M41</f>
        <v>2759970365.2263422</v>
      </c>
    </row>
    <row r="21" spans="2:23">
      <c r="B21" s="372"/>
      <c r="C21" s="385">
        <f>GECbladedata!$C42</f>
        <v>0.68421052631578938</v>
      </c>
      <c r="D21" s="385">
        <f>0.25+GECbladedata!$Q42/GECbladedata!$P42</f>
        <v>0.21206978904073237</v>
      </c>
      <c r="E21" s="385">
        <f>GECbladedata!$K42</f>
        <v>1.1000000000000005</v>
      </c>
      <c r="F21" s="386">
        <f>GECbladedata!$D42</f>
        <v>175.41072811779932</v>
      </c>
      <c r="G21" s="387">
        <f>GECbladedata!$O42</f>
        <v>117173213.1328415</v>
      </c>
      <c r="H21" s="386">
        <f>GECbladedata!$N42</f>
        <v>391867762.57516062</v>
      </c>
      <c r="I21" s="386">
        <f>GECbladedata!$L42</f>
        <v>9183120.7723607793</v>
      </c>
      <c r="J21" s="386">
        <f>GECbladedata!$M42</f>
        <v>2271272463.9281473</v>
      </c>
    </row>
    <row r="22" spans="2:23">
      <c r="C22" s="385">
        <f>GECbladedata!$C43</f>
        <v>0.73684210526315785</v>
      </c>
      <c r="D22" s="385">
        <f>0.25+GECbladedata!$Q43/GECbladedata!$P43</f>
        <v>0.21999999999999997</v>
      </c>
      <c r="E22" s="385">
        <f>GECbladedata!$K43</f>
        <v>0.6</v>
      </c>
      <c r="F22" s="386">
        <f>GECbladedata!$D43</f>
        <v>139.35911643347461</v>
      </c>
      <c r="G22" s="387">
        <f>GECbladedata!$O43</f>
        <v>55876712.03553623</v>
      </c>
      <c r="H22" s="386">
        <f>GECbladedata!$N43</f>
        <v>242833001.70445472</v>
      </c>
      <c r="I22" s="386">
        <f>GECbladedata!$L43</f>
        <v>5108455.3661101973</v>
      </c>
      <c r="J22" s="386">
        <f>GECbladedata!$M43</f>
        <v>1782574562.629951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85">
        <f>GECbladedata!$C44</f>
        <v>0.78947368421052622</v>
      </c>
      <c r="D23" s="385">
        <f>0.25+GECbladedata!$Q44/GECbladedata!$P44</f>
        <v>0.22394967634161619</v>
      </c>
      <c r="E23" s="385">
        <f>GECbladedata!$K44</f>
        <v>0.47999999999999987</v>
      </c>
      <c r="F23" s="386">
        <f>GECbladedata!$D44</f>
        <v>114.8236118008315</v>
      </c>
      <c r="G23" s="387">
        <f>GECbladedata!$O44</f>
        <v>44839759.888547704</v>
      </c>
      <c r="H23" s="386">
        <f>GECbladedata!$N44</f>
        <v>199004345.945301</v>
      </c>
      <c r="I23" s="386">
        <f>GECbladedata!$L44</f>
        <v>4195517.6643379992</v>
      </c>
      <c r="J23" s="386">
        <f>GECbladedata!$M44</f>
        <v>1461230658.9921355</v>
      </c>
    </row>
    <row r="24" spans="2:23">
      <c r="C24" s="385">
        <f>GECbladedata!$C45</f>
        <v>0.84210526315789458</v>
      </c>
      <c r="D24" s="385">
        <f>0.25+GECbladedata!$Q45/GECbladedata!$P45</f>
        <v>0.22863723279773965</v>
      </c>
      <c r="E24" s="385">
        <f>GECbladedata!$K45</f>
        <v>0.36000000000000004</v>
      </c>
      <c r="F24" s="386">
        <f>GECbladedata!$D45</f>
        <v>90.288107168188432</v>
      </c>
      <c r="G24" s="387">
        <f>GECbladedata!$O45</f>
        <v>33802807.741559193</v>
      </c>
      <c r="H24" s="386">
        <f>GECbladedata!$N45</f>
        <v>155175690.18614733</v>
      </c>
      <c r="I24" s="386">
        <f>GECbladedata!$L45</f>
        <v>3282579.962565803</v>
      </c>
      <c r="J24" s="386">
        <f>GECbladedata!$M45</f>
        <v>1139886755.354321</v>
      </c>
    </row>
    <row r="25" spans="2:23">
      <c r="C25" s="385">
        <f>GECbladedata!$C46</f>
        <v>0.89473684210526305</v>
      </c>
      <c r="D25" s="385">
        <f>0.25+GECbladedata!$Q46/GECbladedata!$P46</f>
        <v>0.23429075111754705</v>
      </c>
      <c r="E25" s="385">
        <f>GECbladedata!$K46</f>
        <v>0.23999999999999994</v>
      </c>
      <c r="F25" s="386">
        <f>GECbladedata!$D46</f>
        <v>65.752602535545321</v>
      </c>
      <c r="G25" s="387">
        <f>GECbladedata!$O46</f>
        <v>22765855.594570663</v>
      </c>
      <c r="H25" s="386">
        <f>GECbladedata!$N46</f>
        <v>111347034.42699362</v>
      </c>
      <c r="I25" s="386">
        <f>GECbladedata!$L46</f>
        <v>2369642.2607936049</v>
      </c>
      <c r="J25" s="386">
        <f>GECbladedata!$M46</f>
        <v>818542851.71650553</v>
      </c>
    </row>
    <row r="26" spans="2:23">
      <c r="C26" s="385">
        <f>GECbladedata!$C47</f>
        <v>0.94736842105263142</v>
      </c>
      <c r="D26" s="385">
        <f>0.25+GECbladedata!$Q47/GECbladedata!$P47</f>
        <v>0.24124311234338258</v>
      </c>
      <c r="E26" s="385">
        <f>GECbladedata!$K47</f>
        <v>0.12000000000000011</v>
      </c>
      <c r="F26" s="386">
        <f>GECbladedata!$D47</f>
        <v>41.217097902902253</v>
      </c>
      <c r="G26" s="387">
        <f>GECbladedata!$O47</f>
        <v>11728903.447582163</v>
      </c>
      <c r="H26" s="386">
        <f>GECbladedata!$N47</f>
        <v>67518378.667839974</v>
      </c>
      <c r="I26" s="386">
        <f>GECbladedata!$L47</f>
        <v>1456704.5590214087</v>
      </c>
      <c r="J26" s="386">
        <f>GECbladedata!$M47</f>
        <v>497198948.07869101</v>
      </c>
    </row>
    <row r="27" spans="2:23">
      <c r="C27" s="385">
        <f>GECbladedata!$C48</f>
        <v>0.99999999999999989</v>
      </c>
      <c r="D27" s="385">
        <f>0.25+GECbladedata!$Q48/GECbladedata!$P48</f>
        <v>0.25</v>
      </c>
      <c r="E27" s="385">
        <f>GECbladedata!$K48</f>
        <v>0</v>
      </c>
      <c r="F27" s="386">
        <f>GECbladedata!$D48</f>
        <v>16.681593270259139</v>
      </c>
      <c r="G27" s="387">
        <f>GECbladedata!$O48</f>
        <v>691951.30059363274</v>
      </c>
      <c r="H27" s="386">
        <f>GECbladedata!$N48</f>
        <v>23689722.908686247</v>
      </c>
      <c r="I27" s="386">
        <f>GECbladedata!$L48</f>
        <v>543766.85724921024</v>
      </c>
      <c r="J27" s="386">
        <f>GECbladedata!$M48</f>
        <v>175855044.44087556</v>
      </c>
    </row>
    <row r="29" spans="2:23">
      <c r="D29" s="3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J33" sqref="J33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440</v>
      </c>
      <c r="B2" t="s">
        <v>441</v>
      </c>
      <c r="C2" t="s">
        <v>442</v>
      </c>
    </row>
    <row r="3" spans="1:14">
      <c r="K3" s="381"/>
      <c r="L3" s="373"/>
      <c r="M3" s="373"/>
      <c r="N3" s="372"/>
    </row>
    <row r="4" spans="1:14">
      <c r="A4" t="s">
        <v>392</v>
      </c>
      <c r="B4" t="s">
        <v>486</v>
      </c>
      <c r="C4" s="101">
        <f>'Main Page'!B87</f>
        <v>1800</v>
      </c>
      <c r="K4" s="381"/>
      <c r="L4" s="373"/>
      <c r="M4" s="373"/>
      <c r="N4" s="372"/>
    </row>
    <row r="5" spans="1:14">
      <c r="A5" t="s">
        <v>487</v>
      </c>
      <c r="B5" t="s">
        <v>488</v>
      </c>
      <c r="C5" s="382">
        <f>'Main Page'!$B$31</f>
        <v>16753.151904410039</v>
      </c>
      <c r="K5" s="381"/>
    </row>
    <row r="6" spans="1:14">
      <c r="A6" t="s">
        <v>489</v>
      </c>
      <c r="B6" t="s">
        <v>490</v>
      </c>
      <c r="C6" s="380">
        <f>'Main Page'!B43</f>
        <v>5.170725896422851E-3</v>
      </c>
      <c r="K6" s="381"/>
    </row>
    <row r="7" spans="1:14">
      <c r="A7" t="s">
        <v>461</v>
      </c>
      <c r="B7" t="s">
        <v>491</v>
      </c>
      <c r="C7" s="380">
        <v>2.6</v>
      </c>
      <c r="K7" s="381"/>
    </row>
    <row r="8" spans="1:14">
      <c r="A8" t="s">
        <v>392</v>
      </c>
      <c r="B8" t="s">
        <v>492</v>
      </c>
      <c r="C8">
        <f>'Main Page'!$B$29</f>
        <v>14.468631190172303</v>
      </c>
      <c r="G8" t="s">
        <v>493</v>
      </c>
      <c r="K8" s="381"/>
    </row>
    <row r="9" spans="1:14">
      <c r="A9" t="s">
        <v>461</v>
      </c>
      <c r="B9" t="s">
        <v>494</v>
      </c>
      <c r="C9" s="102">
        <f>'Main Page'!$B$34</f>
        <v>2.6</v>
      </c>
      <c r="G9" t="s">
        <v>495</v>
      </c>
      <c r="K9" s="381"/>
    </row>
    <row r="10" spans="1:14">
      <c r="A10" t="s">
        <v>461</v>
      </c>
      <c r="B10" t="s">
        <v>496</v>
      </c>
      <c r="C10" s="102">
        <f>'Main Page'!$B$35</f>
        <v>90</v>
      </c>
      <c r="G10" t="s">
        <v>497</v>
      </c>
      <c r="K10" s="381"/>
    </row>
    <row r="11" spans="1:14">
      <c r="A11" t="s">
        <v>444</v>
      </c>
      <c r="B11" t="s">
        <v>498</v>
      </c>
      <c r="C11">
        <f>'Main Page'!$B$40</f>
        <v>2.5000000000000001E-2</v>
      </c>
      <c r="G11" t="s">
        <v>499</v>
      </c>
      <c r="K11" s="381"/>
    </row>
    <row r="12" spans="1:14">
      <c r="A12" t="s">
        <v>500</v>
      </c>
      <c r="B12" t="s">
        <v>501</v>
      </c>
      <c r="C12">
        <f>'Main Page'!$B$37*PI()/180</f>
        <v>4.5378560551852569E-2</v>
      </c>
      <c r="G12" t="s">
        <v>502</v>
      </c>
      <c r="K12" s="381"/>
    </row>
    <row r="13" spans="1:14">
      <c r="A13" t="s">
        <v>500</v>
      </c>
      <c r="B13" t="s">
        <v>503</v>
      </c>
      <c r="C13">
        <f>'Main Page'!$B$38*PI()/180</f>
        <v>0.52359877559829882</v>
      </c>
      <c r="G13" t="s">
        <v>504</v>
      </c>
      <c r="K13" s="381"/>
    </row>
    <row r="14" spans="1:14">
      <c r="A14" t="s">
        <v>446</v>
      </c>
      <c r="B14" t="s">
        <v>505</v>
      </c>
      <c r="C14">
        <f>1/C12^C15</f>
        <v>0.21302244142778143</v>
      </c>
      <c r="G14" t="s">
        <v>506</v>
      </c>
      <c r="K14" s="381"/>
    </row>
    <row r="15" spans="1:14">
      <c r="A15" t="s">
        <v>446</v>
      </c>
      <c r="B15" t="s">
        <v>507</v>
      </c>
      <c r="C15">
        <f>'Main Page'!$B$39</f>
        <v>-0.5</v>
      </c>
      <c r="G15" t="s">
        <v>508</v>
      </c>
      <c r="K15" s="381"/>
    </row>
    <row r="16" spans="1:14">
      <c r="B16" t="s">
        <v>509</v>
      </c>
      <c r="C16" s="101">
        <f>(4*'Main Page'!$B$29/30*PI())^2</f>
        <v>36.730945821854903</v>
      </c>
      <c r="D16" s="101">
        <v>0</v>
      </c>
      <c r="E16" s="101">
        <v>0</v>
      </c>
      <c r="G16" t="s">
        <v>510</v>
      </c>
      <c r="K16" s="381"/>
    </row>
    <row r="17" spans="2:11">
      <c r="B17" t="s">
        <v>511</v>
      </c>
      <c r="C17" s="101">
        <f>(4*'Main Page'!$B$29/30*PI())^2</f>
        <v>36.730945821854903</v>
      </c>
      <c r="D17" s="101">
        <f>2*0.8*(4*'Main Page'!$B$29/30*PI())</f>
        <v>9.6969696969696955</v>
      </c>
      <c r="E17" s="101">
        <v>1</v>
      </c>
      <c r="G17" t="s">
        <v>512</v>
      </c>
      <c r="K17" s="102"/>
    </row>
    <row r="19" spans="2:11">
      <c r="K19" s="382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K13" sqref="K13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440</v>
      </c>
      <c r="B1" t="s">
        <v>441</v>
      </c>
      <c r="C1" t="s">
        <v>442</v>
      </c>
    </row>
    <row r="3" spans="1:13">
      <c r="A3" t="s">
        <v>85</v>
      </c>
      <c r="B3" t="s">
        <v>455</v>
      </c>
      <c r="C3" s="382">
        <f>'Main Page'!B61</f>
        <v>-4.6500000000000004</v>
      </c>
    </row>
    <row r="4" spans="1:13">
      <c r="A4" t="s">
        <v>85</v>
      </c>
      <c r="B4" t="s">
        <v>456</v>
      </c>
      <c r="C4" s="382">
        <f>('Main Page'!B5*'Main Page'!E5+'Main Page'!B6*'Main Page'!E6+'Main Page'!B7*'Main Page'!E7)/C11</f>
        <v>-0.22569690025426056</v>
      </c>
      <c r="I4" s="102"/>
    </row>
    <row r="5" spans="1:13">
      <c r="A5" t="s">
        <v>85</v>
      </c>
      <c r="B5" t="s">
        <v>457</v>
      </c>
      <c r="C5" s="382">
        <f>('Main Page'!C5*'Main Page'!E5+'Main Page'!C6*'Main Page'!E6+'Main Page'!C7*'Main Page'!E7)/C11</f>
        <v>0</v>
      </c>
    </row>
    <row r="6" spans="1:13">
      <c r="A6" t="s">
        <v>85</v>
      </c>
      <c r="B6" t="s">
        <v>458</v>
      </c>
      <c r="C6" s="382">
        <f>('Main Page'!D5*'Main Page'!E5+'Main Page'!D6*'Main Page'!E6+'Main Page'!D7*'Main Page'!E7)/C11+'Main Page'!B46</f>
        <v>1.86090852211677</v>
      </c>
      <c r="I6" s="103"/>
      <c r="J6" s="103"/>
      <c r="K6" s="103"/>
    </row>
    <row r="7" spans="1:13">
      <c r="A7" t="s">
        <v>85</v>
      </c>
      <c r="B7" t="s">
        <v>459</v>
      </c>
      <c r="C7" s="382">
        <f>'Main Page'!B9-'Main Page'!B46</f>
        <v>116.73099999999999</v>
      </c>
      <c r="I7" s="103"/>
      <c r="J7" s="103"/>
      <c r="K7" s="103"/>
    </row>
    <row r="8" spans="1:13">
      <c r="A8" t="s">
        <v>85</v>
      </c>
      <c r="B8" t="s">
        <v>460</v>
      </c>
      <c r="C8" s="382">
        <f>'Main Page'!B46</f>
        <v>2.2690000000000001</v>
      </c>
      <c r="I8" s="103"/>
      <c r="J8" s="103"/>
      <c r="K8" s="103"/>
    </row>
    <row r="9" spans="1:13">
      <c r="A9" t="s">
        <v>461</v>
      </c>
      <c r="B9" t="s">
        <v>462</v>
      </c>
      <c r="C9" s="382">
        <f>-'Main Page'!B11</f>
        <v>-5</v>
      </c>
      <c r="I9" s="103"/>
    </row>
    <row r="10" spans="1:13">
      <c r="A10" t="s">
        <v>461</v>
      </c>
      <c r="B10" t="s">
        <v>463</v>
      </c>
      <c r="C10" s="382">
        <f>-'Main Page'!B18</f>
        <v>0</v>
      </c>
      <c r="I10" s="103"/>
      <c r="M10" s="372"/>
    </row>
    <row r="11" spans="1:13">
      <c r="A11" t="s">
        <v>117</v>
      </c>
      <c r="B11" t="s">
        <v>464</v>
      </c>
      <c r="C11" s="382">
        <f>SUM('Main Page'!E5+'Main Page'!E6+'Main Page'!E7)</f>
        <v>132597.74759930788</v>
      </c>
      <c r="I11" s="103"/>
      <c r="M11" s="372"/>
    </row>
    <row r="12" spans="1:13">
      <c r="A12" t="s">
        <v>117</v>
      </c>
      <c r="B12" t="s">
        <v>465</v>
      </c>
      <c r="C12" s="382">
        <f>'Main Page'!E8</f>
        <v>61670.62692812828</v>
      </c>
      <c r="I12" s="103"/>
      <c r="M12" s="372"/>
    </row>
    <row r="13" spans="1:13">
      <c r="A13" t="s">
        <v>466</v>
      </c>
      <c r="B13" t="s">
        <v>467</v>
      </c>
      <c r="C13" s="382">
        <f>SUM('Main Page'!H5:H7)</f>
        <v>211744.31626438437</v>
      </c>
      <c r="I13" s="103"/>
    </row>
    <row r="14" spans="1:13">
      <c r="A14" t="s">
        <v>466</v>
      </c>
      <c r="B14" t="s">
        <v>468</v>
      </c>
      <c r="C14" s="382">
        <f>SUM(GECdrivetrain!M11:'GECdrivetrain'!M12)/('Main Page'!$B$88)^2</f>
        <v>177.88478074011505</v>
      </c>
      <c r="I14" s="103"/>
    </row>
    <row r="15" spans="1:13">
      <c r="A15" t="s">
        <v>466</v>
      </c>
      <c r="B15" t="s">
        <v>469</v>
      </c>
      <c r="C15" s="382">
        <f>GECdrivetrain!M5</f>
        <v>197987.08806417006</v>
      </c>
    </row>
    <row r="16" spans="1:13">
      <c r="A16" t="s">
        <v>446</v>
      </c>
      <c r="B16" t="s">
        <v>470</v>
      </c>
      <c r="C16" s="102">
        <f>'Main Page'!B19*100</f>
        <v>95</v>
      </c>
    </row>
    <row r="17" spans="1:13">
      <c r="A17" t="s">
        <v>446</v>
      </c>
      <c r="B17" t="s">
        <v>471</v>
      </c>
      <c r="C17">
        <f>'Main Page'!$B$88</f>
        <v>124.40706908215581</v>
      </c>
    </row>
    <row r="18" spans="1:13">
      <c r="A18" t="s">
        <v>472</v>
      </c>
      <c r="B18" t="s">
        <v>473</v>
      </c>
      <c r="C18" s="383">
        <f>'Main Page'!B14</f>
        <v>1039402035.9271445</v>
      </c>
      <c r="I18" s="103"/>
    </row>
    <row r="19" spans="1:13">
      <c r="A19" t="s">
        <v>474</v>
      </c>
      <c r="B19" t="s">
        <v>475</v>
      </c>
      <c r="C19" s="383">
        <f>2*'Main Page'!B15/100*SQRT(C18*'Main Page'!B16*C14*C17^2/('Main Page'!B16+C14*C17^2))</f>
        <v>4992005.4231970394</v>
      </c>
      <c r="I19" s="103"/>
    </row>
    <row r="20" spans="1:13">
      <c r="A20" t="s">
        <v>476</v>
      </c>
      <c r="B20" t="s">
        <v>477</v>
      </c>
      <c r="C20" s="335">
        <f>'Main Page'!B92*1000</f>
        <v>3000000</v>
      </c>
      <c r="M20" s="372"/>
    </row>
    <row r="21" spans="1:13">
      <c r="I21" s="103"/>
      <c r="M21" s="372"/>
    </row>
    <row r="22" spans="1:13">
      <c r="I22" s="103"/>
      <c r="M22" s="3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1" workbookViewId="0">
      <selection activeCell="D35" sqref="D35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440</v>
      </c>
      <c r="B1" t="s">
        <v>441</v>
      </c>
      <c r="C1" t="s">
        <v>442</v>
      </c>
    </row>
    <row r="3" spans="1:14">
      <c r="A3" t="s">
        <v>388</v>
      </c>
      <c r="B3" t="s">
        <v>478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479</v>
      </c>
      <c r="C4" t="s">
        <v>480</v>
      </c>
      <c r="D4" t="s">
        <v>481</v>
      </c>
      <c r="E4" t="s">
        <v>482</v>
      </c>
      <c r="F4" t="s">
        <v>483</v>
      </c>
      <c r="G4" t="s">
        <v>484</v>
      </c>
      <c r="H4" t="s">
        <v>485</v>
      </c>
    </row>
    <row r="5" spans="1:14">
      <c r="C5" s="381">
        <f>GECtwrdata!$B15/9</f>
        <v>0</v>
      </c>
      <c r="D5">
        <f>GECtwrdata!$G15</f>
        <v>5176.3620621529581</v>
      </c>
      <c r="E5" s="384">
        <f>GECtwrdata!$N15</f>
        <v>1050330627972.325</v>
      </c>
      <c r="F5" s="384">
        <f>GECtwrdata!$N15</f>
        <v>1050330627972.325</v>
      </c>
      <c r="G5" s="384">
        <f>GECtwrdata!$K15</f>
        <v>807946636901.78833</v>
      </c>
      <c r="H5" s="384">
        <f>GECtwrdata!$H15</f>
        <v>131225707441.21327</v>
      </c>
      <c r="N5" s="372"/>
    </row>
    <row r="6" spans="1:14">
      <c r="C6" s="381">
        <f>GECtwrdata!$B16/9</f>
        <v>0.1111111111111111</v>
      </c>
      <c r="D6">
        <f>GECtwrdata!$G16</f>
        <v>4572.9262969216697</v>
      </c>
      <c r="E6" s="384">
        <f>GECtwrdata!$N16</f>
        <v>820344112793.62048</v>
      </c>
      <c r="F6" s="384">
        <f>GECtwrdata!$N16</f>
        <v>820344112793.62048</v>
      </c>
      <c r="G6" s="384">
        <f>GECtwrdata!$K16</f>
        <v>631033932918.16956</v>
      </c>
      <c r="H6" s="384">
        <f>GECtwrdata!$H16</f>
        <v>115928036173.82312</v>
      </c>
      <c r="N6" s="372"/>
    </row>
    <row r="7" spans="1:14">
      <c r="C7" s="381">
        <f>GECtwrdata!$B17/9</f>
        <v>0.22222222222222221</v>
      </c>
      <c r="D7">
        <f>GECtwrdata!$G17</f>
        <v>4006.8748373094522</v>
      </c>
      <c r="E7" s="384">
        <f>GECtwrdata!$N17</f>
        <v>630369721363.07703</v>
      </c>
      <c r="F7" s="384">
        <f>GECtwrdata!$N17</f>
        <v>630369721363.07703</v>
      </c>
      <c r="G7" s="384">
        <f>GECtwrdata!$K17</f>
        <v>484899785663.9054</v>
      </c>
      <c r="H7" s="384">
        <f>GECtwrdata!$H17</f>
        <v>101578092652.8999</v>
      </c>
      <c r="N7" s="372"/>
    </row>
    <row r="8" spans="1:14">
      <c r="C8" s="381">
        <f>GECtwrdata!$B18/9</f>
        <v>0.33333333333333331</v>
      </c>
      <c r="D8">
        <f>GECtwrdata!$G18</f>
        <v>3478.2076833163073</v>
      </c>
      <c r="E8" s="384">
        <f>GECtwrdata!$N18</f>
        <v>475473249816.18439</v>
      </c>
      <c r="F8" s="384">
        <f>GECtwrdata!$N18</f>
        <v>475473249816.18439</v>
      </c>
      <c r="G8" s="384">
        <f>GECtwrdata!$K18</f>
        <v>365748653704.7572</v>
      </c>
      <c r="H8" s="384">
        <f>GECtwrdata!$H18</f>
        <v>88175876878.443649</v>
      </c>
      <c r="N8" s="372"/>
    </row>
    <row r="9" spans="1:14">
      <c r="C9" s="381">
        <f>GECtwrdata!$B19/9</f>
        <v>0.44444444444444442</v>
      </c>
      <c r="D9">
        <f>GECtwrdata!$G19</f>
        <v>2986.9248349422332</v>
      </c>
      <c r="E9" s="384">
        <f>GECtwrdata!$N19</f>
        <v>351045305228.06683</v>
      </c>
      <c r="F9" s="384">
        <f>GECtwrdata!$N19</f>
        <v>351045305228.06683</v>
      </c>
      <c r="G9" s="384">
        <f>GECtwrdata!$K19</f>
        <v>270034850175.436</v>
      </c>
      <c r="H9" s="384">
        <f>GECtwrdata!$H19</f>
        <v>75721388850.454315</v>
      </c>
      <c r="N9" s="372"/>
    </row>
    <row r="10" spans="1:14">
      <c r="C10" s="381">
        <f>GECtwrdata!$B20/9</f>
        <v>0.55555555555555558</v>
      </c>
      <c r="D10">
        <f>GECtwrdata!$G20</f>
        <v>2533.0262921872304</v>
      </c>
      <c r="E10" s="384">
        <f>GECtwrdata!$N20</f>
        <v>252801305613.48541</v>
      </c>
      <c r="F10" s="384">
        <f>GECtwrdata!$N20</f>
        <v>252801305613.48541</v>
      </c>
      <c r="G10" s="384">
        <f>GECtwrdata!$K20</f>
        <v>194462542779.60416</v>
      </c>
      <c r="H10" s="384">
        <f>GECtwrdata!$H20</f>
        <v>64214628568.931923</v>
      </c>
      <c r="N10" s="372"/>
    </row>
    <row r="11" spans="1:14">
      <c r="C11" s="381">
        <f>GECtwrdata!$B21/9</f>
        <v>0.66666666666666663</v>
      </c>
      <c r="D11">
        <f>GECtwrdata!$G21</f>
        <v>2116.5120550512988</v>
      </c>
      <c r="E11" s="384">
        <f>GECtwrdata!$N21</f>
        <v>176781479926.83633</v>
      </c>
      <c r="F11" s="384">
        <f>GECtwrdata!$N21</f>
        <v>176781479926.83633</v>
      </c>
      <c r="G11" s="384">
        <f>GECtwrdata!$K21</f>
        <v>135985753789.87408</v>
      </c>
      <c r="H11" s="384">
        <f>GECtwrdata!$H21</f>
        <v>53655596033.876465</v>
      </c>
      <c r="N11" s="372"/>
    </row>
    <row r="12" spans="1:14">
      <c r="C12" s="381">
        <f>GECtwrdata!$B22/9</f>
        <v>0.77777777777777779</v>
      </c>
      <c r="D12">
        <f>GECtwrdata!$G22</f>
        <v>1737.3821235344394</v>
      </c>
      <c r="E12" s="384">
        <f>GECtwrdata!$N22</f>
        <v>119350868062.15134</v>
      </c>
      <c r="F12" s="384">
        <f>GECtwrdata!$N22</f>
        <v>119350868062.15134</v>
      </c>
      <c r="G12" s="384">
        <f>GECtwrdata!$K22</f>
        <v>91808360047.808716</v>
      </c>
      <c r="H12" s="384">
        <f>GECtwrdata!$H22</f>
        <v>44044291245.287949</v>
      </c>
      <c r="N12" s="372"/>
    </row>
    <row r="13" spans="1:14">
      <c r="C13" s="381">
        <f>GECtwrdata!$B23/9</f>
        <v>0.88888888888888884</v>
      </c>
      <c r="D13">
        <f>GECtwrdata!$G23</f>
        <v>1395.6364976366508</v>
      </c>
      <c r="E13" s="384">
        <f>GECtwrdata!$N23</f>
        <v>77199320853.097961</v>
      </c>
      <c r="F13" s="384">
        <f>GECtwrdata!$N23</f>
        <v>77199320853.097961</v>
      </c>
      <c r="G13" s="384">
        <f>GECtwrdata!$K23</f>
        <v>59384092963.921509</v>
      </c>
      <c r="H13" s="384">
        <f>GECtwrdata!$H23</f>
        <v>35380714203.166359</v>
      </c>
      <c r="N13" s="372"/>
    </row>
    <row r="14" spans="1:14">
      <c r="C14" s="381">
        <f>GECtwrdata!$B24/9</f>
        <v>1</v>
      </c>
      <c r="D14">
        <f>GECtwrdata!$G24</f>
        <v>1091.2751773579341</v>
      </c>
      <c r="E14" s="384">
        <f>GECtwrdata!$N24</f>
        <v>47341500072.979439</v>
      </c>
      <c r="F14" s="384">
        <f>GECtwrdata!$N24</f>
        <v>47341500072.979439</v>
      </c>
      <c r="G14" s="384">
        <f>GECtwrdata!$K24</f>
        <v>36416538517.676491</v>
      </c>
      <c r="H14" s="384">
        <f>GECtwrdata!$H24</f>
        <v>27664864907.511723</v>
      </c>
      <c r="I14" s="373"/>
      <c r="J14" s="373"/>
      <c r="K14" s="373"/>
      <c r="L14" s="373"/>
      <c r="N14" s="372"/>
    </row>
    <row r="15" spans="1:14">
      <c r="N15" s="3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2" t="s">
        <v>84</v>
      </c>
      <c r="B2" s="403"/>
      <c r="C2" s="403"/>
      <c r="D2" s="404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5">
        <v>0.01</v>
      </c>
      <c r="B4" s="266">
        <v>0.01</v>
      </c>
      <c r="C4" s="266">
        <v>0.01</v>
      </c>
      <c r="D4" s="267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2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2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2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2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2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2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2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2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I56" sqref="I5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47.024999999999999</v>
      </c>
      <c r="D2" s="388" t="s">
        <v>84</v>
      </c>
      <c r="E2" s="390"/>
      <c r="F2" s="391"/>
    </row>
    <row r="3" spans="1:20" ht="23.2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5">
        <v>0.03</v>
      </c>
      <c r="E4" s="266">
        <v>0.03</v>
      </c>
      <c r="F4" s="267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397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2514.2728793945694</v>
      </c>
      <c r="D10" s="104">
        <f>GECbladedata!E28</f>
        <v>0</v>
      </c>
      <c r="E10" s="104">
        <f>GECbladedata!F28</f>
        <v>4490.9882032550131</v>
      </c>
      <c r="F10" s="65">
        <f>GECbladedata!G28</f>
        <v>0</v>
      </c>
      <c r="G10" s="105">
        <f>GECbladedata!H28</f>
        <v>0.6682448564897131</v>
      </c>
      <c r="H10" s="65">
        <f>GECbladedata!I28</f>
        <v>0</v>
      </c>
      <c r="I10" s="105">
        <f>GECbladedata!J28</f>
        <v>0.6682448564897131</v>
      </c>
      <c r="J10" s="104">
        <f>GECbladedata!K28</f>
        <v>11.1</v>
      </c>
      <c r="K10" s="254">
        <f>GECbladedata!L28</f>
        <v>8966505090.0080204</v>
      </c>
      <c r="L10" s="254">
        <f>GECbladedata!M28</f>
        <v>28944438488.483387</v>
      </c>
      <c r="M10" s="254">
        <f>GECbladedata!N28</f>
        <v>25915847780.81815</v>
      </c>
      <c r="N10" s="254">
        <f>GECbladedata!O28</f>
        <v>25915847780.81815</v>
      </c>
      <c r="O10" s="105">
        <f>GECbladedata!P28</f>
        <v>2.6729794259588524</v>
      </c>
      <c r="P10" s="105">
        <f>GECbladedata!Q28</f>
        <v>0</v>
      </c>
      <c r="Q10" s="67">
        <f>GECbladedata!R28</f>
        <v>1</v>
      </c>
      <c r="R10" s="335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378.46476436784059</v>
      </c>
      <c r="D11" s="104">
        <f>GECbladedata!E29</f>
        <v>0</v>
      </c>
      <c r="E11" s="104">
        <f>GECbladedata!F29</f>
        <v>676.01285685941104</v>
      </c>
      <c r="F11" s="65">
        <f>GECbladedata!G29</f>
        <v>0</v>
      </c>
      <c r="G11" s="105">
        <f>GECbladedata!H29</f>
        <v>0.6682448564897131</v>
      </c>
      <c r="H11" s="65">
        <f>GECbladedata!I29</f>
        <v>0</v>
      </c>
      <c r="I11" s="105">
        <f>GECbladedata!J29</f>
        <v>0.6682448564897131</v>
      </c>
      <c r="J11" s="104">
        <f>GECbladedata!K29</f>
        <v>11.1</v>
      </c>
      <c r="K11" s="254">
        <f>GECbladedata!L29</f>
        <v>1745703465.4624267</v>
      </c>
      <c r="L11" s="254">
        <f>GECbladedata!M29</f>
        <v>5635228554.6241884</v>
      </c>
      <c r="M11" s="254">
        <f>GECbladedata!N29</f>
        <v>4995749732.6391211</v>
      </c>
      <c r="N11" s="254">
        <f>GECbladedata!O29</f>
        <v>4995749732.6391211</v>
      </c>
      <c r="O11" s="105">
        <f>GECbladedata!P29</f>
        <v>2.6729794259588524</v>
      </c>
      <c r="P11" s="105">
        <f>GECbladedata!Q29</f>
        <v>0</v>
      </c>
      <c r="Q11" s="67">
        <f>GECbladedata!R29</f>
        <v>1</v>
      </c>
      <c r="R11" s="335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382.96477599404864</v>
      </c>
      <c r="D12" s="104">
        <f>GECbladedata!E30</f>
        <v>0</v>
      </c>
      <c r="E12" s="104">
        <f>GECbladedata!F30</f>
        <v>622.4879990990139</v>
      </c>
      <c r="F12" s="65">
        <f>GECbladedata!G30</f>
        <v>0</v>
      </c>
      <c r="G12" s="105">
        <f>GECbladedata!H30</f>
        <v>0.60054180197682649</v>
      </c>
      <c r="H12" s="65">
        <f>GECbladedata!I30</f>
        <v>0</v>
      </c>
      <c r="I12" s="105">
        <f>GECbladedata!J30</f>
        <v>0.54881788373934237</v>
      </c>
      <c r="J12" s="104">
        <f>GECbladedata!K30</f>
        <v>11.1</v>
      </c>
      <c r="K12" s="254">
        <f>GECbladedata!L30</f>
        <v>1465305103.3411148</v>
      </c>
      <c r="L12" s="254">
        <f>GECbladedata!M30</f>
        <v>5585653441.6502266</v>
      </c>
      <c r="M12" s="254">
        <f>GECbladedata!N30</f>
        <v>4814154924.7073679</v>
      </c>
      <c r="N12" s="254">
        <f>GECbladedata!O30</f>
        <v>4405826168.0194216</v>
      </c>
      <c r="O12" s="105">
        <f>GECbladedata!P30</f>
        <v>2.8875031750063505</v>
      </c>
      <c r="P12" s="105">
        <f>GECbladedata!Q30</f>
        <v>-5.9401828803657623E-2</v>
      </c>
      <c r="Q12" s="67">
        <f>GECbladedata!R30</f>
        <v>1</v>
      </c>
      <c r="R12" s="335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390.46479537106205</v>
      </c>
      <c r="D13" s="104">
        <f>GECbladedata!E31</f>
        <v>0</v>
      </c>
      <c r="E13" s="104">
        <f>GECbladedata!F31</f>
        <v>533.27990283168549</v>
      </c>
      <c r="F13" s="65">
        <f>GECbladedata!G31</f>
        <v>0</v>
      </c>
      <c r="G13" s="105">
        <f>GECbladedata!H31</f>
        <v>0.48770337778868217</v>
      </c>
      <c r="H13" s="65">
        <f>GECbladedata!I31</f>
        <v>0</v>
      </c>
      <c r="I13" s="105">
        <f>GECbladedata!J31</f>
        <v>0.34977292915539121</v>
      </c>
      <c r="J13" s="104">
        <f>GECbladedata!K31</f>
        <v>11.1</v>
      </c>
      <c r="K13" s="254">
        <f>GECbladedata!L31</f>
        <v>997974499.80559528</v>
      </c>
      <c r="L13" s="254">
        <f>GECbladedata!M31</f>
        <v>5503028253.3602915</v>
      </c>
      <c r="M13" s="254">
        <f>GECbladedata!N31</f>
        <v>4511496911.4877796</v>
      </c>
      <c r="N13" s="254">
        <f>GECbladedata!O31</f>
        <v>3422620226.9865899</v>
      </c>
      <c r="O13" s="105">
        <f>GECbladedata!P31</f>
        <v>3.2450427567521807</v>
      </c>
      <c r="P13" s="105">
        <f>GECbladedata!Q31</f>
        <v>-0.15840487680975365</v>
      </c>
      <c r="Q13" s="67">
        <f>GECbladedata!R31</f>
        <v>2</v>
      </c>
      <c r="R13" s="335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397.96481474807547</v>
      </c>
      <c r="D14" s="104">
        <f>GECbladedata!E32</f>
        <v>0</v>
      </c>
      <c r="E14" s="104">
        <f>GECbladedata!F32</f>
        <v>444.07180656435696</v>
      </c>
      <c r="F14" s="65">
        <f>GECbladedata!G32</f>
        <v>0</v>
      </c>
      <c r="G14" s="105">
        <f>GECbladedata!H32</f>
        <v>0.37486495360053773</v>
      </c>
      <c r="H14" s="65">
        <f>GECbladedata!I32</f>
        <v>0</v>
      </c>
      <c r="I14" s="105">
        <f>GECbladedata!J32</f>
        <v>0.15072797457143994</v>
      </c>
      <c r="J14" s="104">
        <f>GECbladedata!K32</f>
        <v>11.1</v>
      </c>
      <c r="K14" s="254">
        <f>GECbladedata!L32</f>
        <v>530643896.27007532</v>
      </c>
      <c r="L14" s="254">
        <f>GECbladedata!M32</f>
        <v>5420403065.0703554</v>
      </c>
      <c r="M14" s="254">
        <f>GECbladedata!N32</f>
        <v>4208838898.2681913</v>
      </c>
      <c r="N14" s="254">
        <f>GECbladedata!O32</f>
        <v>2439414285.9537573</v>
      </c>
      <c r="O14" s="105">
        <f>GECbladedata!P32</f>
        <v>3.6025823384980105</v>
      </c>
      <c r="P14" s="105">
        <f>GECbladedata!Q32</f>
        <v>-0.25740792481584979</v>
      </c>
      <c r="Q14" s="67">
        <f>GECbladedata!R32</f>
        <v>2</v>
      </c>
      <c r="R14" s="335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405.46483412508888</v>
      </c>
      <c r="D15" s="104">
        <f>GECbladedata!E33</f>
        <v>0</v>
      </c>
      <c r="E15" s="104">
        <f>GECbladedata!F33</f>
        <v>354.86371029702843</v>
      </c>
      <c r="F15" s="65">
        <f>GECbladedata!G33</f>
        <v>0</v>
      </c>
      <c r="G15" s="105">
        <f>GECbladedata!H33</f>
        <v>0.26202652941239341</v>
      </c>
      <c r="H15" s="65">
        <f>GECbladedata!I33</f>
        <v>0</v>
      </c>
      <c r="I15" s="105">
        <f>GECbladedata!J33</f>
        <v>-4.8316980012511251E-2</v>
      </c>
      <c r="J15" s="104">
        <f>GECbladedata!K33</f>
        <v>11.1</v>
      </c>
      <c r="K15" s="254">
        <f>GECbladedata!L33</f>
        <v>63313292.734555714</v>
      </c>
      <c r="L15" s="254">
        <f>GECbladedata!M33</f>
        <v>5337777876.7804203</v>
      </c>
      <c r="M15" s="254">
        <f>GECbladedata!N33</f>
        <v>3906180885.0486031</v>
      </c>
      <c r="N15" s="254">
        <f>GECbladedata!O33</f>
        <v>1456208344.9209256</v>
      </c>
      <c r="O15" s="105">
        <f>GECbladedata!P33</f>
        <v>3.9601219202438407</v>
      </c>
      <c r="P15" s="105">
        <f>GECbladedata!Q33</f>
        <v>-0.35641097282194578</v>
      </c>
      <c r="Q15" s="67">
        <f>GECbladedata!R33</f>
        <v>2</v>
      </c>
      <c r="R15" s="335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388.29530227109069</v>
      </c>
      <c r="D16" s="104">
        <f>GECbladedata!E34</f>
        <v>0</v>
      </c>
      <c r="E16" s="104">
        <f>GECbladedata!F34</f>
        <v>307.30793958652623</v>
      </c>
      <c r="F16" s="65">
        <f>GECbladedata!G34</f>
        <v>0</v>
      </c>
      <c r="G16" s="105">
        <f>GECbladedata!H34</f>
        <v>0.24989428688211765</v>
      </c>
      <c r="H16" s="65">
        <f>GECbladedata!I34</f>
        <v>0</v>
      </c>
      <c r="I16" s="105">
        <f>GECbladedata!J34</f>
        <v>-3.0564573254008565E-2</v>
      </c>
      <c r="J16" s="104">
        <f>GECbladedata!K34</f>
        <v>9.5</v>
      </c>
      <c r="K16" s="254">
        <f>GECbladedata!L34</f>
        <v>55746990.667117193</v>
      </c>
      <c r="L16" s="254">
        <f>GECbladedata!M34</f>
        <v>5115435115.2485218</v>
      </c>
      <c r="M16" s="254">
        <f>GECbladedata!N34</f>
        <v>3322546069.2504792</v>
      </c>
      <c r="N16" s="254">
        <f>GECbladedata!O34</f>
        <v>1237438519.441153</v>
      </c>
      <c r="O16" s="105">
        <f>GECbladedata!P34</f>
        <v>3.7753619507239016</v>
      </c>
      <c r="P16" s="105">
        <f>GECbladedata!Q34</f>
        <v>-0.3215646431292864</v>
      </c>
      <c r="Q16" s="67">
        <f>GECbladedata!R34</f>
        <v>2</v>
      </c>
      <c r="R16" s="335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371.12577041709255</v>
      </c>
      <c r="D17" s="104">
        <f>GECbladedata!E35</f>
        <v>0</v>
      </c>
      <c r="E17" s="104">
        <f>GECbladedata!F35</f>
        <v>259.75216887602397</v>
      </c>
      <c r="F17" s="65">
        <f>GECbladedata!G35</f>
        <v>0</v>
      </c>
      <c r="G17" s="105">
        <f>GECbladedata!H35</f>
        <v>0.23776204435184187</v>
      </c>
      <c r="H17" s="65">
        <f>GECbladedata!I35</f>
        <v>0</v>
      </c>
      <c r="I17" s="105">
        <f>GECbladedata!J35</f>
        <v>-1.2812166495505879E-2</v>
      </c>
      <c r="J17" s="104">
        <f>GECbladedata!K35</f>
        <v>7.9</v>
      </c>
      <c r="K17" s="254">
        <f>GECbladedata!L35</f>
        <v>48180688.599678665</v>
      </c>
      <c r="L17" s="254">
        <f>GECbladedata!M35</f>
        <v>4893092353.7166243</v>
      </c>
      <c r="M17" s="254">
        <f>GECbladedata!N35</f>
        <v>2738911253.4523554</v>
      </c>
      <c r="N17" s="254">
        <f>GECbladedata!O35</f>
        <v>1018668693.9613804</v>
      </c>
      <c r="O17" s="105">
        <f>GECbladedata!P35</f>
        <v>3.5906019812039629</v>
      </c>
      <c r="P17" s="105">
        <f>GECbladedata!Q35</f>
        <v>-0.28671831343662696</v>
      </c>
      <c r="Q17" s="67">
        <f>GECbladedata!R35</f>
        <v>2</v>
      </c>
      <c r="R17" s="335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353.95623856309436</v>
      </c>
      <c r="D18" s="104">
        <f>GECbladedata!E36</f>
        <v>0</v>
      </c>
      <c r="E18" s="104">
        <f>GECbladedata!F36</f>
        <v>212.19639816552171</v>
      </c>
      <c r="F18" s="65">
        <f>GECbladedata!G36</f>
        <v>0</v>
      </c>
      <c r="G18" s="105">
        <f>GECbladedata!H36</f>
        <v>0.22562980182156611</v>
      </c>
      <c r="H18" s="65">
        <f>GECbladedata!I36</f>
        <v>0</v>
      </c>
      <c r="I18" s="105">
        <f>GECbladedata!J36</f>
        <v>4.9402402629968242E-3</v>
      </c>
      <c r="J18" s="104">
        <f>GECbladedata!K36</f>
        <v>6.2999999999999989</v>
      </c>
      <c r="K18" s="254">
        <f>GECbladedata!L36</f>
        <v>40614386.532240137</v>
      </c>
      <c r="L18" s="254">
        <f>GECbladedata!M36</f>
        <v>4670749592.1847258</v>
      </c>
      <c r="M18" s="254">
        <f>GECbladedata!N36</f>
        <v>2155276437.6542311</v>
      </c>
      <c r="N18" s="254">
        <f>GECbladedata!O36</f>
        <v>799898868.48160756</v>
      </c>
      <c r="O18" s="105">
        <f>GECbladedata!P36</f>
        <v>3.4058420116840233</v>
      </c>
      <c r="P18" s="105">
        <f>GECbladedata!Q36</f>
        <v>-0.25187198374396752</v>
      </c>
      <c r="Q18" s="67">
        <f>GECbladedata!R36</f>
        <v>2</v>
      </c>
      <c r="R18" s="335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336.78670670909617</v>
      </c>
      <c r="D19" s="104">
        <f>GECbladedata!E37</f>
        <v>0</v>
      </c>
      <c r="E19" s="104">
        <f>GECbladedata!F37</f>
        <v>164.64062745501948</v>
      </c>
      <c r="F19" s="65">
        <f>GECbladedata!G37</f>
        <v>0</v>
      </c>
      <c r="G19" s="105">
        <f>GECbladedata!H37</f>
        <v>0.21349755929129033</v>
      </c>
      <c r="H19" s="65">
        <f>GECbladedata!I37</f>
        <v>0</v>
      </c>
      <c r="I19" s="105">
        <f>GECbladedata!J37</f>
        <v>2.2692647021499507E-2</v>
      </c>
      <c r="J19" s="104">
        <f>GECbladedata!K37</f>
        <v>4.6999999999999993</v>
      </c>
      <c r="K19" s="254">
        <f>GECbladedata!L37</f>
        <v>33048084.464801613</v>
      </c>
      <c r="L19" s="254">
        <f>GECbladedata!M37</f>
        <v>4448406830.6528273</v>
      </c>
      <c r="M19" s="254">
        <f>GECbladedata!N37</f>
        <v>1571641621.8561077</v>
      </c>
      <c r="N19" s="254">
        <f>GECbladedata!O37</f>
        <v>581129043.00183487</v>
      </c>
      <c r="O19" s="105">
        <f>GECbladedata!P37</f>
        <v>3.2210820421640847</v>
      </c>
      <c r="P19" s="105">
        <f>GECbladedata!Q37</f>
        <v>-0.21702565405130814</v>
      </c>
      <c r="Q19" s="67">
        <f>GECbladedata!R37</f>
        <v>2</v>
      </c>
      <c r="R19" s="335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319.61717485509803</v>
      </c>
      <c r="D20" s="104">
        <f>GECbladedata!E38</f>
        <v>0</v>
      </c>
      <c r="E20" s="104">
        <f>GECbladedata!F38</f>
        <v>117.08485674451724</v>
      </c>
      <c r="F20" s="65">
        <f>GECbladedata!G38</f>
        <v>0</v>
      </c>
      <c r="G20" s="105">
        <f>GECbladedata!H38</f>
        <v>0.20136531676101457</v>
      </c>
      <c r="H20" s="65">
        <f>GECbladedata!I38</f>
        <v>0</v>
      </c>
      <c r="I20" s="105">
        <f>GECbladedata!J38</f>
        <v>4.0445053780002196E-2</v>
      </c>
      <c r="J20" s="104">
        <f>GECbladedata!K38</f>
        <v>3.1</v>
      </c>
      <c r="K20" s="254">
        <f>GECbladedata!L38</f>
        <v>25481782.397363089</v>
      </c>
      <c r="L20" s="254">
        <f>GECbladedata!M38</f>
        <v>4226064069.1209292</v>
      </c>
      <c r="M20" s="254">
        <f>GECbladedata!N38</f>
        <v>988006806.05798388</v>
      </c>
      <c r="N20" s="254">
        <f>GECbladedata!O38</f>
        <v>362359217.52206236</v>
      </c>
      <c r="O20" s="105">
        <f>GECbladedata!P38</f>
        <v>3.0363220726441456</v>
      </c>
      <c r="P20" s="105">
        <f>GECbladedata!Q38</f>
        <v>-0.18217932435864873</v>
      </c>
      <c r="Q20" s="67">
        <f>GECbladedata!R38</f>
        <v>2</v>
      </c>
      <c r="R20" s="335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283.56556317077332</v>
      </c>
      <c r="D21" s="104">
        <f>GECbladedata!E39</f>
        <v>0</v>
      </c>
      <c r="E21" s="104">
        <f>GECbladedata!F39</f>
        <v>98.864954319332</v>
      </c>
      <c r="F21" s="65">
        <f>GECbladedata!G39</f>
        <v>0</v>
      </c>
      <c r="G21" s="105">
        <f>GECbladedata!H39</f>
        <v>0.20717060876308085</v>
      </c>
      <c r="H21" s="65">
        <f>GECbladedata!I39</f>
        <v>0</v>
      </c>
      <c r="I21" s="105">
        <f>GECbladedata!J39</f>
        <v>5.1865984067318904E-2</v>
      </c>
      <c r="J21" s="104">
        <f>GECbladedata!K39</f>
        <v>2.5999999999999996</v>
      </c>
      <c r="K21" s="254">
        <f>GECbladedata!L39</f>
        <v>21407116.991112508</v>
      </c>
      <c r="L21" s="254">
        <f>GECbladedata!M39</f>
        <v>3737366167.8227329</v>
      </c>
      <c r="M21" s="254">
        <f>GECbladedata!N39</f>
        <v>838972045.18727791</v>
      </c>
      <c r="N21" s="254">
        <f>GECbladedata!O39</f>
        <v>301062716.42475706</v>
      </c>
      <c r="O21" s="105">
        <f>GECbladedata!P39</f>
        <v>2.8515621031242064</v>
      </c>
      <c r="P21" s="105">
        <f>GECbladedata!Q39</f>
        <v>-0.15841859283718568</v>
      </c>
      <c r="Q21" s="67">
        <f>GECbladedata!R39</f>
        <v>3</v>
      </c>
      <c r="R21" s="335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247.51395148644866</v>
      </c>
      <c r="D22" s="104">
        <f>GECbladedata!E40</f>
        <v>0</v>
      </c>
      <c r="E22" s="104">
        <f>GECbladedata!F40</f>
        <v>80.645051894146789</v>
      </c>
      <c r="F22" s="65">
        <f>GECbladedata!G40</f>
        <v>0</v>
      </c>
      <c r="G22" s="105">
        <f>GECbladedata!H40</f>
        <v>0.21297590076514711</v>
      </c>
      <c r="H22" s="65">
        <f>GECbladedata!I40</f>
        <v>0</v>
      </c>
      <c r="I22" s="105">
        <f>GECbladedata!J40</f>
        <v>6.3286914354635584E-2</v>
      </c>
      <c r="J22" s="104">
        <f>GECbladedata!K40</f>
        <v>2.1000000000000005</v>
      </c>
      <c r="K22" s="254">
        <f>GECbladedata!L40</f>
        <v>17332451.584861934</v>
      </c>
      <c r="L22" s="254">
        <f>GECbladedata!M40</f>
        <v>3248668266.524538</v>
      </c>
      <c r="M22" s="254">
        <f>GECbladedata!N40</f>
        <v>689937284.31657219</v>
      </c>
      <c r="N22" s="254">
        <f>GECbladedata!O40</f>
        <v>239766215.32745194</v>
      </c>
      <c r="O22" s="105">
        <f>GECbladedata!P40</f>
        <v>2.6668021336042678</v>
      </c>
      <c r="P22" s="105">
        <f>GECbladedata!Q40</f>
        <v>-0.13465786131572266</v>
      </c>
      <c r="Q22" s="67">
        <f>GECbladedata!R40</f>
        <v>3</v>
      </c>
      <c r="R22" s="335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211.46233980212395</v>
      </c>
      <c r="D23" s="104">
        <f>GECbladedata!E41</f>
        <v>0</v>
      </c>
      <c r="E23" s="104">
        <f>GECbladedata!F41</f>
        <v>62.42514946896155</v>
      </c>
      <c r="F23" s="65">
        <f>GECbladedata!G41</f>
        <v>0</v>
      </c>
      <c r="G23" s="105">
        <f>GECbladedata!H41</f>
        <v>0.21878119276721342</v>
      </c>
      <c r="H23" s="65">
        <f>GECbladedata!I41</f>
        <v>0</v>
      </c>
      <c r="I23" s="105">
        <f>GECbladedata!J41</f>
        <v>7.4707844641952292E-2</v>
      </c>
      <c r="J23" s="104">
        <f>GECbladedata!K41</f>
        <v>1.5999999999999999</v>
      </c>
      <c r="K23" s="254">
        <f>GECbladedata!L41</f>
        <v>13257786.178611353</v>
      </c>
      <c r="L23" s="254">
        <f>GECbladedata!M41</f>
        <v>2759970365.2263422</v>
      </c>
      <c r="M23" s="254">
        <f>GECbladedata!N41</f>
        <v>540902523.44586635</v>
      </c>
      <c r="N23" s="254">
        <f>GECbladedata!O41</f>
        <v>178469714.23014665</v>
      </c>
      <c r="O23" s="105">
        <f>GECbladedata!P41</f>
        <v>2.4820421640843282</v>
      </c>
      <c r="P23" s="105">
        <f>GECbladedata!Q41</f>
        <v>-0.11089712979425961</v>
      </c>
      <c r="Q23" s="67">
        <f>GECbladedata!R41</f>
        <v>3</v>
      </c>
      <c r="R23" s="335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175.41072811779932</v>
      </c>
      <c r="D24" s="104">
        <f>GECbladedata!E42</f>
        <v>0</v>
      </c>
      <c r="E24" s="104">
        <f>GECbladedata!F42</f>
        <v>44.205247043776339</v>
      </c>
      <c r="F24" s="65">
        <f>GECbladedata!G42</f>
        <v>0</v>
      </c>
      <c r="G24" s="105">
        <f>GECbladedata!H42</f>
        <v>0.22458648476927967</v>
      </c>
      <c r="H24" s="65">
        <f>GECbladedata!I42</f>
        <v>0</v>
      </c>
      <c r="I24" s="105">
        <f>GECbladedata!J42</f>
        <v>8.6128774929268972E-2</v>
      </c>
      <c r="J24" s="104">
        <f>GECbladedata!K42</f>
        <v>1.1000000000000005</v>
      </c>
      <c r="K24" s="254">
        <f>GECbladedata!L42</f>
        <v>9183120.7723607793</v>
      </c>
      <c r="L24" s="254">
        <f>GECbladedata!M42</f>
        <v>2271272463.9281473</v>
      </c>
      <c r="M24" s="254">
        <f>GECbladedata!N42</f>
        <v>391867762.57516062</v>
      </c>
      <c r="N24" s="254">
        <f>GECbladedata!O42</f>
        <v>117173213.1328415</v>
      </c>
      <c r="O24" s="105">
        <f>GECbladedata!P42</f>
        <v>2.2972821945643895</v>
      </c>
      <c r="P24" s="105">
        <f>GECbladedata!Q42</f>
        <v>-8.7136398272796622E-2</v>
      </c>
      <c r="Q24" s="67">
        <f>GECbladedata!R42</f>
        <v>3</v>
      </c>
      <c r="R24" s="335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139.35911643347461</v>
      </c>
      <c r="D25" s="104">
        <f>GECbladedata!E43</f>
        <v>0</v>
      </c>
      <c r="E25" s="104">
        <f>GECbladedata!F43</f>
        <v>25.985344618591107</v>
      </c>
      <c r="F25" s="65">
        <f>GECbladedata!G43</f>
        <v>0</v>
      </c>
      <c r="G25" s="105">
        <f>GECbladedata!H43</f>
        <v>0.23039177677134595</v>
      </c>
      <c r="H25" s="65">
        <f>GECbladedata!I43</f>
        <v>0</v>
      </c>
      <c r="I25" s="105">
        <f>GECbladedata!J43</f>
        <v>9.754970521658568E-2</v>
      </c>
      <c r="J25" s="104">
        <f>GECbladedata!K43</f>
        <v>0.6</v>
      </c>
      <c r="K25" s="254">
        <f>GECbladedata!L43</f>
        <v>5108455.3661101973</v>
      </c>
      <c r="L25" s="254">
        <f>GECbladedata!M43</f>
        <v>1782574562.629951</v>
      </c>
      <c r="M25" s="254">
        <f>GECbladedata!N43</f>
        <v>242833001.70445472</v>
      </c>
      <c r="N25" s="254">
        <f>GECbladedata!O43</f>
        <v>55876712.03553623</v>
      </c>
      <c r="O25" s="105">
        <f>GECbladedata!P43</f>
        <v>2.1125222250444504</v>
      </c>
      <c r="P25" s="105">
        <f>GECbladedata!Q43</f>
        <v>-6.3375666751333562E-2</v>
      </c>
      <c r="Q25" s="67">
        <f>GECbladedata!R43</f>
        <v>3</v>
      </c>
      <c r="R25" s="335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114.8236118008315</v>
      </c>
      <c r="D26" s="104">
        <f>GECbladedata!E44</f>
        <v>0</v>
      </c>
      <c r="E26" s="104">
        <f>GECbladedata!F44</f>
        <v>21.261041079001078</v>
      </c>
      <c r="F26" s="65">
        <f>GECbladedata!G44</f>
        <v>0</v>
      </c>
      <c r="G26" s="105">
        <f>GECbladedata!H44</f>
        <v>0.24645058169139733</v>
      </c>
      <c r="H26" s="65">
        <f>GECbladedata!I44</f>
        <v>0</v>
      </c>
      <c r="I26" s="105">
        <f>GECbladedata!J44</f>
        <v>0.10566197397768816</v>
      </c>
      <c r="J26" s="104">
        <f>GECbladedata!K44</f>
        <v>0.47999999999999987</v>
      </c>
      <c r="K26" s="254">
        <f>GECbladedata!L44</f>
        <v>4195517.6643379992</v>
      </c>
      <c r="L26" s="254">
        <f>GECbladedata!M44</f>
        <v>1461230658.9921355</v>
      </c>
      <c r="M26" s="254">
        <f>GECbladedata!N44</f>
        <v>199004345.945301</v>
      </c>
      <c r="N26" s="254">
        <f>GECbladedata!O44</f>
        <v>44839759.888547704</v>
      </c>
      <c r="O26" s="105">
        <f>GECbladedata!P44</f>
        <v>1.9462534925069852</v>
      </c>
      <c r="P26" s="105">
        <f>GECbladedata!Q44</f>
        <v>-5.0700533401066838E-2</v>
      </c>
      <c r="Q26" s="67">
        <f>GECbladedata!R44</f>
        <v>3</v>
      </c>
      <c r="R26" s="335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90.288107168188432</v>
      </c>
      <c r="D27" s="104">
        <f>GECbladedata!E45</f>
        <v>0</v>
      </c>
      <c r="E27" s="104">
        <f>GECbladedata!F45</f>
        <v>16.536737539411057</v>
      </c>
      <c r="F27" s="65">
        <f>GECbladedata!G45</f>
        <v>0</v>
      </c>
      <c r="G27" s="105">
        <f>GECbladedata!H45</f>
        <v>0.26250938661144868</v>
      </c>
      <c r="H27" s="65">
        <f>GECbladedata!I45</f>
        <v>0</v>
      </c>
      <c r="I27" s="105">
        <f>GECbladedata!J45</f>
        <v>0.11377424273879062</v>
      </c>
      <c r="J27" s="104">
        <f>GECbladedata!K45</f>
        <v>0.36000000000000004</v>
      </c>
      <c r="K27" s="254">
        <f>GECbladedata!L45</f>
        <v>3282579.962565803</v>
      </c>
      <c r="L27" s="254">
        <f>GECbladedata!M45</f>
        <v>1139886755.354321</v>
      </c>
      <c r="M27" s="254">
        <f>GECbladedata!N45</f>
        <v>155175690.18614733</v>
      </c>
      <c r="N27" s="254">
        <f>GECbladedata!O45</f>
        <v>33802807.741559193</v>
      </c>
      <c r="O27" s="105">
        <f>GECbladedata!P45</f>
        <v>1.7799847599695202</v>
      </c>
      <c r="P27" s="105">
        <f>GECbladedata!Q45</f>
        <v>-3.8025400050800143E-2</v>
      </c>
      <c r="Q27" s="67">
        <f>GECbladedata!R45</f>
        <v>3</v>
      </c>
      <c r="R27" s="335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65.752602535545321</v>
      </c>
      <c r="D28" s="104">
        <f>GECbladedata!E46</f>
        <v>0</v>
      </c>
      <c r="E28" s="104">
        <f>GECbladedata!F46</f>
        <v>11.81243399982103</v>
      </c>
      <c r="F28" s="65">
        <f>GECbladedata!G46</f>
        <v>0</v>
      </c>
      <c r="G28" s="105">
        <f>GECbladedata!H46</f>
        <v>0.27856819153150003</v>
      </c>
      <c r="H28" s="65">
        <f>GECbladedata!I46</f>
        <v>0</v>
      </c>
      <c r="I28" s="105">
        <f>GECbladedata!J46</f>
        <v>0.12188651149989312</v>
      </c>
      <c r="J28" s="104">
        <f>GECbladedata!K46</f>
        <v>0.23999999999999994</v>
      </c>
      <c r="K28" s="254">
        <f>GECbladedata!L46</f>
        <v>2369642.2607936049</v>
      </c>
      <c r="L28" s="254">
        <f>GECbladedata!M46</f>
        <v>818542851.71650553</v>
      </c>
      <c r="M28" s="254">
        <f>GECbladedata!N46</f>
        <v>111347034.42699362</v>
      </c>
      <c r="N28" s="254">
        <f>GECbladedata!O46</f>
        <v>22765855.594570663</v>
      </c>
      <c r="O28" s="105">
        <f>GECbladedata!P46</f>
        <v>1.613716027432055</v>
      </c>
      <c r="P28" s="105">
        <f>GECbladedata!Q46</f>
        <v>-2.5350266700533419E-2</v>
      </c>
      <c r="Q28" s="67">
        <f>GECbladedata!R46</f>
        <v>4</v>
      </c>
      <c r="R28" s="335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41.217097902902253</v>
      </c>
      <c r="D29" s="104">
        <f>GECbladedata!E47</f>
        <v>0</v>
      </c>
      <c r="E29" s="104">
        <f>GECbladedata!F47</f>
        <v>7.0881304602310102</v>
      </c>
      <c r="F29" s="65">
        <f>GECbladedata!G47</f>
        <v>0</v>
      </c>
      <c r="G29" s="105">
        <f>GECbladedata!H47</f>
        <v>0.29462699645155138</v>
      </c>
      <c r="H29" s="65">
        <f>GECbladedata!I47</f>
        <v>0</v>
      </c>
      <c r="I29" s="105">
        <f>GECbladedata!J47</f>
        <v>0.12999878026099557</v>
      </c>
      <c r="J29" s="104">
        <f>GECbladedata!K47</f>
        <v>0.12000000000000011</v>
      </c>
      <c r="K29" s="254">
        <f>GECbladedata!L47</f>
        <v>1456704.5590214087</v>
      </c>
      <c r="L29" s="254">
        <f>GECbladedata!M47</f>
        <v>497198948.07869101</v>
      </c>
      <c r="M29" s="254">
        <f>GECbladedata!N47</f>
        <v>67518378.667839974</v>
      </c>
      <c r="N29" s="254">
        <f>GECbladedata!O47</f>
        <v>11728903.447582163</v>
      </c>
      <c r="O29" s="105">
        <f>GECbladedata!P47</f>
        <v>1.44744729489459</v>
      </c>
      <c r="P29" s="105">
        <f>GECbladedata!Q47</f>
        <v>-1.2675133350266723E-2</v>
      </c>
      <c r="Q29" s="67">
        <f>GECbladedata!R47</f>
        <v>4</v>
      </c>
      <c r="R29" s="335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16.681593270259139</v>
      </c>
      <c r="D30" s="104">
        <f>GECbladedata!E48</f>
        <v>0</v>
      </c>
      <c r="E30" s="104">
        <f>GECbladedata!F48</f>
        <v>2.3638269206409808</v>
      </c>
      <c r="F30" s="65">
        <f>GECbladedata!G48</f>
        <v>0</v>
      </c>
      <c r="G30" s="105">
        <f>GECbladedata!H48</f>
        <v>0.31068580137160273</v>
      </c>
      <c r="H30" s="65">
        <f>GECbladedata!I48</f>
        <v>0</v>
      </c>
      <c r="I30" s="105">
        <f>GECbladedata!J48</f>
        <v>0.13811104902209806</v>
      </c>
      <c r="J30" s="104">
        <f>GECbladedata!K48</f>
        <v>0</v>
      </c>
      <c r="K30" s="254">
        <f>GECbladedata!L48</f>
        <v>543766.85724921024</v>
      </c>
      <c r="L30" s="254">
        <f>GECbladedata!M48</f>
        <v>175855044.44087556</v>
      </c>
      <c r="M30" s="254">
        <f>GECbladedata!N48</f>
        <v>23689722.908686247</v>
      </c>
      <c r="N30" s="254">
        <f>GECbladedata!O48</f>
        <v>691951.30059363274</v>
      </c>
      <c r="O30" s="255">
        <f>GECbladedata!P48</f>
        <v>1.2811785623571248</v>
      </c>
      <c r="P30" s="105">
        <f>GECbladedata!Q48</f>
        <v>0</v>
      </c>
      <c r="Q30" s="67">
        <f>GECbladedata!R48</f>
        <v>4</v>
      </c>
      <c r="R30" s="335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4"/>
      <c r="C3" s="188" t="s">
        <v>88</v>
      </c>
      <c r="D3" s="188" t="s">
        <v>323</v>
      </c>
      <c r="E3" s="188" t="s">
        <v>89</v>
      </c>
      <c r="F3" s="195" t="s">
        <v>324</v>
      </c>
      <c r="G3" s="188" t="s">
        <v>325</v>
      </c>
      <c r="H3" s="188" t="s">
        <v>326</v>
      </c>
      <c r="I3" s="188" t="s">
        <v>327</v>
      </c>
      <c r="J3" s="188" t="s">
        <v>343</v>
      </c>
      <c r="K3" s="188" t="s">
        <v>344</v>
      </c>
      <c r="L3" s="188" t="s">
        <v>113</v>
      </c>
      <c r="M3" s="188" t="s">
        <v>112</v>
      </c>
      <c r="N3" s="196" t="s">
        <v>345</v>
      </c>
    </row>
    <row r="4" spans="2:21" ht="13.5">
      <c r="B4" s="192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4" t="s">
        <v>357</v>
      </c>
    </row>
    <row r="5" spans="2:21">
      <c r="B5" s="200">
        <f>'Main Page'!A124</f>
        <v>0.05</v>
      </c>
      <c r="C5" s="201">
        <f>'Main Page'!B124</f>
        <v>2.6729794259588524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2514.2728793945694</v>
      </c>
      <c r="J5" s="205">
        <f>'Main Page'!I124</f>
        <v>25915847780.81815</v>
      </c>
      <c r="K5" s="205">
        <f>'Main Page'!J124</f>
        <v>25915847780.81815</v>
      </c>
      <c r="L5" s="205">
        <f>'Main Page'!K124</f>
        <v>28944438488.483387</v>
      </c>
      <c r="M5" s="205">
        <f>'Main Page'!L124</f>
        <v>8966505090.0080204</v>
      </c>
      <c r="N5" s="206">
        <f>'Main Page'!M124</f>
        <v>4490.9882032550131</v>
      </c>
    </row>
    <row r="6" spans="2:21">
      <c r="B6" s="207">
        <f>'Main Page'!A125</f>
        <v>7.0000000000000007E-2</v>
      </c>
      <c r="C6" s="208">
        <f>'Main Page'!B125</f>
        <v>2.6729794259588524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378.46476436784059</v>
      </c>
      <c r="J6" s="211">
        <f>'Main Page'!I125</f>
        <v>4995749732.6391211</v>
      </c>
      <c r="K6" s="211">
        <f>'Main Page'!J125</f>
        <v>4995749732.6391211</v>
      </c>
      <c r="L6" s="211">
        <f>'Main Page'!K125</f>
        <v>5635228554.6241884</v>
      </c>
      <c r="M6" s="211">
        <f>'Main Page'!L125</f>
        <v>1745703465.4624267</v>
      </c>
      <c r="N6" s="212">
        <f>'Main Page'!M125</f>
        <v>676.01285685941104</v>
      </c>
    </row>
    <row r="7" spans="2:21">
      <c r="B7" s="197">
        <f>'Main Page'!A126</f>
        <v>0.25</v>
      </c>
      <c r="C7" s="208">
        <f>'Main Page'!B126</f>
        <v>3.9601219202438407</v>
      </c>
      <c r="D7" s="209">
        <f>'Main Page'!C126</f>
        <v>0.33</v>
      </c>
      <c r="E7" s="209">
        <f>'Main Page'!D126</f>
        <v>4.2105075887228658</v>
      </c>
      <c r="F7" s="203">
        <f>'Main Page'!E126</f>
        <v>0.34</v>
      </c>
      <c r="G7" s="208">
        <f>'Main Page'!F126</f>
        <v>0.40616627838474717</v>
      </c>
      <c r="H7" s="208">
        <f>'Main Page'!G126</f>
        <v>0.32779911806110856</v>
      </c>
      <c r="I7" s="210">
        <f>'Main Page'!H126</f>
        <v>405.46483412508888</v>
      </c>
      <c r="J7" s="211">
        <f>'Main Page'!I126</f>
        <v>1456208344.9209256</v>
      </c>
      <c r="K7" s="211">
        <f>'Main Page'!J126</f>
        <v>3906180885.0486031</v>
      </c>
      <c r="L7" s="198">
        <f>'Main Page'!K126</f>
        <v>5337777876.7804203</v>
      </c>
      <c r="M7" s="198">
        <f>'Main Page'!L126</f>
        <v>63313292.734555714</v>
      </c>
      <c r="N7" s="213">
        <f>'Main Page'!M126</f>
        <v>354.86371029702843</v>
      </c>
    </row>
    <row r="8" spans="2:21">
      <c r="B8" s="197">
        <f>'Main Page'!A127</f>
        <v>0.5</v>
      </c>
      <c r="C8" s="208">
        <f>'Main Page'!B127</f>
        <v>3.0363220726441456</v>
      </c>
      <c r="D8" s="214">
        <f>'Main Page'!C127</f>
        <v>0.24</v>
      </c>
      <c r="E8" s="209">
        <f>'Main Page'!D127</f>
        <v>8.8087131153173708</v>
      </c>
      <c r="F8" s="203">
        <f>'Main Page'!E127</f>
        <v>0.31</v>
      </c>
      <c r="G8" s="208">
        <f>'Main Page'!F127</f>
        <v>0.37631882650896054</v>
      </c>
      <c r="H8" s="208">
        <f>'Main Page'!G127</f>
        <v>0.32332040963124214</v>
      </c>
      <c r="I8" s="210">
        <f>'Main Page'!H127</f>
        <v>319.61717485509803</v>
      </c>
      <c r="J8" s="211">
        <f>'Main Page'!I127</f>
        <v>362359217.52206236</v>
      </c>
      <c r="K8" s="211">
        <f>'Main Page'!J127</f>
        <v>988006806.05798388</v>
      </c>
      <c r="L8" s="198">
        <f>'Main Page'!K127</f>
        <v>4226064069.1209292</v>
      </c>
      <c r="M8" s="198">
        <f>'Main Page'!L127</f>
        <v>25481782.397363089</v>
      </c>
      <c r="N8" s="213">
        <f>'Main Page'!M127</f>
        <v>117.08485674451724</v>
      </c>
    </row>
    <row r="9" spans="2:21">
      <c r="B9" s="197">
        <f>'Main Page'!A128</f>
        <v>0.75</v>
      </c>
      <c r="C9" s="208">
        <f>'Main Page'!B128</f>
        <v>2.1125222250444504</v>
      </c>
      <c r="D9" s="214">
        <f>'Main Page'!C128</f>
        <v>0.21</v>
      </c>
      <c r="E9" s="209">
        <f>'Main Page'!D128</f>
        <v>8.3824243344618559</v>
      </c>
      <c r="F9" s="203">
        <f>'Main Page'!E128</f>
        <v>0.28000000000000003</v>
      </c>
      <c r="G9" s="208">
        <f>'Main Page'!F128</f>
        <v>0.38906004871333283</v>
      </c>
      <c r="H9" s="208">
        <f>'Main Page'!G128</f>
        <v>0.32617688943581796</v>
      </c>
      <c r="I9" s="210">
        <f>'Main Page'!H128</f>
        <v>139.35911643347461</v>
      </c>
      <c r="J9" s="211">
        <f>'Main Page'!I128</f>
        <v>55876712.03553623</v>
      </c>
      <c r="K9" s="211">
        <f>'Main Page'!J128</f>
        <v>242833001.70445472</v>
      </c>
      <c r="L9" s="198">
        <f>'Main Page'!K128</f>
        <v>1782574562.629951</v>
      </c>
      <c r="M9" s="198">
        <f>'Main Page'!L128</f>
        <v>5108455.3661101973</v>
      </c>
      <c r="N9" s="213">
        <f>'Main Page'!M128</f>
        <v>25.985344618591107</v>
      </c>
    </row>
    <row r="10" spans="2:21">
      <c r="B10" s="215">
        <f>'Main Page'!A129</f>
        <v>1</v>
      </c>
      <c r="C10" s="216">
        <f>'Main Page'!B129</f>
        <v>1.2811785623571248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16.681593270259139</v>
      </c>
      <c r="J10" s="219">
        <f>'Main Page'!I129</f>
        <v>691951.30059363274</v>
      </c>
      <c r="K10" s="219">
        <f>'Main Page'!J129</f>
        <v>23689722.908686247</v>
      </c>
      <c r="L10" s="220">
        <f>'Main Page'!K129</f>
        <v>175855044.44087556</v>
      </c>
      <c r="M10" s="220">
        <f>'Main Page'!L129</f>
        <v>543766.85724921024</v>
      </c>
      <c r="N10" s="221">
        <f>'Main Page'!M129</f>
        <v>2.3638269206409808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353</v>
      </c>
      <c r="D12" s="227">
        <f>'Main Page'!B13/2</f>
        <v>49.5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354</v>
      </c>
      <c r="D13" s="228">
        <f>'Main Page'!B56/2</f>
        <v>2.4750000000000001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139</v>
      </c>
      <c r="D16" s="230" t="s">
        <v>154</v>
      </c>
      <c r="E16" s="188" t="s">
        <v>358</v>
      </c>
      <c r="F16" s="188" t="s">
        <v>359</v>
      </c>
      <c r="G16" s="231" t="s">
        <v>360</v>
      </c>
      <c r="H16" s="231" t="s">
        <v>360</v>
      </c>
      <c r="I16" s="231" t="s">
        <v>363</v>
      </c>
      <c r="J16" s="231" t="s">
        <v>363</v>
      </c>
      <c r="K16" s="230" t="s">
        <v>364</v>
      </c>
      <c r="L16" s="188" t="s">
        <v>112</v>
      </c>
      <c r="M16" s="188" t="s">
        <v>113</v>
      </c>
      <c r="N16" s="188" t="s">
        <v>344</v>
      </c>
      <c r="O16" s="188" t="s">
        <v>343</v>
      </c>
      <c r="P16" s="188" t="s">
        <v>88</v>
      </c>
      <c r="Q16" s="258" t="s">
        <v>366</v>
      </c>
      <c r="R16" s="232" t="s">
        <v>370</v>
      </c>
      <c r="S16" s="108"/>
      <c r="T16" s="108"/>
      <c r="U16" s="108"/>
    </row>
    <row r="17" spans="2:21" ht="13.5">
      <c r="B17" s="192" t="s">
        <v>355</v>
      </c>
      <c r="C17" s="233" t="s">
        <v>356</v>
      </c>
      <c r="D17" s="233" t="s">
        <v>331</v>
      </c>
      <c r="E17" s="176" t="s">
        <v>357</v>
      </c>
      <c r="F17" s="176" t="s">
        <v>357</v>
      </c>
      <c r="G17" s="234" t="s">
        <v>361</v>
      </c>
      <c r="H17" s="234" t="s">
        <v>362</v>
      </c>
      <c r="I17" s="234" t="s">
        <v>361</v>
      </c>
      <c r="J17" s="234" t="s">
        <v>362</v>
      </c>
      <c r="K17" s="233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0" t="s">
        <v>90</v>
      </c>
      <c r="R17" s="261" t="s">
        <v>371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2514.2728793945694</v>
      </c>
      <c r="E18" s="238">
        <f>N5*'Main Page'!C$131/('Main Page'!C$131+1)</f>
        <v>0</v>
      </c>
      <c r="F18" s="238">
        <f t="shared" ref="F18:F23" si="3">N5-E18</f>
        <v>4490.9882032550131</v>
      </c>
      <c r="G18" s="185">
        <v>0</v>
      </c>
      <c r="H18" s="227">
        <f t="shared" ref="H18:H23" si="4">C5*(G5-F5)</f>
        <v>0.6682448564897131</v>
      </c>
      <c r="I18" s="185">
        <v>0</v>
      </c>
      <c r="J18" s="239">
        <f t="shared" ref="J18:J23" si="5">C5*(H5-F5)</f>
        <v>0.6682448564897131</v>
      </c>
      <c r="K18" s="238">
        <f>'Main Page'!B136-'Main Page'!B$141</f>
        <v>11.1</v>
      </c>
      <c r="L18" s="240">
        <f t="shared" ref="L18:L23" si="6">M5</f>
        <v>8966505090.0080204</v>
      </c>
      <c r="M18" s="240">
        <f t="shared" ref="M18:M23" si="7">L5</f>
        <v>28944438488.483387</v>
      </c>
      <c r="N18" s="240">
        <f t="shared" ref="N18:N23" si="8">K5</f>
        <v>25915847780.81815</v>
      </c>
      <c r="O18" s="240">
        <f t="shared" ref="O18:O23" si="9">J5</f>
        <v>25915847780.81815</v>
      </c>
      <c r="P18" s="227">
        <f t="shared" ref="P18:P23" si="10">C5</f>
        <v>2.6729794259588524</v>
      </c>
      <c r="Q18" s="227">
        <v>0</v>
      </c>
      <c r="R18" s="264">
        <f>'Main Page'!D136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378.46476436784059</v>
      </c>
      <c r="E19" s="243">
        <f>N6*'Main Page'!C$131/('Main Page'!C$131+1)</f>
        <v>0</v>
      </c>
      <c r="F19" s="243">
        <f t="shared" si="3"/>
        <v>676.01285685941104</v>
      </c>
      <c r="G19" s="8">
        <v>0</v>
      </c>
      <c r="H19" s="244">
        <f t="shared" si="4"/>
        <v>0.6682448564897131</v>
      </c>
      <c r="I19" s="8">
        <v>0</v>
      </c>
      <c r="J19" s="245">
        <f t="shared" si="5"/>
        <v>0.6682448564897131</v>
      </c>
      <c r="K19" s="243">
        <f>'Main Page'!B137-'Main Page'!B$141</f>
        <v>11.1</v>
      </c>
      <c r="L19" s="246">
        <f t="shared" si="6"/>
        <v>1745703465.4624267</v>
      </c>
      <c r="M19" s="246">
        <f t="shared" si="7"/>
        <v>5635228554.6241884</v>
      </c>
      <c r="N19" s="246">
        <f t="shared" si="8"/>
        <v>4995749732.6391211</v>
      </c>
      <c r="O19" s="246">
        <f t="shared" si="9"/>
        <v>4995749732.6391211</v>
      </c>
      <c r="P19" s="244">
        <f t="shared" si="10"/>
        <v>2.6729794259588524</v>
      </c>
      <c r="Q19" s="244">
        <v>0</v>
      </c>
      <c r="R19" s="262">
        <f>'Main Page'!D137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405.46483412508888</v>
      </c>
      <c r="E20" s="243">
        <f>N7*'Main Page'!C$131/('Main Page'!C$131+1)</f>
        <v>0</v>
      </c>
      <c r="F20" s="243">
        <f t="shared" si="3"/>
        <v>354.86371029702843</v>
      </c>
      <c r="G20" s="8">
        <v>0</v>
      </c>
      <c r="H20" s="244">
        <f t="shared" si="4"/>
        <v>0.26202652941239341</v>
      </c>
      <c r="I20" s="8">
        <v>0</v>
      </c>
      <c r="J20" s="245">
        <f t="shared" si="5"/>
        <v>-4.8316980012511251E-2</v>
      </c>
      <c r="K20" s="243">
        <f>'Main Page'!B138-'Main Page'!B$141</f>
        <v>11.1</v>
      </c>
      <c r="L20" s="246">
        <f t="shared" si="6"/>
        <v>63313292.734555714</v>
      </c>
      <c r="M20" s="246">
        <f t="shared" si="7"/>
        <v>5337777876.7804203</v>
      </c>
      <c r="N20" s="246">
        <f t="shared" si="8"/>
        <v>3906180885.0486031</v>
      </c>
      <c r="O20" s="246">
        <f t="shared" si="9"/>
        <v>1456208344.9209256</v>
      </c>
      <c r="P20" s="244">
        <f t="shared" si="10"/>
        <v>3.9601219202438407</v>
      </c>
      <c r="Q20" s="244">
        <f>C7*(0.25-F7)</f>
        <v>-0.35641097282194578</v>
      </c>
      <c r="R20" s="262">
        <f>'Main Page'!D138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319.61717485509803</v>
      </c>
      <c r="E21" s="243">
        <f>N8*'Main Page'!C$131/('Main Page'!C$131+1)</f>
        <v>0</v>
      </c>
      <c r="F21" s="243">
        <f t="shared" si="3"/>
        <v>117.08485674451724</v>
      </c>
      <c r="G21" s="8">
        <v>0</v>
      </c>
      <c r="H21" s="244">
        <f t="shared" si="4"/>
        <v>0.20136531676101457</v>
      </c>
      <c r="I21" s="8">
        <v>0</v>
      </c>
      <c r="J21" s="245">
        <f t="shared" si="5"/>
        <v>4.0445053780002196E-2</v>
      </c>
      <c r="K21" s="243">
        <f>'Main Page'!B139-'Main Page'!B$141</f>
        <v>3.1</v>
      </c>
      <c r="L21" s="246">
        <f t="shared" si="6"/>
        <v>25481782.397363089</v>
      </c>
      <c r="M21" s="246">
        <f t="shared" si="7"/>
        <v>4226064069.1209292</v>
      </c>
      <c r="N21" s="246">
        <f t="shared" si="8"/>
        <v>988006806.05798388</v>
      </c>
      <c r="O21" s="246">
        <f t="shared" si="9"/>
        <v>362359217.52206236</v>
      </c>
      <c r="P21" s="244">
        <f t="shared" si="10"/>
        <v>3.0363220726441456</v>
      </c>
      <c r="Q21" s="244">
        <f>C8*(0.25-F8)</f>
        <v>-0.18217932435864873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139.35911643347461</v>
      </c>
      <c r="E22" s="243">
        <f>N9*'Main Page'!C$131/('Main Page'!C$131+1)</f>
        <v>0</v>
      </c>
      <c r="F22" s="243">
        <f t="shared" si="3"/>
        <v>25.985344618591107</v>
      </c>
      <c r="G22" s="8">
        <v>0</v>
      </c>
      <c r="H22" s="244">
        <f t="shared" si="4"/>
        <v>0.23039177677134595</v>
      </c>
      <c r="I22" s="8">
        <v>0</v>
      </c>
      <c r="J22" s="245">
        <f t="shared" si="5"/>
        <v>9.754970521658568E-2</v>
      </c>
      <c r="K22" s="243">
        <f>'Main Page'!B140-'Main Page'!B$141</f>
        <v>0.6</v>
      </c>
      <c r="L22" s="246">
        <f t="shared" si="6"/>
        <v>5108455.3661101973</v>
      </c>
      <c r="M22" s="246">
        <f t="shared" si="7"/>
        <v>1782574562.629951</v>
      </c>
      <c r="N22" s="246">
        <f t="shared" si="8"/>
        <v>242833001.70445472</v>
      </c>
      <c r="O22" s="246">
        <f t="shared" si="9"/>
        <v>55876712.03553623</v>
      </c>
      <c r="P22" s="244">
        <f t="shared" si="10"/>
        <v>2.1125222250444504</v>
      </c>
      <c r="Q22" s="244">
        <f>C9*(0.25-F9)</f>
        <v>-6.3375666751333562E-2</v>
      </c>
      <c r="R22" s="262">
        <f>'Main Page'!D140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16.681593270259139</v>
      </c>
      <c r="E23" s="249">
        <f>N10*'Main Page'!C$131/('Main Page'!C$131+1)</f>
        <v>0</v>
      </c>
      <c r="F23" s="249">
        <f t="shared" si="3"/>
        <v>2.3638269206409808</v>
      </c>
      <c r="G23" s="225">
        <v>0</v>
      </c>
      <c r="H23" s="228">
        <f t="shared" si="4"/>
        <v>0.31068580137160273</v>
      </c>
      <c r="I23" s="225">
        <v>0</v>
      </c>
      <c r="J23" s="250">
        <f t="shared" si="5"/>
        <v>0.13811104902209806</v>
      </c>
      <c r="K23" s="249">
        <f>'Main Page'!B141-'Main Page'!B$141</f>
        <v>0</v>
      </c>
      <c r="L23" s="251">
        <f t="shared" si="6"/>
        <v>543766.85724921024</v>
      </c>
      <c r="M23" s="251">
        <f t="shared" si="7"/>
        <v>175855044.44087556</v>
      </c>
      <c r="N23" s="251">
        <f t="shared" si="8"/>
        <v>23689722.908686247</v>
      </c>
      <c r="O23" s="251">
        <f t="shared" si="9"/>
        <v>691951.30059363274</v>
      </c>
      <c r="P23" s="228">
        <f t="shared" si="10"/>
        <v>1.2811785623571248</v>
      </c>
      <c r="Q23" s="228">
        <f>C10*(0.25-F10)</f>
        <v>0</v>
      </c>
      <c r="R23" s="263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29" t="s">
        <v>87</v>
      </c>
      <c r="C26" s="230" t="s">
        <v>139</v>
      </c>
      <c r="D26" s="230" t="s">
        <v>154</v>
      </c>
      <c r="E26" s="188" t="s">
        <v>358</v>
      </c>
      <c r="F26" s="188" t="s">
        <v>359</v>
      </c>
      <c r="G26" s="231" t="s">
        <v>360</v>
      </c>
      <c r="H26" s="231" t="s">
        <v>360</v>
      </c>
      <c r="I26" s="231" t="s">
        <v>363</v>
      </c>
      <c r="J26" s="231" t="s">
        <v>363</v>
      </c>
      <c r="K26" s="230" t="s">
        <v>364</v>
      </c>
      <c r="L26" s="188" t="s">
        <v>112</v>
      </c>
      <c r="M26" s="188" t="s">
        <v>113</v>
      </c>
      <c r="N26" s="188" t="s">
        <v>344</v>
      </c>
      <c r="O26" s="188" t="s">
        <v>343</v>
      </c>
      <c r="P26" s="188" t="s">
        <v>88</v>
      </c>
      <c r="Q26" s="258" t="s">
        <v>366</v>
      </c>
      <c r="R26" s="232" t="s">
        <v>370</v>
      </c>
      <c r="T26" t="s">
        <v>382</v>
      </c>
    </row>
    <row r="27" spans="2:21" ht="13.5">
      <c r="B27" s="192" t="s">
        <v>355</v>
      </c>
      <c r="C27" s="233" t="s">
        <v>356</v>
      </c>
      <c r="D27" s="233" t="s">
        <v>331</v>
      </c>
      <c r="E27" s="176" t="s">
        <v>357</v>
      </c>
      <c r="F27" s="176" t="s">
        <v>357</v>
      </c>
      <c r="G27" s="234" t="s">
        <v>361</v>
      </c>
      <c r="H27" s="234" t="s">
        <v>362</v>
      </c>
      <c r="I27" s="234" t="s">
        <v>361</v>
      </c>
      <c r="J27" s="234" t="s">
        <v>362</v>
      </c>
      <c r="K27" s="233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59" t="s">
        <v>90</v>
      </c>
      <c r="R27" s="235" t="s">
        <v>371</v>
      </c>
    </row>
    <row r="28" spans="2:21">
      <c r="B28" s="236">
        <v>0.05</v>
      </c>
      <c r="C28" s="237">
        <f>(1/(B$23-B$18))*B28-(B$18/(B$23-B$18))</f>
        <v>0</v>
      </c>
      <c r="D28" s="238">
        <f>D18</f>
        <v>2514.2728793945694</v>
      </c>
      <c r="E28" s="238">
        <f t="shared" ref="E28:Q28" si="11">E18</f>
        <v>0</v>
      </c>
      <c r="F28" s="238">
        <f t="shared" si="11"/>
        <v>4490.9882032550131</v>
      </c>
      <c r="G28" s="185">
        <f t="shared" si="11"/>
        <v>0</v>
      </c>
      <c r="H28" s="227">
        <f t="shared" si="11"/>
        <v>0.6682448564897131</v>
      </c>
      <c r="I28" s="185">
        <f t="shared" si="11"/>
        <v>0</v>
      </c>
      <c r="J28" s="239">
        <f t="shared" si="11"/>
        <v>0.6682448564897131</v>
      </c>
      <c r="K28" s="238">
        <f t="shared" si="11"/>
        <v>11.1</v>
      </c>
      <c r="L28" s="240">
        <f t="shared" si="11"/>
        <v>8966505090.0080204</v>
      </c>
      <c r="M28" s="240">
        <f t="shared" si="11"/>
        <v>28944438488.483387</v>
      </c>
      <c r="N28" s="240">
        <f t="shared" si="11"/>
        <v>25915847780.81815</v>
      </c>
      <c r="O28" s="240">
        <f t="shared" si="11"/>
        <v>25915847780.81815</v>
      </c>
      <c r="P28" s="227">
        <f t="shared" si="11"/>
        <v>2.6729794259588524</v>
      </c>
      <c r="Q28" s="227">
        <f t="shared" si="11"/>
        <v>0</v>
      </c>
      <c r="R28" s="264">
        <f>$R$18</f>
        <v>1</v>
      </c>
      <c r="T28">
        <f>D28*(C29-C28)/2*(D$12-D$13)</f>
        <v>1244.5650753003119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378.46476436784059</v>
      </c>
      <c r="E29" s="243">
        <f t="shared" ref="E29:Q29" si="12">E19</f>
        <v>0</v>
      </c>
      <c r="F29" s="243">
        <f t="shared" si="12"/>
        <v>676.01285685941104</v>
      </c>
      <c r="G29" s="8">
        <f t="shared" si="12"/>
        <v>0</v>
      </c>
      <c r="H29" s="244">
        <f t="shared" si="12"/>
        <v>0.6682448564897131</v>
      </c>
      <c r="I29" s="8">
        <f t="shared" si="12"/>
        <v>0</v>
      </c>
      <c r="J29" s="245">
        <f t="shared" si="12"/>
        <v>0.6682448564897131</v>
      </c>
      <c r="K29" s="243">
        <f t="shared" si="12"/>
        <v>11.1</v>
      </c>
      <c r="L29" s="246">
        <f t="shared" si="12"/>
        <v>1745703465.4624267</v>
      </c>
      <c r="M29" s="246">
        <f t="shared" si="12"/>
        <v>5635228554.6241884</v>
      </c>
      <c r="N29" s="246">
        <f t="shared" si="12"/>
        <v>4995749732.6391211</v>
      </c>
      <c r="O29" s="246">
        <f t="shared" si="12"/>
        <v>4995749732.6391211</v>
      </c>
      <c r="P29" s="244">
        <f t="shared" si="12"/>
        <v>2.6729794259588524</v>
      </c>
      <c r="Q29" s="244">
        <f t="shared" si="12"/>
        <v>0</v>
      </c>
      <c r="R29" s="262">
        <f>$R$18</f>
        <v>1</v>
      </c>
      <c r="T29">
        <f>D29*(C30-C28)/2*(D$12-D$13)</f>
        <v>468.35014590520262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382.96477599404864</v>
      </c>
      <c r="E30" s="243">
        <f>E$29+($B30-$B$29)*(E$33-E$29)/($B$33-$B$29)</f>
        <v>0</v>
      </c>
      <c r="F30" s="243">
        <f>F$29+($B30-$B$29)*(F$33-F$29)/($B$33-$B$29)</f>
        <v>622.4879990990139</v>
      </c>
      <c r="G30" s="252">
        <f>G$29+($B30-$B$29)*(G$33-G$29)/($B$33-$B$29)</f>
        <v>0</v>
      </c>
      <c r="H30" s="244">
        <f>H$29+($B30-$B$29)*(H$33-H$29)/($B$33-$B$29)</f>
        <v>0.60054180197682649</v>
      </c>
      <c r="I30" s="8">
        <f t="shared" ref="I30:Q32" si="13">I$29+($B30-$B$29)*(I$33-I$29)/($B$33-$B$29)</f>
        <v>0</v>
      </c>
      <c r="J30" s="245">
        <f t="shared" si="13"/>
        <v>0.54881788373934237</v>
      </c>
      <c r="K30" s="243">
        <f t="shared" si="13"/>
        <v>11.1</v>
      </c>
      <c r="L30" s="246">
        <f t="shared" si="13"/>
        <v>1465305103.3411148</v>
      </c>
      <c r="M30" s="246">
        <f t="shared" si="13"/>
        <v>5585653441.6502266</v>
      </c>
      <c r="N30" s="246">
        <f t="shared" si="13"/>
        <v>4814154924.7073679</v>
      </c>
      <c r="O30" s="246">
        <f t="shared" si="13"/>
        <v>4405826168.0194216</v>
      </c>
      <c r="P30" s="244">
        <f t="shared" si="13"/>
        <v>2.8875031750063505</v>
      </c>
      <c r="Q30" s="244">
        <f t="shared" si="13"/>
        <v>-5.9401828803657623E-2</v>
      </c>
      <c r="R30" s="262">
        <f>$R$18</f>
        <v>1</v>
      </c>
      <c r="T30">
        <f t="shared" ref="T30:T47" si="14">D30*(C31-C29)/2*(D$12-D$13)</f>
        <v>758.27025646821608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390.46479537106205</v>
      </c>
      <c r="E31" s="243">
        <f t="shared" si="16"/>
        <v>0</v>
      </c>
      <c r="F31" s="243">
        <f t="shared" si="16"/>
        <v>533.27990283168549</v>
      </c>
      <c r="G31" s="252">
        <f t="shared" si="16"/>
        <v>0</v>
      </c>
      <c r="H31" s="244">
        <f t="shared" si="16"/>
        <v>0.48770337778868217</v>
      </c>
      <c r="I31" s="8">
        <f t="shared" si="13"/>
        <v>0</v>
      </c>
      <c r="J31" s="245">
        <f t="shared" si="13"/>
        <v>0.34977292915539121</v>
      </c>
      <c r="K31" s="243">
        <f t="shared" si="13"/>
        <v>11.1</v>
      </c>
      <c r="L31" s="246">
        <f t="shared" si="13"/>
        <v>997974499.80559528</v>
      </c>
      <c r="M31" s="246">
        <f t="shared" si="13"/>
        <v>5503028253.3602915</v>
      </c>
      <c r="N31" s="246">
        <f t="shared" si="13"/>
        <v>4511496911.4877796</v>
      </c>
      <c r="O31" s="246">
        <f t="shared" si="13"/>
        <v>3422620226.9865899</v>
      </c>
      <c r="P31" s="244">
        <f t="shared" si="13"/>
        <v>3.2450427567521807</v>
      </c>
      <c r="Q31" s="244">
        <f t="shared" si="13"/>
        <v>-0.15840487680975365</v>
      </c>
      <c r="R31" s="262">
        <f t="shared" ref="R31:R38" si="17">$R$20</f>
        <v>2</v>
      </c>
      <c r="T31">
        <f t="shared" si="14"/>
        <v>966.40036854337848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397.96481474807547</v>
      </c>
      <c r="E32" s="243">
        <f t="shared" si="16"/>
        <v>0</v>
      </c>
      <c r="F32" s="243">
        <f t="shared" si="16"/>
        <v>444.07180656435696</v>
      </c>
      <c r="G32" s="252">
        <f t="shared" si="16"/>
        <v>0</v>
      </c>
      <c r="H32" s="244">
        <f t="shared" si="16"/>
        <v>0.37486495360053773</v>
      </c>
      <c r="I32" s="8">
        <f t="shared" si="13"/>
        <v>0</v>
      </c>
      <c r="J32" s="245">
        <f t="shared" si="13"/>
        <v>0.15072797457143994</v>
      </c>
      <c r="K32" s="243">
        <f t="shared" si="13"/>
        <v>11.1</v>
      </c>
      <c r="L32" s="246">
        <f t="shared" si="13"/>
        <v>530643896.27007532</v>
      </c>
      <c r="M32" s="246">
        <f t="shared" si="13"/>
        <v>5420403065.0703554</v>
      </c>
      <c r="N32" s="246">
        <f t="shared" si="13"/>
        <v>4208838898.2681913</v>
      </c>
      <c r="O32" s="246">
        <f t="shared" si="13"/>
        <v>2439414285.9537573</v>
      </c>
      <c r="P32" s="244">
        <f t="shared" si="13"/>
        <v>3.6025823384980105</v>
      </c>
      <c r="Q32" s="244">
        <f t="shared" si="13"/>
        <v>-0.25740792481584979</v>
      </c>
      <c r="R32" s="262">
        <f t="shared" si="17"/>
        <v>2</v>
      </c>
      <c r="T32">
        <f t="shared" si="14"/>
        <v>984.96291650148669</v>
      </c>
    </row>
    <row r="33" spans="2:20">
      <c r="B33" s="241">
        <v>0.25</v>
      </c>
      <c r="C33" s="242">
        <f t="shared" si="15"/>
        <v>0.21052631578947367</v>
      </c>
      <c r="D33" s="243">
        <f>D20</f>
        <v>405.46483412508888</v>
      </c>
      <c r="E33" s="243">
        <f t="shared" ref="E33:Q33" si="18">E20</f>
        <v>0</v>
      </c>
      <c r="F33" s="243">
        <f t="shared" si="18"/>
        <v>354.86371029702843</v>
      </c>
      <c r="G33" s="8">
        <f t="shared" si="18"/>
        <v>0</v>
      </c>
      <c r="H33" s="244">
        <f t="shared" si="18"/>
        <v>0.26202652941239341</v>
      </c>
      <c r="I33" s="8">
        <f t="shared" si="18"/>
        <v>0</v>
      </c>
      <c r="J33" s="245">
        <f t="shared" si="18"/>
        <v>-4.8316980012511251E-2</v>
      </c>
      <c r="K33" s="243">
        <f t="shared" si="18"/>
        <v>11.1</v>
      </c>
      <c r="L33" s="246">
        <f t="shared" si="18"/>
        <v>63313292.734555714</v>
      </c>
      <c r="M33" s="246">
        <f t="shared" si="18"/>
        <v>5337777876.7804203</v>
      </c>
      <c r="N33" s="246">
        <f t="shared" si="18"/>
        <v>3906180885.0486031</v>
      </c>
      <c r="O33" s="246">
        <f t="shared" si="18"/>
        <v>1456208344.9209256</v>
      </c>
      <c r="P33" s="244">
        <f t="shared" si="18"/>
        <v>3.9601219202438407</v>
      </c>
      <c r="Q33" s="244">
        <f t="shared" si="18"/>
        <v>-0.35641097282194578</v>
      </c>
      <c r="R33" s="262">
        <f t="shared" si="17"/>
        <v>2</v>
      </c>
      <c r="T33">
        <f t="shared" si="14"/>
        <v>1003.5254644595949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388.29530227109069</v>
      </c>
      <c r="E34" s="243">
        <f t="shared" ref="E34:Q37" si="19">E$33+($B34-$B$33)*(E$38-E$33)/($B$38-$B$33)</f>
        <v>0</v>
      </c>
      <c r="F34" s="243">
        <f t="shared" si="19"/>
        <v>307.30793958652623</v>
      </c>
      <c r="G34" s="8">
        <f t="shared" si="19"/>
        <v>0</v>
      </c>
      <c r="H34" s="244">
        <f t="shared" si="19"/>
        <v>0.24989428688211765</v>
      </c>
      <c r="I34" s="8">
        <f t="shared" si="19"/>
        <v>0</v>
      </c>
      <c r="J34" s="245">
        <f t="shared" si="19"/>
        <v>-3.0564573254008565E-2</v>
      </c>
      <c r="K34" s="243">
        <f t="shared" si="19"/>
        <v>9.5</v>
      </c>
      <c r="L34" s="246">
        <f t="shared" si="19"/>
        <v>55746990.667117193</v>
      </c>
      <c r="M34" s="246">
        <f t="shared" si="19"/>
        <v>5115435115.2485218</v>
      </c>
      <c r="N34" s="246">
        <f t="shared" si="19"/>
        <v>3322546069.2504792</v>
      </c>
      <c r="O34" s="246">
        <f t="shared" si="19"/>
        <v>1237438519.441153</v>
      </c>
      <c r="P34" s="244">
        <f t="shared" si="19"/>
        <v>3.7753619507239016</v>
      </c>
      <c r="Q34" s="244">
        <f t="shared" si="19"/>
        <v>-0.3215646431292864</v>
      </c>
      <c r="R34" s="262">
        <f t="shared" si="17"/>
        <v>2</v>
      </c>
      <c r="T34">
        <f t="shared" si="14"/>
        <v>961.03087312094942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371.12577041709255</v>
      </c>
      <c r="E35" s="243">
        <f t="shared" si="19"/>
        <v>0</v>
      </c>
      <c r="F35" s="243">
        <f t="shared" si="19"/>
        <v>259.75216887602397</v>
      </c>
      <c r="G35" s="8">
        <f t="shared" si="19"/>
        <v>0</v>
      </c>
      <c r="H35" s="244">
        <f t="shared" si="19"/>
        <v>0.23776204435184187</v>
      </c>
      <c r="I35" s="8">
        <f t="shared" si="19"/>
        <v>0</v>
      </c>
      <c r="J35" s="245">
        <f t="shared" si="19"/>
        <v>-1.2812166495505879E-2</v>
      </c>
      <c r="K35" s="243">
        <f t="shared" si="19"/>
        <v>7.9</v>
      </c>
      <c r="L35" s="246">
        <f t="shared" si="19"/>
        <v>48180688.599678665</v>
      </c>
      <c r="M35" s="246">
        <f t="shared" si="19"/>
        <v>4893092353.7166243</v>
      </c>
      <c r="N35" s="246">
        <f t="shared" si="19"/>
        <v>2738911253.4523554</v>
      </c>
      <c r="O35" s="246">
        <f t="shared" si="19"/>
        <v>1018668693.9613804</v>
      </c>
      <c r="P35" s="244">
        <f t="shared" si="19"/>
        <v>3.5906019812039629</v>
      </c>
      <c r="Q35" s="244">
        <f t="shared" si="19"/>
        <v>-0.28671831343662696</v>
      </c>
      <c r="R35" s="262">
        <f t="shared" si="17"/>
        <v>2</v>
      </c>
      <c r="T35">
        <f t="shared" si="14"/>
        <v>918.53628178230406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353.95623856309436</v>
      </c>
      <c r="E36" s="243">
        <f t="shared" si="19"/>
        <v>0</v>
      </c>
      <c r="F36" s="243">
        <f t="shared" si="19"/>
        <v>212.19639816552171</v>
      </c>
      <c r="G36" s="8">
        <f t="shared" si="19"/>
        <v>0</v>
      </c>
      <c r="H36" s="244">
        <f t="shared" si="19"/>
        <v>0.22562980182156611</v>
      </c>
      <c r="I36" s="8">
        <f t="shared" si="19"/>
        <v>0</v>
      </c>
      <c r="J36" s="245">
        <f t="shared" si="19"/>
        <v>4.9402402629968242E-3</v>
      </c>
      <c r="K36" s="243">
        <f t="shared" si="19"/>
        <v>6.2999999999999989</v>
      </c>
      <c r="L36" s="246">
        <f t="shared" si="19"/>
        <v>40614386.532240137</v>
      </c>
      <c r="M36" s="246">
        <f t="shared" si="19"/>
        <v>4670749592.1847258</v>
      </c>
      <c r="N36" s="246">
        <f t="shared" si="19"/>
        <v>2155276437.6542311</v>
      </c>
      <c r="O36" s="246">
        <f t="shared" si="19"/>
        <v>799898868.48160756</v>
      </c>
      <c r="P36" s="244">
        <f t="shared" si="19"/>
        <v>3.4058420116840233</v>
      </c>
      <c r="Q36" s="244">
        <f t="shared" si="19"/>
        <v>-0.25187198374396752</v>
      </c>
      <c r="R36" s="262">
        <f t="shared" si="17"/>
        <v>2</v>
      </c>
      <c r="T36">
        <f t="shared" si="14"/>
        <v>876.04169044365858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336.78670670909617</v>
      </c>
      <c r="E37" s="243">
        <f t="shared" si="19"/>
        <v>0</v>
      </c>
      <c r="F37" s="243">
        <f t="shared" si="19"/>
        <v>164.64062745501948</v>
      </c>
      <c r="G37" s="8">
        <f t="shared" si="19"/>
        <v>0</v>
      </c>
      <c r="H37" s="244">
        <f t="shared" si="19"/>
        <v>0.21349755929129033</v>
      </c>
      <c r="I37" s="8">
        <f t="shared" si="19"/>
        <v>0</v>
      </c>
      <c r="J37" s="245">
        <f t="shared" si="19"/>
        <v>2.2692647021499507E-2</v>
      </c>
      <c r="K37" s="243">
        <f t="shared" si="19"/>
        <v>4.6999999999999993</v>
      </c>
      <c r="L37" s="246">
        <f t="shared" si="19"/>
        <v>33048084.464801613</v>
      </c>
      <c r="M37" s="246">
        <f t="shared" si="19"/>
        <v>4448406830.6528273</v>
      </c>
      <c r="N37" s="246">
        <f t="shared" si="19"/>
        <v>1571641621.8561077</v>
      </c>
      <c r="O37" s="246">
        <f t="shared" si="19"/>
        <v>581129043.00183487</v>
      </c>
      <c r="P37" s="244">
        <f t="shared" si="19"/>
        <v>3.2210820421640847</v>
      </c>
      <c r="Q37" s="244">
        <f t="shared" si="19"/>
        <v>-0.21702565405130814</v>
      </c>
      <c r="R37" s="262">
        <f t="shared" si="17"/>
        <v>2</v>
      </c>
      <c r="T37">
        <f t="shared" si="14"/>
        <v>833.54709910501299</v>
      </c>
    </row>
    <row r="38" spans="2:20">
      <c r="B38" s="241">
        <v>0.5</v>
      </c>
      <c r="C38" s="242">
        <f t="shared" si="15"/>
        <v>0.47368421052631576</v>
      </c>
      <c r="D38" s="243">
        <f>D21</f>
        <v>319.61717485509803</v>
      </c>
      <c r="E38" s="243">
        <f t="shared" ref="E38:Q38" si="20">E21</f>
        <v>0</v>
      </c>
      <c r="F38" s="243">
        <f t="shared" si="20"/>
        <v>117.08485674451724</v>
      </c>
      <c r="G38" s="8">
        <f t="shared" si="20"/>
        <v>0</v>
      </c>
      <c r="H38" s="244">
        <f t="shared" si="20"/>
        <v>0.20136531676101457</v>
      </c>
      <c r="I38" s="8">
        <f t="shared" si="20"/>
        <v>0</v>
      </c>
      <c r="J38" s="245">
        <f t="shared" si="20"/>
        <v>4.0445053780002196E-2</v>
      </c>
      <c r="K38" s="243">
        <f t="shared" si="20"/>
        <v>3.1</v>
      </c>
      <c r="L38" s="246">
        <f t="shared" si="20"/>
        <v>25481782.397363089</v>
      </c>
      <c r="M38" s="246">
        <f t="shared" si="20"/>
        <v>4226064069.1209292</v>
      </c>
      <c r="N38" s="246">
        <f t="shared" si="20"/>
        <v>988006806.05798388</v>
      </c>
      <c r="O38" s="246">
        <f t="shared" si="20"/>
        <v>362359217.52206236</v>
      </c>
      <c r="P38" s="244">
        <f t="shared" si="20"/>
        <v>3.0363220726441456</v>
      </c>
      <c r="Q38" s="244">
        <f t="shared" si="20"/>
        <v>-0.18217932435864873</v>
      </c>
      <c r="R38" s="262">
        <f t="shared" si="17"/>
        <v>2</v>
      </c>
      <c r="T38">
        <f t="shared" si="14"/>
        <v>791.05250776636751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283.56556317077332</v>
      </c>
      <c r="E39" s="243">
        <f t="shared" ref="E39:Q42" si="21">E$38+($B39-$B$38)*(E$43-E$38)/($B$43-$B$38)</f>
        <v>0</v>
      </c>
      <c r="F39" s="243">
        <f t="shared" si="21"/>
        <v>98.864954319332</v>
      </c>
      <c r="G39" s="8">
        <f t="shared" si="21"/>
        <v>0</v>
      </c>
      <c r="H39" s="244">
        <f t="shared" si="21"/>
        <v>0.20717060876308085</v>
      </c>
      <c r="I39" s="8">
        <f t="shared" si="21"/>
        <v>0</v>
      </c>
      <c r="J39" s="245">
        <f t="shared" si="21"/>
        <v>5.1865984067318904E-2</v>
      </c>
      <c r="K39" s="243">
        <f t="shared" si="21"/>
        <v>2.5999999999999996</v>
      </c>
      <c r="L39" s="246">
        <f t="shared" si="21"/>
        <v>21407116.991112508</v>
      </c>
      <c r="M39" s="246">
        <f t="shared" si="21"/>
        <v>3737366167.8227329</v>
      </c>
      <c r="N39" s="246">
        <f t="shared" si="21"/>
        <v>838972045.18727791</v>
      </c>
      <c r="O39" s="246">
        <f t="shared" si="21"/>
        <v>301062716.42475706</v>
      </c>
      <c r="P39" s="244">
        <f t="shared" si="21"/>
        <v>2.8515621031242064</v>
      </c>
      <c r="Q39" s="244">
        <f t="shared" si="21"/>
        <v>-0.15841859283718568</v>
      </c>
      <c r="R39" s="262">
        <f t="shared" ref="R39:R45" si="22">$R$22</f>
        <v>3</v>
      </c>
      <c r="T39">
        <f t="shared" si="14"/>
        <v>701.82476884766356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247.51395148644866</v>
      </c>
      <c r="E40" s="243">
        <f t="shared" si="21"/>
        <v>0</v>
      </c>
      <c r="F40" s="243">
        <f t="shared" si="21"/>
        <v>80.645051894146789</v>
      </c>
      <c r="G40" s="8">
        <f t="shared" si="21"/>
        <v>0</v>
      </c>
      <c r="H40" s="244">
        <f t="shared" si="21"/>
        <v>0.21297590076514711</v>
      </c>
      <c r="I40" s="8">
        <f t="shared" si="21"/>
        <v>0</v>
      </c>
      <c r="J40" s="245">
        <f t="shared" si="21"/>
        <v>6.3286914354635584E-2</v>
      </c>
      <c r="K40" s="243">
        <f t="shared" si="21"/>
        <v>2.1000000000000005</v>
      </c>
      <c r="L40" s="246">
        <f t="shared" si="21"/>
        <v>17332451.584861934</v>
      </c>
      <c r="M40" s="246">
        <f t="shared" si="21"/>
        <v>3248668266.524538</v>
      </c>
      <c r="N40" s="246">
        <f t="shared" si="21"/>
        <v>689937284.31657219</v>
      </c>
      <c r="O40" s="246">
        <f t="shared" si="21"/>
        <v>239766215.32745194</v>
      </c>
      <c r="P40" s="244">
        <f t="shared" si="21"/>
        <v>2.6668021336042678</v>
      </c>
      <c r="Q40" s="244">
        <f t="shared" si="21"/>
        <v>-0.13465786131572266</v>
      </c>
      <c r="R40" s="262">
        <f t="shared" si="22"/>
        <v>3</v>
      </c>
      <c r="T40">
        <f t="shared" si="14"/>
        <v>612.59702992896041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211.46233980212395</v>
      </c>
      <c r="E41" s="243">
        <f t="shared" si="21"/>
        <v>0</v>
      </c>
      <c r="F41" s="243">
        <f t="shared" si="21"/>
        <v>62.42514946896155</v>
      </c>
      <c r="G41" s="8">
        <f t="shared" si="21"/>
        <v>0</v>
      </c>
      <c r="H41" s="244">
        <f t="shared" si="21"/>
        <v>0.21878119276721342</v>
      </c>
      <c r="I41" s="8">
        <f t="shared" si="21"/>
        <v>0</v>
      </c>
      <c r="J41" s="245">
        <f t="shared" si="21"/>
        <v>7.4707844641952292E-2</v>
      </c>
      <c r="K41" s="243">
        <f t="shared" si="21"/>
        <v>1.5999999999999999</v>
      </c>
      <c r="L41" s="246">
        <f t="shared" si="21"/>
        <v>13257786.178611353</v>
      </c>
      <c r="M41" s="246">
        <f t="shared" si="21"/>
        <v>2759970365.2263422</v>
      </c>
      <c r="N41" s="246">
        <f t="shared" si="21"/>
        <v>540902523.44586635</v>
      </c>
      <c r="O41" s="246">
        <f t="shared" si="21"/>
        <v>178469714.23014665</v>
      </c>
      <c r="P41" s="244">
        <f t="shared" si="21"/>
        <v>2.4820421640843282</v>
      </c>
      <c r="Q41" s="244">
        <f t="shared" si="21"/>
        <v>-0.11089712979425961</v>
      </c>
      <c r="R41" s="262">
        <f t="shared" si="22"/>
        <v>3</v>
      </c>
      <c r="T41">
        <f t="shared" si="14"/>
        <v>523.36929101025669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175.41072811779932</v>
      </c>
      <c r="E42" s="243">
        <f t="shared" si="21"/>
        <v>0</v>
      </c>
      <c r="F42" s="243">
        <f t="shared" si="21"/>
        <v>44.205247043776339</v>
      </c>
      <c r="G42" s="8">
        <f t="shared" si="21"/>
        <v>0</v>
      </c>
      <c r="H42" s="244">
        <f t="shared" si="21"/>
        <v>0.22458648476927967</v>
      </c>
      <c r="I42" s="8">
        <f t="shared" si="21"/>
        <v>0</v>
      </c>
      <c r="J42" s="245">
        <f t="shared" si="21"/>
        <v>8.6128774929268972E-2</v>
      </c>
      <c r="K42" s="243">
        <f t="shared" si="21"/>
        <v>1.1000000000000005</v>
      </c>
      <c r="L42" s="246">
        <f t="shared" si="21"/>
        <v>9183120.7723607793</v>
      </c>
      <c r="M42" s="246">
        <f t="shared" si="21"/>
        <v>2271272463.9281473</v>
      </c>
      <c r="N42" s="246">
        <f t="shared" si="21"/>
        <v>391867762.57516062</v>
      </c>
      <c r="O42" s="246">
        <f t="shared" si="21"/>
        <v>117173213.1328415</v>
      </c>
      <c r="P42" s="244">
        <f t="shared" si="21"/>
        <v>2.2972821945643895</v>
      </c>
      <c r="Q42" s="244">
        <f t="shared" si="21"/>
        <v>-8.7136398272796622E-2</v>
      </c>
      <c r="R42" s="262">
        <f t="shared" si="22"/>
        <v>3</v>
      </c>
      <c r="T42">
        <f t="shared" si="14"/>
        <v>434.14155209155331</v>
      </c>
    </row>
    <row r="43" spans="2:20">
      <c r="B43" s="241">
        <v>0.75</v>
      </c>
      <c r="C43" s="242">
        <f t="shared" si="15"/>
        <v>0.73684210526315785</v>
      </c>
      <c r="D43" s="243">
        <f>D22</f>
        <v>139.35911643347461</v>
      </c>
      <c r="E43" s="243">
        <f t="shared" ref="E43:Q43" si="23">E22</f>
        <v>0</v>
      </c>
      <c r="F43" s="243">
        <f t="shared" si="23"/>
        <v>25.985344618591107</v>
      </c>
      <c r="G43" s="8">
        <f t="shared" si="23"/>
        <v>0</v>
      </c>
      <c r="H43" s="244">
        <f t="shared" si="23"/>
        <v>0.23039177677134595</v>
      </c>
      <c r="I43" s="8">
        <f t="shared" si="23"/>
        <v>0</v>
      </c>
      <c r="J43" s="245">
        <f t="shared" si="23"/>
        <v>9.754970521658568E-2</v>
      </c>
      <c r="K43" s="243">
        <f t="shared" si="23"/>
        <v>0.6</v>
      </c>
      <c r="L43" s="246">
        <f t="shared" si="23"/>
        <v>5108455.3661101973</v>
      </c>
      <c r="M43" s="246">
        <f t="shared" si="23"/>
        <v>1782574562.629951</v>
      </c>
      <c r="N43" s="246">
        <f t="shared" si="23"/>
        <v>242833001.70445472</v>
      </c>
      <c r="O43" s="246">
        <f t="shared" si="23"/>
        <v>55876712.03553623</v>
      </c>
      <c r="P43" s="244">
        <f t="shared" si="23"/>
        <v>2.1125222250444504</v>
      </c>
      <c r="Q43" s="244">
        <f t="shared" si="23"/>
        <v>-6.3375666751333562E-2</v>
      </c>
      <c r="R43" s="262">
        <f t="shared" si="22"/>
        <v>3</v>
      </c>
      <c r="T43">
        <f t="shared" si="14"/>
        <v>344.91381317284964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114.8236118008315</v>
      </c>
      <c r="E44" s="243">
        <f t="shared" ref="E44:Q47" si="24">E$43+($B44-$B$43)*(E$48-E$43)/($B$48-$B$43)</f>
        <v>0</v>
      </c>
      <c r="F44" s="243">
        <f t="shared" si="24"/>
        <v>21.261041079001078</v>
      </c>
      <c r="G44" s="8">
        <f t="shared" si="24"/>
        <v>0</v>
      </c>
      <c r="H44" s="244">
        <f t="shared" si="24"/>
        <v>0.24645058169139733</v>
      </c>
      <c r="I44" s="8">
        <f t="shared" si="24"/>
        <v>0</v>
      </c>
      <c r="J44" s="245">
        <f t="shared" si="24"/>
        <v>0.10566197397768816</v>
      </c>
      <c r="K44" s="243">
        <f t="shared" si="24"/>
        <v>0.47999999999999987</v>
      </c>
      <c r="L44" s="246">
        <f t="shared" si="24"/>
        <v>4195517.6643379992</v>
      </c>
      <c r="M44" s="246">
        <f t="shared" si="24"/>
        <v>1461230658.9921355</v>
      </c>
      <c r="N44" s="246">
        <f t="shared" si="24"/>
        <v>199004345.945301</v>
      </c>
      <c r="O44" s="246">
        <f t="shared" si="24"/>
        <v>44839759.888547704</v>
      </c>
      <c r="P44" s="244">
        <f t="shared" si="24"/>
        <v>1.9462534925069852</v>
      </c>
      <c r="Q44" s="244">
        <f t="shared" si="24"/>
        <v>-5.0700533401066838E-2</v>
      </c>
      <c r="R44" s="262">
        <f t="shared" si="22"/>
        <v>3</v>
      </c>
      <c r="T44">
        <f t="shared" si="14"/>
        <v>284.18843920705763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90.288107168188432</v>
      </c>
      <c r="E45" s="243">
        <f t="shared" si="24"/>
        <v>0</v>
      </c>
      <c r="F45" s="243">
        <f t="shared" si="24"/>
        <v>16.536737539411057</v>
      </c>
      <c r="G45" s="8">
        <f t="shared" si="24"/>
        <v>0</v>
      </c>
      <c r="H45" s="244">
        <f t="shared" si="24"/>
        <v>0.26250938661144868</v>
      </c>
      <c r="I45" s="8">
        <f t="shared" si="24"/>
        <v>0</v>
      </c>
      <c r="J45" s="245">
        <f t="shared" si="24"/>
        <v>0.11377424273879062</v>
      </c>
      <c r="K45" s="243">
        <f t="shared" si="24"/>
        <v>0.36000000000000004</v>
      </c>
      <c r="L45" s="246">
        <f t="shared" si="24"/>
        <v>3282579.962565803</v>
      </c>
      <c r="M45" s="246">
        <f t="shared" si="24"/>
        <v>1139886755.354321</v>
      </c>
      <c r="N45" s="246">
        <f t="shared" si="24"/>
        <v>155175690.18614733</v>
      </c>
      <c r="O45" s="246">
        <f t="shared" si="24"/>
        <v>33802807.741559193</v>
      </c>
      <c r="P45" s="244">
        <f t="shared" si="24"/>
        <v>1.7799847599695202</v>
      </c>
      <c r="Q45" s="244">
        <f t="shared" si="24"/>
        <v>-3.8025400050800143E-2</v>
      </c>
      <c r="R45" s="262">
        <f t="shared" si="22"/>
        <v>3</v>
      </c>
      <c r="T45">
        <f t="shared" si="14"/>
        <v>223.46306524126635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65.752602535545321</v>
      </c>
      <c r="E46" s="243">
        <f t="shared" si="24"/>
        <v>0</v>
      </c>
      <c r="F46" s="243">
        <f t="shared" si="24"/>
        <v>11.81243399982103</v>
      </c>
      <c r="G46" s="8">
        <f t="shared" si="24"/>
        <v>0</v>
      </c>
      <c r="H46" s="244">
        <f t="shared" si="24"/>
        <v>0.27856819153150003</v>
      </c>
      <c r="I46" s="8">
        <f t="shared" si="24"/>
        <v>0</v>
      </c>
      <c r="J46" s="245">
        <f t="shared" si="24"/>
        <v>0.12188651149989312</v>
      </c>
      <c r="K46" s="243">
        <f t="shared" si="24"/>
        <v>0.23999999999999994</v>
      </c>
      <c r="L46" s="246">
        <f t="shared" si="24"/>
        <v>2369642.2607936049</v>
      </c>
      <c r="M46" s="246">
        <f t="shared" si="24"/>
        <v>818542851.71650553</v>
      </c>
      <c r="N46" s="246">
        <f t="shared" si="24"/>
        <v>111347034.42699362</v>
      </c>
      <c r="O46" s="246">
        <f t="shared" si="24"/>
        <v>22765855.594570663</v>
      </c>
      <c r="P46" s="244">
        <f t="shared" si="24"/>
        <v>1.613716027432055</v>
      </c>
      <c r="Q46" s="244">
        <f t="shared" si="24"/>
        <v>-2.5350266700533419E-2</v>
      </c>
      <c r="R46" s="262">
        <f>$R$23</f>
        <v>4</v>
      </c>
      <c r="T46">
        <f t="shared" si="14"/>
        <v>162.73769127547467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41.217097902902253</v>
      </c>
      <c r="E47" s="243">
        <f t="shared" si="24"/>
        <v>0</v>
      </c>
      <c r="F47" s="243">
        <f t="shared" si="24"/>
        <v>7.0881304602310102</v>
      </c>
      <c r="G47" s="8">
        <f t="shared" si="24"/>
        <v>0</v>
      </c>
      <c r="H47" s="244">
        <f t="shared" si="24"/>
        <v>0.29462699645155138</v>
      </c>
      <c r="I47" s="8">
        <f t="shared" si="24"/>
        <v>0</v>
      </c>
      <c r="J47" s="245">
        <f t="shared" si="24"/>
        <v>0.12999878026099557</v>
      </c>
      <c r="K47" s="243">
        <f t="shared" si="24"/>
        <v>0.12000000000000011</v>
      </c>
      <c r="L47" s="246">
        <f t="shared" si="24"/>
        <v>1456704.5590214087</v>
      </c>
      <c r="M47" s="246">
        <f t="shared" si="24"/>
        <v>497198948.07869101</v>
      </c>
      <c r="N47" s="246">
        <f t="shared" si="24"/>
        <v>67518378.667839974</v>
      </c>
      <c r="O47" s="246">
        <f t="shared" si="24"/>
        <v>11728903.447582163</v>
      </c>
      <c r="P47" s="244">
        <f t="shared" si="24"/>
        <v>1.44744729489459</v>
      </c>
      <c r="Q47" s="244">
        <f t="shared" si="24"/>
        <v>-1.2675133350266723E-2</v>
      </c>
      <c r="R47" s="262">
        <f>$R$23</f>
        <v>4</v>
      </c>
      <c r="T47">
        <f t="shared" si="14"/>
        <v>102.01231730968307</v>
      </c>
    </row>
    <row r="48" spans="2:20">
      <c r="B48" s="247">
        <v>1</v>
      </c>
      <c r="C48" s="248">
        <f t="shared" si="15"/>
        <v>0.99999999999999989</v>
      </c>
      <c r="D48" s="249">
        <f>D23</f>
        <v>16.681593270259139</v>
      </c>
      <c r="E48" s="249">
        <f t="shared" ref="E48:Q48" si="25">E23</f>
        <v>0</v>
      </c>
      <c r="F48" s="249">
        <f t="shared" si="25"/>
        <v>2.3638269206409808</v>
      </c>
      <c r="G48" s="225">
        <f t="shared" si="25"/>
        <v>0</v>
      </c>
      <c r="H48" s="228">
        <f t="shared" si="25"/>
        <v>0.31068580137160273</v>
      </c>
      <c r="I48" s="225">
        <f t="shared" si="25"/>
        <v>0</v>
      </c>
      <c r="J48" s="250">
        <f t="shared" si="25"/>
        <v>0.13811104902209806</v>
      </c>
      <c r="K48" s="249">
        <f t="shared" si="25"/>
        <v>0</v>
      </c>
      <c r="L48" s="251">
        <f t="shared" si="25"/>
        <v>543766.85724921024</v>
      </c>
      <c r="M48" s="251">
        <f t="shared" si="25"/>
        <v>175855044.44087556</v>
      </c>
      <c r="N48" s="251">
        <f t="shared" si="25"/>
        <v>23689722.908686247</v>
      </c>
      <c r="O48" s="251">
        <f t="shared" si="25"/>
        <v>691951.30059363274</v>
      </c>
      <c r="P48" s="228">
        <f t="shared" si="25"/>
        <v>1.2811785623571248</v>
      </c>
      <c r="Q48" s="228">
        <f t="shared" si="25"/>
        <v>0</v>
      </c>
      <c r="R48" s="263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2015-12-21T02:19:15Z</dcterms:modified>
</cp:coreProperties>
</file>